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66925"/>
  <mc:AlternateContent xmlns:mc="http://schemas.openxmlformats.org/markup-compatibility/2006">
    <mc:Choice Requires="x15">
      <x15ac:absPath xmlns:x15ac="http://schemas.microsoft.com/office/spreadsheetml/2010/11/ac" url="C:\Users\bower\Desktop\"/>
    </mc:Choice>
  </mc:AlternateContent>
  <xr:revisionPtr revIDLastSave="0" documentId="13_ncr:1_{753522F4-16AE-400F-AC28-3B75C735F5E4}" xr6:coauthVersionLast="47" xr6:coauthVersionMax="47" xr10:uidLastSave="{00000000-0000-0000-0000-000000000000}"/>
  <bookViews>
    <workbookView xWindow="-108" yWindow="-108" windowWidth="23256" windowHeight="12576" firstSheet="4" activeTab="6" xr2:uid="{10D7069F-29B9-4F30-B564-0765371EEFD7}"/>
  </bookViews>
  <sheets>
    <sheet name="Instructions" sheetId="17" r:id="rId1"/>
    <sheet name="Event Details" sheetId="2" r:id="rId2"/>
    <sheet name="Club Details" sheetId="1" r:id="rId3"/>
    <sheet name="Timetable" sheetId="3" r:id="rId4"/>
    <sheet name="TeamSheet Male" sheetId="4" r:id="rId5"/>
    <sheet name="TeamSheet Female" sheetId="5" r:id="rId6"/>
    <sheet name="Results Entry" sheetId="6" r:id="rId7"/>
    <sheet name="Results by Age Group" sheetId="7" r:id="rId8"/>
    <sheet name="Points Summary" sheetId="8" r:id="rId9"/>
    <sheet name="Results by Club" sheetId="9" r:id="rId10"/>
    <sheet name="Officials" sheetId="10" r:id="rId11"/>
    <sheet name="Athlete of the Match" sheetId="11" r:id="rId12"/>
    <sheet name="Throws &amp; Jumps" sheetId="13" r:id="rId13"/>
    <sheet name="High Jump" sheetId="14" r:id="rId14"/>
    <sheet name="Track Lane Draw" sheetId="15" r:id="rId15"/>
    <sheet name="Field Duties by Club" sheetId="12" r:id="rId16"/>
    <sheet name="Field Draw" sheetId="16" r:id="rId17"/>
  </sheets>
  <definedNames>
    <definedName name="Athlete">'Results Entry'!$A$19:$P$1106</definedName>
    <definedName name="ClubDetail">'Club Details'!$B$6:$AB$14</definedName>
    <definedName name="Clubs">'Event Details'!$D$22:$H$30</definedName>
    <definedName name="EventDates">'Club Details'!$A$17:$AB$19</definedName>
    <definedName name="EventOrder">Timetable!$C$79:$J$181</definedName>
    <definedName name="EventsOrder">Timetable!$C$78:$J$180</definedName>
    <definedName name="Field">Timetable!$I$9:$M$59</definedName>
    <definedName name="FieldDuties">'Field Duties by Club'!$A$7:$E$44</definedName>
    <definedName name="FieldEventDraw">'Field Draw'!$A$21:$K$66</definedName>
    <definedName name="LaneDraw">'Track Lane Draw'!$D$5:$H$12</definedName>
    <definedName name="MenPoints">'Points Summary'!$H$19:$K$26</definedName>
    <definedName name="MenTot">'Points Summary'!$AC$19:$AH$26</definedName>
    <definedName name="Officials">Officials!$C$11:$J$20</definedName>
    <definedName name="OverTot">'Points Summary'!$AC$62:$AH$69</definedName>
    <definedName name="_xlnm.Print_Area" localSheetId="11">'Athlete of the Match'!$C$2:$S$92</definedName>
    <definedName name="_xlnm.Print_Area" localSheetId="15">'Field Duties by Club'!$H$3:$X$33</definedName>
    <definedName name="_xlnm.Print_Area" localSheetId="13">'High Jump'!$I$3:$Y$38</definedName>
    <definedName name="_xlnm.Print_Area" localSheetId="0">Instructions!$B$1:$B$86</definedName>
    <definedName name="_xlnm.Print_Area" localSheetId="8">'Points Summary'!$B$2:$Q$53</definedName>
    <definedName name="_xlnm.Print_Area" localSheetId="7">'Results by Age Group'!$B$8:$AD$516</definedName>
    <definedName name="_xlnm.Print_Area" localSheetId="9">'Results by Club'!$A$1:$N$190</definedName>
    <definedName name="_xlnm.Print_Area" localSheetId="12">'Throws &amp; Jumps'!$I$3:$U$37</definedName>
    <definedName name="_xlnm.Print_Area" localSheetId="3">Timetable!$C$1:$W$74</definedName>
    <definedName name="_xlnm.Print_Area" localSheetId="14">'Track Lane Draw'!$A$16:$L$182</definedName>
    <definedName name="_xlnm.Print_Titles" localSheetId="11">'Athlete of the Match'!$2:$3</definedName>
    <definedName name="_xlnm.Print_Titles" localSheetId="0">Instructions!$1:$1</definedName>
    <definedName name="_xlnm.Print_Titles" localSheetId="9">'Results by Club'!$1:$4</definedName>
    <definedName name="_xlnm.Print_Titles" localSheetId="14">'Track Lane Draw'!$16:$19</definedName>
    <definedName name="Relays">'Results by Age Group'!$F$477:$U$516</definedName>
    <definedName name="Results">'Results Entry'!$A$8:$AO$1107</definedName>
    <definedName name="ResultsTable">'Results Entry'!$G$9</definedName>
    <definedName name="ShortName">'Event Details'!$D$22:$H$30</definedName>
    <definedName name="TeamSheetFemale">'TeamSheet Female'!$B$8:$AX$83</definedName>
    <definedName name="TeamSheetMale">'TeamSheet Male'!$B$8:$AS$84</definedName>
    <definedName name="Track">Timetable!$C$9:$G$59</definedName>
    <definedName name="U11b">'Points Summary'!$W$5:$AA$13</definedName>
    <definedName name="U11BSum">'Points Summary'!$C$6:$D$13</definedName>
    <definedName name="U11G">'Points Summary'!$W$31:$AA$39</definedName>
    <definedName name="U11GSum">'Points Summary'!$C$32:$D$39</definedName>
    <definedName name="U13B">'Points Summary'!$AC$6:$AG$13</definedName>
    <definedName name="U13BSum">'Points Summary'!$H$6:$K$13</definedName>
    <definedName name="U13G">'Points Summary'!$AC$31:$AG$39</definedName>
    <definedName name="U13GSum">'Points Summary'!$H$32:$K$39</definedName>
    <definedName name="U15B">'Points Summary'!$AI$6:$AM$13</definedName>
    <definedName name="U15BSum">'Points Summary'!$N$6:$Q$13</definedName>
    <definedName name="U15G">'Points Summary'!$AI$31:$AM$39</definedName>
    <definedName name="U15GSum">'Points Summary'!$N$32:$Q$39</definedName>
    <definedName name="U17GSum">'Points Summary'!$C$46:$E$53</definedName>
    <definedName name="U17M">'Points Summary'!$W$19:$AA$26</definedName>
    <definedName name="U17MSum">'Points Summary'!$C$19:$E$26</definedName>
    <definedName name="U17W">'Points Summary'!$W$45:$AA$53</definedName>
    <definedName name="WomPoints">'Points Summary'!$H$46:$K$53</definedName>
    <definedName name="WomTot">'Points Summary'!$AC$46:$AH$53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077" i="6" l="1"/>
  <c r="AQ13" i="5"/>
  <c r="AG65" i="5" l="1"/>
  <c r="AG47" i="5"/>
  <c r="AG29" i="5"/>
  <c r="A16" i="9" l="1"/>
  <c r="N15" i="9"/>
  <c r="A15" i="9"/>
  <c r="B485" i="7"/>
  <c r="B484" i="7"/>
  <c r="AD38" i="7"/>
  <c r="AC38" i="7"/>
  <c r="AB38" i="7"/>
  <c r="AA38" i="7"/>
  <c r="Z38" i="7"/>
  <c r="Y38" i="7"/>
  <c r="X38" i="7"/>
  <c r="W38" i="7"/>
  <c r="V38" i="7"/>
  <c r="U38" i="7"/>
  <c r="T38" i="7"/>
  <c r="S38" i="7"/>
  <c r="R38" i="7"/>
  <c r="Q38" i="7"/>
  <c r="P38" i="7"/>
  <c r="O38" i="7"/>
  <c r="N38" i="7"/>
  <c r="M38" i="7"/>
  <c r="L38" i="7"/>
  <c r="K38" i="7"/>
  <c r="J38" i="7"/>
  <c r="I38" i="7"/>
  <c r="H38" i="7"/>
  <c r="G38" i="7"/>
  <c r="A38" i="7"/>
  <c r="U37" i="7"/>
  <c r="S37" i="7"/>
  <c r="Q37" i="7"/>
  <c r="O37" i="7"/>
  <c r="M37" i="7"/>
  <c r="K37" i="7"/>
  <c r="I37" i="7"/>
  <c r="G37" i="7"/>
  <c r="F37" i="7"/>
  <c r="D37" i="7"/>
  <c r="A37" i="7"/>
  <c r="AD36" i="7"/>
  <c r="AC36" i="7"/>
  <c r="AB36" i="7"/>
  <c r="AA36" i="7"/>
  <c r="Z36" i="7"/>
  <c r="Y36" i="7"/>
  <c r="X36" i="7"/>
  <c r="W36" i="7"/>
  <c r="V36" i="7"/>
  <c r="U36" i="7"/>
  <c r="T36" i="7"/>
  <c r="S36" i="7"/>
  <c r="R36" i="7"/>
  <c r="Q36" i="7"/>
  <c r="P36" i="7"/>
  <c r="O36" i="7"/>
  <c r="N36" i="7"/>
  <c r="M36" i="7"/>
  <c r="L36" i="7"/>
  <c r="K36" i="7"/>
  <c r="J36" i="7"/>
  <c r="I36" i="7"/>
  <c r="H36" i="7"/>
  <c r="G36" i="7"/>
  <c r="C36" i="7"/>
  <c r="A36" i="7"/>
  <c r="U35" i="7"/>
  <c r="S35" i="7"/>
  <c r="Q35" i="7"/>
  <c r="O35" i="7"/>
  <c r="M35" i="7"/>
  <c r="K35" i="7"/>
  <c r="I35" i="7"/>
  <c r="G35" i="7"/>
  <c r="D35" i="7"/>
  <c r="A35" i="7"/>
  <c r="AD34" i="7"/>
  <c r="AC34" i="7"/>
  <c r="AB34" i="7"/>
  <c r="AA34" i="7"/>
  <c r="Z34" i="7"/>
  <c r="Y34" i="7"/>
  <c r="X34" i="7"/>
  <c r="W34" i="7"/>
  <c r="V34" i="7"/>
  <c r="U34" i="7"/>
  <c r="T34" i="7"/>
  <c r="S34" i="7"/>
  <c r="R34" i="7"/>
  <c r="Q34" i="7"/>
  <c r="P34" i="7"/>
  <c r="O34" i="7"/>
  <c r="N34" i="7"/>
  <c r="M34" i="7"/>
  <c r="L34" i="7"/>
  <c r="K34" i="7"/>
  <c r="J34" i="7"/>
  <c r="I34" i="7"/>
  <c r="H34" i="7"/>
  <c r="G34" i="7"/>
  <c r="A34" i="7"/>
  <c r="U33" i="7"/>
  <c r="S33" i="7"/>
  <c r="Q33" i="7"/>
  <c r="O33" i="7"/>
  <c r="M33" i="7"/>
  <c r="K33" i="7"/>
  <c r="I33" i="7"/>
  <c r="G33" i="7"/>
  <c r="F33" i="7"/>
  <c r="D33" i="7"/>
  <c r="A33" i="7"/>
  <c r="AD32" i="7"/>
  <c r="AC32" i="7"/>
  <c r="AB32" i="7"/>
  <c r="AA32" i="7"/>
  <c r="Z32" i="7"/>
  <c r="Y32" i="7"/>
  <c r="X32" i="7"/>
  <c r="W32" i="7"/>
  <c r="V32" i="7"/>
  <c r="U32" i="7"/>
  <c r="T32" i="7"/>
  <c r="S32" i="7"/>
  <c r="R32" i="7"/>
  <c r="Q32" i="7"/>
  <c r="P32" i="7"/>
  <c r="O32" i="7"/>
  <c r="N32" i="7"/>
  <c r="M32" i="7"/>
  <c r="L32" i="7"/>
  <c r="K32" i="7"/>
  <c r="J32" i="7"/>
  <c r="I32" i="7"/>
  <c r="H32" i="7"/>
  <c r="G32" i="7"/>
  <c r="C32" i="7"/>
  <c r="A32" i="7"/>
  <c r="U31" i="7"/>
  <c r="S31" i="7"/>
  <c r="Q31" i="7"/>
  <c r="O31" i="7"/>
  <c r="M31" i="7"/>
  <c r="K31" i="7"/>
  <c r="I31" i="7"/>
  <c r="G31" i="7"/>
  <c r="D31" i="7"/>
  <c r="A31" i="7"/>
  <c r="A46" i="7"/>
  <c r="A45" i="7"/>
  <c r="A44" i="7"/>
  <c r="A43" i="7"/>
  <c r="V42" i="7"/>
  <c r="T42" i="7"/>
  <c r="R42" i="7"/>
  <c r="P42" i="7"/>
  <c r="N42" i="7"/>
  <c r="L42" i="7"/>
  <c r="J42" i="7"/>
  <c r="H42" i="7"/>
  <c r="A42" i="7"/>
  <c r="A41" i="7"/>
  <c r="AD76" i="7"/>
  <c r="AC76" i="7"/>
  <c r="AB76" i="7"/>
  <c r="AA76" i="7"/>
  <c r="Z76" i="7"/>
  <c r="Y76" i="7"/>
  <c r="X76" i="7"/>
  <c r="W76" i="7"/>
  <c r="V76" i="7"/>
  <c r="U76" i="7"/>
  <c r="T76" i="7"/>
  <c r="S76" i="7"/>
  <c r="R76" i="7"/>
  <c r="Q76" i="7"/>
  <c r="P76" i="7"/>
  <c r="O76" i="7"/>
  <c r="N76" i="7"/>
  <c r="M76" i="7"/>
  <c r="L76" i="7"/>
  <c r="K76" i="7"/>
  <c r="J76" i="7"/>
  <c r="I76" i="7"/>
  <c r="H76" i="7"/>
  <c r="G76" i="7"/>
  <c r="A76" i="7"/>
  <c r="U75" i="7"/>
  <c r="S75" i="7"/>
  <c r="Q75" i="7"/>
  <c r="O75" i="7"/>
  <c r="M75" i="7"/>
  <c r="K75" i="7"/>
  <c r="I75" i="7"/>
  <c r="G75" i="7"/>
  <c r="F75" i="7"/>
  <c r="D75" i="7"/>
  <c r="A75" i="7"/>
  <c r="AD74" i="7"/>
  <c r="AC74" i="7"/>
  <c r="AB74" i="7"/>
  <c r="AA74" i="7"/>
  <c r="Z74" i="7"/>
  <c r="Y74" i="7"/>
  <c r="X74" i="7"/>
  <c r="W74" i="7"/>
  <c r="V74" i="7"/>
  <c r="U74" i="7"/>
  <c r="T74" i="7"/>
  <c r="S74" i="7"/>
  <c r="R74" i="7"/>
  <c r="Q74" i="7"/>
  <c r="P74" i="7"/>
  <c r="O74" i="7"/>
  <c r="N74" i="7"/>
  <c r="M74" i="7"/>
  <c r="L74" i="7"/>
  <c r="K74" i="7"/>
  <c r="J74" i="7"/>
  <c r="I74" i="7"/>
  <c r="H74" i="7"/>
  <c r="G74" i="7"/>
  <c r="C74" i="7"/>
  <c r="A74" i="7"/>
  <c r="U73" i="7"/>
  <c r="S73" i="7"/>
  <c r="Q73" i="7"/>
  <c r="O73" i="7"/>
  <c r="M73" i="7"/>
  <c r="K73" i="7"/>
  <c r="I73" i="7"/>
  <c r="G73" i="7"/>
  <c r="D73" i="7"/>
  <c r="A73" i="7"/>
  <c r="V72" i="7"/>
  <c r="T72" i="7"/>
  <c r="R72" i="7"/>
  <c r="P72" i="7"/>
  <c r="N72" i="7"/>
  <c r="L72" i="7"/>
  <c r="J72" i="7"/>
  <c r="H72" i="7"/>
  <c r="A72" i="7"/>
  <c r="A71" i="7"/>
  <c r="V70" i="7"/>
  <c r="T70" i="7"/>
  <c r="R70" i="7"/>
  <c r="P70" i="7"/>
  <c r="N70" i="7"/>
  <c r="L70" i="7"/>
  <c r="J70" i="7"/>
  <c r="H70" i="7"/>
  <c r="A70" i="7"/>
  <c r="A69" i="7"/>
  <c r="V30" i="7"/>
  <c r="T30" i="7"/>
  <c r="R30" i="7"/>
  <c r="P30" i="7"/>
  <c r="N30" i="7"/>
  <c r="L30" i="7"/>
  <c r="J30" i="7"/>
  <c r="H30" i="7"/>
  <c r="A30" i="7"/>
  <c r="A29" i="7"/>
  <c r="V28" i="7"/>
  <c r="T28" i="7"/>
  <c r="R28" i="7"/>
  <c r="P28" i="7"/>
  <c r="N28" i="7"/>
  <c r="L28" i="7"/>
  <c r="J28" i="7"/>
  <c r="H28" i="7"/>
  <c r="A28" i="7"/>
  <c r="A27" i="7"/>
  <c r="B15" i="4"/>
  <c r="BC15" i="4" s="1"/>
  <c r="B14" i="4"/>
  <c r="BC14" i="4" s="1"/>
  <c r="I19" i="1"/>
  <c r="I18" i="1"/>
  <c r="W17" i="1"/>
  <c r="Z52" i="12"/>
  <c r="O919" i="6"/>
  <c r="O974" i="6"/>
  <c r="O973" i="6"/>
  <c r="O972" i="6"/>
  <c r="O971" i="6"/>
  <c r="O970" i="6"/>
  <c r="O969" i="6"/>
  <c r="O968" i="6"/>
  <c r="O967" i="6"/>
  <c r="O963" i="6"/>
  <c r="O962" i="6"/>
  <c r="O961" i="6"/>
  <c r="O960" i="6"/>
  <c r="O959" i="6"/>
  <c r="O958" i="6"/>
  <c r="O957" i="6"/>
  <c r="O956" i="6"/>
  <c r="O952" i="6"/>
  <c r="O951" i="6"/>
  <c r="O950" i="6"/>
  <c r="O949" i="6"/>
  <c r="O948" i="6"/>
  <c r="O947" i="6"/>
  <c r="O946" i="6"/>
  <c r="O945" i="6"/>
  <c r="O941" i="6"/>
  <c r="O940" i="6"/>
  <c r="O939" i="6"/>
  <c r="O938" i="6"/>
  <c r="O937" i="6"/>
  <c r="O936" i="6"/>
  <c r="O935" i="6"/>
  <c r="O934" i="6"/>
  <c r="O930" i="6"/>
  <c r="O929" i="6"/>
  <c r="O928" i="6"/>
  <c r="O927" i="6"/>
  <c r="O926" i="6"/>
  <c r="O925" i="6"/>
  <c r="O924" i="6"/>
  <c r="O923" i="6"/>
  <c r="O918" i="6"/>
  <c r="O917" i="6"/>
  <c r="O916" i="6"/>
  <c r="O915" i="6"/>
  <c r="O914" i="6"/>
  <c r="O913" i="6"/>
  <c r="O912" i="6"/>
  <c r="O908" i="6"/>
  <c r="O907" i="6"/>
  <c r="O906" i="6"/>
  <c r="O905" i="6"/>
  <c r="O904" i="6"/>
  <c r="O903" i="6"/>
  <c r="O902" i="6"/>
  <c r="O901" i="6"/>
  <c r="D42" i="12" l="1"/>
  <c r="D41" i="12"/>
  <c r="D40" i="12"/>
  <c r="D39" i="12"/>
  <c r="D38" i="12"/>
  <c r="D37" i="12"/>
  <c r="D36" i="12"/>
  <c r="D35" i="12"/>
  <c r="D34" i="12"/>
  <c r="D33" i="12"/>
  <c r="D32" i="12"/>
  <c r="D31" i="12"/>
  <c r="D30" i="12"/>
  <c r="D29" i="12"/>
  <c r="D28" i="12"/>
  <c r="D27" i="12"/>
  <c r="D26" i="12"/>
  <c r="D25" i="12"/>
  <c r="D24" i="12"/>
  <c r="D23" i="12"/>
  <c r="D22" i="12"/>
  <c r="D21" i="12"/>
  <c r="D20" i="12"/>
  <c r="D19" i="12"/>
  <c r="D18" i="12"/>
  <c r="D17" i="12"/>
  <c r="D16" i="12"/>
  <c r="D15" i="12"/>
  <c r="D14" i="12"/>
  <c r="D13" i="12"/>
  <c r="D12" i="12"/>
  <c r="D11" i="12"/>
  <c r="D10" i="12"/>
  <c r="D9" i="12"/>
  <c r="M91" i="11"/>
  <c r="M89" i="11"/>
  <c r="M78" i="11"/>
  <c r="M75" i="11"/>
  <c r="M64" i="11"/>
  <c r="M62" i="11"/>
  <c r="E10" i="14" l="1"/>
  <c r="E11" i="14"/>
  <c r="E12" i="14"/>
  <c r="E13" i="14"/>
  <c r="E14" i="14"/>
  <c r="E9" i="14"/>
  <c r="E12" i="13"/>
  <c r="E13" i="13"/>
  <c r="E14" i="13"/>
  <c r="E15" i="13"/>
  <c r="E16" i="13"/>
  <c r="E17" i="13"/>
  <c r="E18" i="13"/>
  <c r="E19" i="13"/>
  <c r="E20" i="13"/>
  <c r="E21" i="13"/>
  <c r="E22" i="13"/>
  <c r="E23" i="13"/>
  <c r="E24" i="13"/>
  <c r="E25" i="13"/>
  <c r="E26" i="13"/>
  <c r="E27" i="13"/>
  <c r="E28" i="13"/>
  <c r="E29" i="13"/>
  <c r="E30" i="13"/>
  <c r="E31" i="13"/>
  <c r="E32" i="13"/>
  <c r="E33" i="13"/>
  <c r="E34" i="13"/>
  <c r="E35" i="13"/>
  <c r="E36" i="13"/>
  <c r="E10" i="13"/>
  <c r="E11" i="13"/>
  <c r="E9" i="13"/>
  <c r="H180" i="3"/>
  <c r="H177" i="3"/>
  <c r="H174" i="3"/>
  <c r="Z56" i="12"/>
  <c r="Z55" i="12"/>
  <c r="Z54" i="12"/>
  <c r="Z53" i="12"/>
  <c r="Z51" i="12"/>
  <c r="Z50" i="12"/>
  <c r="Z49" i="12"/>
  <c r="Z48" i="12"/>
  <c r="Z47" i="12"/>
  <c r="Z46" i="12"/>
  <c r="S7" i="13"/>
  <c r="W7" i="14"/>
  <c r="E322" i="7"/>
  <c r="E208" i="7"/>
  <c r="E100" i="7"/>
  <c r="E9" i="7"/>
  <c r="O27" i="6" l="1"/>
  <c r="O28" i="6"/>
  <c r="O49" i="6"/>
  <c r="O50" i="6"/>
  <c r="O56" i="6"/>
  <c r="O57" i="6"/>
  <c r="O58" i="6"/>
  <c r="O59" i="6"/>
  <c r="O60" i="6"/>
  <c r="O61" i="6"/>
  <c r="O105" i="6"/>
  <c r="O116" i="6"/>
  <c r="O133" i="6"/>
  <c r="O134" i="6"/>
  <c r="O135" i="6"/>
  <c r="O136" i="6"/>
  <c r="O137" i="6"/>
  <c r="O138" i="6"/>
  <c r="O142" i="6"/>
  <c r="O143" i="6"/>
  <c r="O144" i="6"/>
  <c r="O145" i="6"/>
  <c r="O146" i="6"/>
  <c r="O147" i="6"/>
  <c r="O148" i="6"/>
  <c r="O149" i="6"/>
  <c r="O157" i="6"/>
  <c r="O158" i="6"/>
  <c r="O159" i="6"/>
  <c r="O160" i="6"/>
  <c r="O171" i="6"/>
  <c r="O181" i="6"/>
  <c r="O182" i="6"/>
  <c r="O202" i="6"/>
  <c r="O203" i="6"/>
  <c r="O204" i="6"/>
  <c r="O212" i="6"/>
  <c r="O213" i="6"/>
  <c r="O214" i="6"/>
  <c r="O215" i="6"/>
  <c r="O223" i="6"/>
  <c r="O224" i="6"/>
  <c r="O225" i="6"/>
  <c r="O226" i="6"/>
  <c r="O235" i="6"/>
  <c r="O236" i="6"/>
  <c r="O237" i="6"/>
  <c r="O259" i="6"/>
  <c r="O263" i="6"/>
  <c r="O264" i="6"/>
  <c r="O265" i="6"/>
  <c r="O266" i="6"/>
  <c r="O267" i="6"/>
  <c r="O268" i="6"/>
  <c r="O269" i="6"/>
  <c r="O270" i="6"/>
  <c r="O281" i="6"/>
  <c r="O303" i="6"/>
  <c r="O309" i="6"/>
  <c r="O310" i="6"/>
  <c r="O311" i="6"/>
  <c r="O312" i="6"/>
  <c r="O313" i="6"/>
  <c r="O314" i="6"/>
  <c r="O320" i="6"/>
  <c r="O321" i="6"/>
  <c r="O322" i="6"/>
  <c r="O323" i="6"/>
  <c r="O324" i="6"/>
  <c r="O325" i="6"/>
  <c r="O344" i="6"/>
  <c r="O345" i="6"/>
  <c r="O346" i="6"/>
  <c r="O347" i="6"/>
  <c r="O354" i="6"/>
  <c r="O355" i="6"/>
  <c r="O356" i="6"/>
  <c r="O357" i="6"/>
  <c r="O358" i="6"/>
  <c r="O376" i="6"/>
  <c r="O377" i="6"/>
  <c r="O378" i="6"/>
  <c r="O379" i="6"/>
  <c r="O380" i="6"/>
  <c r="O400" i="6"/>
  <c r="O401" i="6"/>
  <c r="O402" i="6"/>
  <c r="O406" i="6"/>
  <c r="O407" i="6"/>
  <c r="O408" i="6"/>
  <c r="O409" i="6"/>
  <c r="O410" i="6"/>
  <c r="O411" i="6"/>
  <c r="O412" i="6"/>
  <c r="O413" i="6"/>
  <c r="O428" i="6"/>
  <c r="O429" i="6"/>
  <c r="O430" i="6"/>
  <c r="O431" i="6"/>
  <c r="O432" i="6"/>
  <c r="O433" i="6"/>
  <c r="O434" i="6"/>
  <c r="O435" i="6"/>
  <c r="O475" i="6"/>
  <c r="O476" i="6"/>
  <c r="O477" i="6"/>
  <c r="O478" i="6"/>
  <c r="O479" i="6"/>
  <c r="O490" i="6"/>
  <c r="O500" i="6"/>
  <c r="O501" i="6"/>
  <c r="O512" i="6"/>
  <c r="O521" i="6"/>
  <c r="O522" i="6"/>
  <c r="O523" i="6"/>
  <c r="O534" i="6"/>
  <c r="O538" i="6"/>
  <c r="O539" i="6"/>
  <c r="O540" i="6"/>
  <c r="O541" i="6"/>
  <c r="O542" i="6"/>
  <c r="O543" i="6"/>
  <c r="O544" i="6"/>
  <c r="O545" i="6"/>
  <c r="O600" i="6"/>
  <c r="O621" i="6"/>
  <c r="O622" i="6"/>
  <c r="O631" i="6"/>
  <c r="O632" i="6"/>
  <c r="O633" i="6"/>
  <c r="O641" i="6"/>
  <c r="O642" i="6"/>
  <c r="O643" i="6"/>
  <c r="O644" i="6"/>
  <c r="O670" i="6"/>
  <c r="O671" i="6"/>
  <c r="O672" i="6"/>
  <c r="O673" i="6"/>
  <c r="O674" i="6"/>
  <c r="O675" i="6"/>
  <c r="O676" i="6"/>
  <c r="O677" i="6"/>
  <c r="O684" i="6"/>
  <c r="O685" i="6"/>
  <c r="O686" i="6"/>
  <c r="O687" i="6"/>
  <c r="O688" i="6"/>
  <c r="O696" i="6"/>
  <c r="O697" i="6"/>
  <c r="O698" i="6"/>
  <c r="O699" i="6"/>
  <c r="O710" i="6"/>
  <c r="O721" i="6"/>
  <c r="O725" i="6"/>
  <c r="O726" i="6"/>
  <c r="O727" i="6"/>
  <c r="O728" i="6"/>
  <c r="O729" i="6"/>
  <c r="O730" i="6"/>
  <c r="O731" i="6"/>
  <c r="O732" i="6"/>
  <c r="O753" i="6"/>
  <c r="O754" i="6"/>
  <c r="O769" i="6"/>
  <c r="O770" i="6"/>
  <c r="O771" i="6"/>
  <c r="O772" i="6"/>
  <c r="O773" i="6"/>
  <c r="O774" i="6"/>
  <c r="O775" i="6"/>
  <c r="O776" i="6"/>
  <c r="O786" i="6"/>
  <c r="O787" i="6"/>
  <c r="O809" i="6"/>
  <c r="O820" i="6"/>
  <c r="O824" i="6"/>
  <c r="O825" i="6"/>
  <c r="O826" i="6"/>
  <c r="O827" i="6"/>
  <c r="O828" i="6"/>
  <c r="O829" i="6"/>
  <c r="O830" i="6"/>
  <c r="O831" i="6"/>
  <c r="O851" i="6"/>
  <c r="O852" i="6"/>
  <c r="O853" i="6"/>
  <c r="O857" i="6"/>
  <c r="O858" i="6"/>
  <c r="O859" i="6"/>
  <c r="O860" i="6"/>
  <c r="O861" i="6"/>
  <c r="O862" i="6"/>
  <c r="O863" i="6"/>
  <c r="O864" i="6"/>
  <c r="O868" i="6"/>
  <c r="O869" i="6"/>
  <c r="O870" i="6"/>
  <c r="O871" i="6"/>
  <c r="O872" i="6"/>
  <c r="O873" i="6"/>
  <c r="O874" i="6"/>
  <c r="O875" i="6"/>
  <c r="O879" i="6"/>
  <c r="O880" i="6"/>
  <c r="O881" i="6"/>
  <c r="O882" i="6"/>
  <c r="O883" i="6"/>
  <c r="O884" i="6"/>
  <c r="O885" i="6"/>
  <c r="O886" i="6"/>
  <c r="O891" i="6"/>
  <c r="I42" i="7" s="1"/>
  <c r="O892" i="6"/>
  <c r="K42" i="7" s="1"/>
  <c r="O893" i="6"/>
  <c r="M42" i="7" s="1"/>
  <c r="O894" i="6"/>
  <c r="O42" i="7" s="1"/>
  <c r="O895" i="6"/>
  <c r="Q42" i="7" s="1"/>
  <c r="O896" i="6"/>
  <c r="S42" i="7" s="1"/>
  <c r="O897" i="6"/>
  <c r="U42" i="7" s="1"/>
  <c r="O978" i="6"/>
  <c r="O979" i="6"/>
  <c r="O981" i="6"/>
  <c r="O982" i="6"/>
  <c r="O983" i="6"/>
  <c r="O984" i="6"/>
  <c r="O985" i="6"/>
  <c r="O989" i="6"/>
  <c r="O990" i="6"/>
  <c r="O991" i="6"/>
  <c r="O992" i="6"/>
  <c r="O993" i="6"/>
  <c r="O994" i="6"/>
  <c r="O995" i="6"/>
  <c r="O996" i="6"/>
  <c r="O1000" i="6"/>
  <c r="O1001" i="6"/>
  <c r="O1002" i="6"/>
  <c r="O1003" i="6"/>
  <c r="O1004" i="6"/>
  <c r="O1005" i="6"/>
  <c r="O1006" i="6"/>
  <c r="O1007" i="6"/>
  <c r="O1012" i="6"/>
  <c r="O1013" i="6"/>
  <c r="O1014" i="6"/>
  <c r="O1015" i="6"/>
  <c r="O1016" i="6"/>
  <c r="O1017" i="6"/>
  <c r="O1018" i="6"/>
  <c r="O1024" i="6"/>
  <c r="O1025" i="6"/>
  <c r="O1026" i="6"/>
  <c r="O1027" i="6"/>
  <c r="O1028" i="6"/>
  <c r="O1029" i="6"/>
  <c r="O1033" i="6"/>
  <c r="O1034" i="6"/>
  <c r="O1035" i="6"/>
  <c r="O1036" i="6"/>
  <c r="O1037" i="6"/>
  <c r="O1038" i="6"/>
  <c r="O1039" i="6"/>
  <c r="O1040" i="6"/>
  <c r="O1046" i="6"/>
  <c r="O1047" i="6"/>
  <c r="O1048" i="6"/>
  <c r="O1049" i="6"/>
  <c r="O1050" i="6"/>
  <c r="O1051" i="6"/>
  <c r="O1055" i="6"/>
  <c r="O1056" i="6"/>
  <c r="O1057" i="6"/>
  <c r="O1058" i="6"/>
  <c r="O1059" i="6"/>
  <c r="O1060" i="6"/>
  <c r="O1061" i="6"/>
  <c r="O1062" i="6"/>
  <c r="O1066" i="6"/>
  <c r="O1067" i="6"/>
  <c r="O1068" i="6"/>
  <c r="O1069" i="6"/>
  <c r="O1070" i="6"/>
  <c r="O1071" i="6"/>
  <c r="O1072" i="6"/>
  <c r="O1073" i="6"/>
  <c r="O1078" i="6"/>
  <c r="O1079" i="6"/>
  <c r="O1080" i="6"/>
  <c r="O1081" i="6"/>
  <c r="O1082" i="6"/>
  <c r="O1083" i="6"/>
  <c r="O1084" i="6"/>
  <c r="O1088" i="6"/>
  <c r="O1089" i="6"/>
  <c r="O1090" i="6"/>
  <c r="O1091" i="6"/>
  <c r="O1092" i="6"/>
  <c r="O1093" i="6"/>
  <c r="O1094" i="6"/>
  <c r="O1095" i="6"/>
  <c r="O1099" i="6"/>
  <c r="O1100" i="6"/>
  <c r="O1101" i="6"/>
  <c r="O1102" i="6"/>
  <c r="O1103" i="6"/>
  <c r="O1104" i="6"/>
  <c r="O1105" i="6"/>
  <c r="O1106" i="6"/>
  <c r="B1" i="17"/>
  <c r="D55" i="16" l="1"/>
  <c r="E55" i="16"/>
  <c r="F55" i="16"/>
  <c r="G55" i="16"/>
  <c r="H55" i="16"/>
  <c r="I55" i="16"/>
  <c r="J55" i="16"/>
  <c r="K55" i="16"/>
  <c r="E57" i="16"/>
  <c r="G57" i="16"/>
  <c r="H57" i="16"/>
  <c r="I57" i="16"/>
  <c r="J58" i="16"/>
  <c r="J59" i="16"/>
  <c r="J60" i="16"/>
  <c r="J62" i="16"/>
  <c r="G63" i="16"/>
  <c r="J63" i="16"/>
  <c r="D65" i="16"/>
  <c r="B66" i="16"/>
  <c r="C66" i="16"/>
  <c r="F66" i="16"/>
  <c r="G66" i="16"/>
  <c r="J66" i="16"/>
  <c r="K66" i="16"/>
  <c r="AS1099" i="6"/>
  <c r="AS1088" i="6"/>
  <c r="AS1077" i="6"/>
  <c r="AS1066" i="6"/>
  <c r="AS1055" i="6"/>
  <c r="AS1044" i="6"/>
  <c r="AS1033" i="6"/>
  <c r="AS1022" i="6"/>
  <c r="AS1011" i="6"/>
  <c r="AS1000" i="6"/>
  <c r="AS989" i="6"/>
  <c r="AS978" i="6"/>
  <c r="AS967" i="6"/>
  <c r="AS956" i="6"/>
  <c r="AS945" i="6"/>
  <c r="AS934" i="6"/>
  <c r="AS923" i="6"/>
  <c r="AS912" i="6"/>
  <c r="AS901" i="6"/>
  <c r="AS890" i="6"/>
  <c r="AS879" i="6"/>
  <c r="AS868" i="6"/>
  <c r="AS857" i="6"/>
  <c r="AS846" i="6"/>
  <c r="AS835" i="6"/>
  <c r="AS824" i="6"/>
  <c r="AS813" i="6"/>
  <c r="AS802" i="6"/>
  <c r="AS791" i="6"/>
  <c r="AS780" i="6"/>
  <c r="AS769" i="6"/>
  <c r="AS758" i="6"/>
  <c r="AS747" i="6"/>
  <c r="AS736" i="6"/>
  <c r="AS725" i="6"/>
  <c r="AS714" i="6"/>
  <c r="AS703" i="6"/>
  <c r="AS692" i="6"/>
  <c r="AS681" i="6"/>
  <c r="AS670" i="6"/>
  <c r="AS659" i="6"/>
  <c r="AS648" i="6"/>
  <c r="AS637" i="6"/>
  <c r="AS626" i="6"/>
  <c r="AS615" i="6"/>
  <c r="AS604" i="6"/>
  <c r="AS593" i="6"/>
  <c r="AS582" i="6"/>
  <c r="AS571" i="6"/>
  <c r="AS560" i="6"/>
  <c r="AS549" i="6"/>
  <c r="AS538" i="6"/>
  <c r="AS527" i="6"/>
  <c r="AS516" i="6"/>
  <c r="AS505" i="6"/>
  <c r="AS494" i="6"/>
  <c r="AS483" i="6"/>
  <c r="AS472" i="6"/>
  <c r="AS461" i="6"/>
  <c r="AS450" i="6"/>
  <c r="AS439" i="6"/>
  <c r="AS428" i="6"/>
  <c r="AS417" i="6"/>
  <c r="AS406" i="6"/>
  <c r="AS395" i="6"/>
  <c r="AS384" i="6"/>
  <c r="AS373" i="6"/>
  <c r="AS362" i="6"/>
  <c r="AS351" i="6"/>
  <c r="AS340" i="6"/>
  <c r="AS329" i="6"/>
  <c r="AS318" i="6"/>
  <c r="AS307" i="6"/>
  <c r="AS296" i="6"/>
  <c r="AS285" i="6"/>
  <c r="AS274" i="6"/>
  <c r="AS263" i="6"/>
  <c r="AS252" i="6"/>
  <c r="AS241" i="6"/>
  <c r="AS230" i="6"/>
  <c r="AS219" i="6"/>
  <c r="AS208" i="6"/>
  <c r="AS197" i="6"/>
  <c r="AS186" i="6"/>
  <c r="AS175" i="6"/>
  <c r="AS164" i="6"/>
  <c r="AS153" i="6"/>
  <c r="AS142" i="6"/>
  <c r="AS131" i="6"/>
  <c r="AS120" i="6"/>
  <c r="AS109" i="6"/>
  <c r="AS98" i="6"/>
  <c r="AS87" i="6"/>
  <c r="AS76" i="6"/>
  <c r="AS65" i="6"/>
  <c r="AS54" i="6"/>
  <c r="AS43" i="6"/>
  <c r="AS32" i="6"/>
  <c r="AS21" i="6"/>
  <c r="K54" i="16"/>
  <c r="J54" i="16"/>
  <c r="I54" i="16"/>
  <c r="H54" i="16"/>
  <c r="G54" i="16"/>
  <c r="F54" i="16"/>
  <c r="E54" i="16"/>
  <c r="D54" i="16"/>
  <c r="K53" i="16"/>
  <c r="J53" i="16"/>
  <c r="I53" i="16"/>
  <c r="H53" i="16"/>
  <c r="G53" i="16"/>
  <c r="F53" i="16"/>
  <c r="E53" i="16"/>
  <c r="D53" i="16"/>
  <c r="K52" i="16"/>
  <c r="J52" i="16"/>
  <c r="I52" i="16"/>
  <c r="H52" i="16"/>
  <c r="G52" i="16"/>
  <c r="F52" i="16"/>
  <c r="E52" i="16"/>
  <c r="D52" i="16"/>
  <c r="K50" i="16"/>
  <c r="J50" i="16"/>
  <c r="I50" i="16"/>
  <c r="H50" i="16"/>
  <c r="G50" i="16"/>
  <c r="F50" i="16"/>
  <c r="E50" i="16"/>
  <c r="D50" i="16"/>
  <c r="K47" i="16"/>
  <c r="J47" i="16"/>
  <c r="I47" i="16"/>
  <c r="H47" i="16"/>
  <c r="G47" i="16"/>
  <c r="F47" i="16"/>
  <c r="E47" i="16"/>
  <c r="D47" i="16"/>
  <c r="K46" i="16"/>
  <c r="J46" i="16"/>
  <c r="I46" i="16"/>
  <c r="H46" i="16"/>
  <c r="G46" i="16"/>
  <c r="F46" i="16"/>
  <c r="E46" i="16"/>
  <c r="D46" i="16"/>
  <c r="K41" i="16"/>
  <c r="J41" i="16"/>
  <c r="I41" i="16"/>
  <c r="H41" i="16"/>
  <c r="G41" i="16"/>
  <c r="F41" i="16"/>
  <c r="E41" i="16"/>
  <c r="D41" i="16"/>
  <c r="K38" i="16"/>
  <c r="J38" i="16"/>
  <c r="I38" i="16"/>
  <c r="H38" i="16"/>
  <c r="G38" i="16"/>
  <c r="F38" i="16"/>
  <c r="E38" i="16"/>
  <c r="D38" i="16"/>
  <c r="K28" i="16"/>
  <c r="J28" i="16"/>
  <c r="I28" i="16"/>
  <c r="H28" i="16"/>
  <c r="G28" i="16"/>
  <c r="F28" i="16"/>
  <c r="E28" i="16"/>
  <c r="D28" i="16"/>
  <c r="K24" i="16"/>
  <c r="J24" i="16"/>
  <c r="I24" i="16"/>
  <c r="H24" i="16"/>
  <c r="G24" i="16"/>
  <c r="F24" i="16"/>
  <c r="E24" i="16"/>
  <c r="D24" i="16"/>
  <c r="K33" i="16"/>
  <c r="J33" i="16"/>
  <c r="I33" i="16"/>
  <c r="H33" i="16"/>
  <c r="G33" i="16"/>
  <c r="F33" i="16"/>
  <c r="E33" i="16"/>
  <c r="D33" i="16"/>
  <c r="K25" i="16"/>
  <c r="J25" i="16"/>
  <c r="I25" i="16"/>
  <c r="H25" i="16"/>
  <c r="G25" i="16"/>
  <c r="F25" i="16"/>
  <c r="E25" i="16"/>
  <c r="D25" i="16"/>
  <c r="G61" i="16"/>
  <c r="K56" i="16"/>
  <c r="J56" i="16"/>
  <c r="I56" i="16"/>
  <c r="H56" i="16"/>
  <c r="G56" i="16"/>
  <c r="F56" i="16"/>
  <c r="E56" i="16"/>
  <c r="D56" i="16"/>
  <c r="K51" i="16"/>
  <c r="J51" i="16"/>
  <c r="I51" i="16"/>
  <c r="H51" i="16"/>
  <c r="G51" i="16"/>
  <c r="F51" i="16"/>
  <c r="E51" i="16"/>
  <c r="D51" i="16"/>
  <c r="K49" i="16"/>
  <c r="J49" i="16"/>
  <c r="I49" i="16"/>
  <c r="H49" i="16"/>
  <c r="G49" i="16"/>
  <c r="F49" i="16"/>
  <c r="E49" i="16"/>
  <c r="D49" i="16"/>
  <c r="K48" i="16"/>
  <c r="J48" i="16"/>
  <c r="I48" i="16"/>
  <c r="H48" i="16"/>
  <c r="G48" i="16"/>
  <c r="F48" i="16"/>
  <c r="E48" i="16"/>
  <c r="D48" i="16"/>
  <c r="K45" i="16"/>
  <c r="J45" i="16"/>
  <c r="I45" i="16"/>
  <c r="H45" i="16"/>
  <c r="G45" i="16"/>
  <c r="F45" i="16"/>
  <c r="E45" i="16"/>
  <c r="D45" i="16"/>
  <c r="K44" i="16"/>
  <c r="J44" i="16"/>
  <c r="I44" i="16"/>
  <c r="H44" i="16"/>
  <c r="G44" i="16"/>
  <c r="F44" i="16"/>
  <c r="E44" i="16"/>
  <c r="D44" i="16"/>
  <c r="K43" i="16"/>
  <c r="J43" i="16"/>
  <c r="I43" i="16"/>
  <c r="H43" i="16"/>
  <c r="G43" i="16"/>
  <c r="F43" i="16"/>
  <c r="E43" i="16"/>
  <c r="D43" i="16"/>
  <c r="K42" i="16"/>
  <c r="J42" i="16"/>
  <c r="I42" i="16"/>
  <c r="H42" i="16"/>
  <c r="G42" i="16"/>
  <c r="F42" i="16"/>
  <c r="E42" i="16"/>
  <c r="D42" i="16"/>
  <c r="K40" i="16"/>
  <c r="J40" i="16"/>
  <c r="I40" i="16"/>
  <c r="H40" i="16"/>
  <c r="G40" i="16"/>
  <c r="F40" i="16"/>
  <c r="E40" i="16"/>
  <c r="D40" i="16"/>
  <c r="K39" i="16"/>
  <c r="J39" i="16"/>
  <c r="I39" i="16"/>
  <c r="H39" i="16"/>
  <c r="G39" i="16"/>
  <c r="F39" i="16"/>
  <c r="E39" i="16"/>
  <c r="D39" i="16"/>
  <c r="K37" i="16"/>
  <c r="J37" i="16"/>
  <c r="I37" i="16"/>
  <c r="H37" i="16"/>
  <c r="G37" i="16"/>
  <c r="F37" i="16"/>
  <c r="E37" i="16"/>
  <c r="D37" i="16"/>
  <c r="K36" i="16"/>
  <c r="J36" i="16"/>
  <c r="I36" i="16"/>
  <c r="H36" i="16"/>
  <c r="G36" i="16"/>
  <c r="F36" i="16"/>
  <c r="E36" i="16"/>
  <c r="D36" i="16"/>
  <c r="K35" i="16"/>
  <c r="J35" i="16"/>
  <c r="I35" i="16"/>
  <c r="H35" i="16"/>
  <c r="G35" i="16"/>
  <c r="F35" i="16"/>
  <c r="E35" i="16"/>
  <c r="D35" i="16"/>
  <c r="K34" i="16"/>
  <c r="J34" i="16"/>
  <c r="I34" i="16"/>
  <c r="H34" i="16"/>
  <c r="G34" i="16"/>
  <c r="F34" i="16"/>
  <c r="E34" i="16"/>
  <c r="D34" i="16"/>
  <c r="K32" i="16"/>
  <c r="J32" i="16"/>
  <c r="I32" i="16"/>
  <c r="H32" i="16"/>
  <c r="G32" i="16"/>
  <c r="F32" i="16"/>
  <c r="E32" i="16"/>
  <c r="D32" i="16"/>
  <c r="K31" i="16"/>
  <c r="J31" i="16"/>
  <c r="I31" i="16"/>
  <c r="H31" i="16"/>
  <c r="G31" i="16"/>
  <c r="F31" i="16"/>
  <c r="E31" i="16"/>
  <c r="D31" i="16"/>
  <c r="K30" i="16"/>
  <c r="J30" i="16"/>
  <c r="I30" i="16"/>
  <c r="G16" i="14" s="1"/>
  <c r="G24" i="14" s="1"/>
  <c r="H30" i="16"/>
  <c r="G30" i="16"/>
  <c r="F30" i="16"/>
  <c r="E30" i="16"/>
  <c r="D30" i="16"/>
  <c r="K29" i="16"/>
  <c r="J29" i="16"/>
  <c r="I29" i="16"/>
  <c r="H29" i="16"/>
  <c r="G29" i="16"/>
  <c r="F29" i="16"/>
  <c r="E29" i="16"/>
  <c r="D29" i="16"/>
  <c r="K27" i="16"/>
  <c r="J27" i="16"/>
  <c r="I27" i="16"/>
  <c r="H27" i="16"/>
  <c r="G27" i="16"/>
  <c r="F27" i="16"/>
  <c r="E27" i="16"/>
  <c r="D27" i="16"/>
  <c r="K26" i="16"/>
  <c r="J26" i="16"/>
  <c r="G16" i="13" s="1"/>
  <c r="G24" i="13" s="1"/>
  <c r="I26" i="16"/>
  <c r="H26" i="16"/>
  <c r="G26" i="16"/>
  <c r="F26" i="16"/>
  <c r="E26" i="16"/>
  <c r="D26" i="16"/>
  <c r="K23" i="16"/>
  <c r="G17" i="13" s="1"/>
  <c r="G25" i="13" s="1"/>
  <c r="J23" i="16"/>
  <c r="I23" i="16"/>
  <c r="H23" i="16"/>
  <c r="G23" i="16"/>
  <c r="F23" i="16"/>
  <c r="E23" i="16"/>
  <c r="D23" i="16"/>
  <c r="K22" i="16"/>
  <c r="J22" i="16"/>
  <c r="I22" i="16"/>
  <c r="H22" i="16"/>
  <c r="G22" i="16"/>
  <c r="F22" i="16"/>
  <c r="E22" i="16"/>
  <c r="D22" i="16"/>
  <c r="G13" i="14" l="1"/>
  <c r="G21" i="14" s="1"/>
  <c r="G17" i="14"/>
  <c r="G25" i="14" s="1"/>
  <c r="G18" i="14"/>
  <c r="G26" i="14" s="1"/>
  <c r="G12" i="14"/>
  <c r="G20" i="14" s="1"/>
  <c r="G11" i="14"/>
  <c r="G19" i="14" s="1"/>
  <c r="G15" i="14"/>
  <c r="G23" i="14" s="1"/>
  <c r="G14" i="14"/>
  <c r="G22" i="14" s="1"/>
  <c r="L55" i="16"/>
  <c r="AS1108" i="6"/>
  <c r="F35" i="2" s="1"/>
  <c r="L59" i="16"/>
  <c r="L64" i="16"/>
  <c r="L57" i="16"/>
  <c r="L62" i="16"/>
  <c r="L65" i="16"/>
  <c r="L58" i="16"/>
  <c r="L66" i="16"/>
  <c r="L63" i="16"/>
  <c r="L60" i="16"/>
  <c r="G10" i="13"/>
  <c r="G18" i="13" s="1"/>
  <c r="G14" i="13"/>
  <c r="G22" i="13" s="1"/>
  <c r="G11" i="13"/>
  <c r="G19" i="13" s="1"/>
  <c r="L46" i="16"/>
  <c r="L28" i="16"/>
  <c r="L56" i="16"/>
  <c r="L48" i="16"/>
  <c r="L40" i="16"/>
  <c r="L30" i="16"/>
  <c r="G15" i="13"/>
  <c r="G23" i="13" s="1"/>
  <c r="G13" i="13"/>
  <c r="G21" i="13" s="1"/>
  <c r="G12" i="13"/>
  <c r="G20" i="13" s="1"/>
  <c r="L24" i="16" l="1"/>
  <c r="L36" i="16"/>
  <c r="L42" i="16"/>
  <c r="L27" i="16"/>
  <c r="L37" i="16"/>
  <c r="L31" i="16"/>
  <c r="L35" i="16"/>
  <c r="L29" i="16"/>
  <c r="L32" i="16"/>
  <c r="L50" i="16"/>
  <c r="L54" i="16"/>
  <c r="L26" i="16"/>
  <c r="L34" i="16"/>
  <c r="L49" i="16"/>
  <c r="L33" i="16"/>
  <c r="L38" i="16"/>
  <c r="L47" i="16"/>
  <c r="L22" i="16"/>
  <c r="L23" i="16"/>
  <c r="L44" i="16"/>
  <c r="L45" i="16"/>
  <c r="L61" i="16"/>
  <c r="L52" i="16"/>
  <c r="L39" i="16"/>
  <c r="L43" i="16"/>
  <c r="L51" i="16"/>
  <c r="L25" i="16"/>
  <c r="L41" i="16"/>
  <c r="L53" i="16"/>
  <c r="U183" i="15" l="1"/>
  <c r="U182" i="15"/>
  <c r="L182" i="15"/>
  <c r="K182" i="15"/>
  <c r="J182" i="15"/>
  <c r="I182" i="15"/>
  <c r="H182" i="15"/>
  <c r="G182" i="15"/>
  <c r="F182" i="15"/>
  <c r="E182" i="15"/>
  <c r="U181" i="15"/>
  <c r="T177" i="15"/>
  <c r="S177" i="15"/>
  <c r="R177" i="15"/>
  <c r="Q177" i="15"/>
  <c r="P177" i="15"/>
  <c r="O177" i="15"/>
  <c r="N177" i="15"/>
  <c r="M177" i="15"/>
  <c r="T172" i="15"/>
  <c r="S172" i="15"/>
  <c r="R172" i="15"/>
  <c r="Q172" i="15"/>
  <c r="P172" i="15"/>
  <c r="O172" i="15"/>
  <c r="N172" i="15"/>
  <c r="M172" i="15"/>
  <c r="T167" i="15"/>
  <c r="S167" i="15"/>
  <c r="R167" i="15"/>
  <c r="Q167" i="15"/>
  <c r="P167" i="15"/>
  <c r="O167" i="15"/>
  <c r="N167" i="15"/>
  <c r="M167" i="15"/>
  <c r="T162" i="15"/>
  <c r="S162" i="15"/>
  <c r="R162" i="15"/>
  <c r="Q162" i="15"/>
  <c r="P162" i="15"/>
  <c r="O162" i="15"/>
  <c r="N162" i="15"/>
  <c r="M162" i="15"/>
  <c r="T157" i="15"/>
  <c r="S157" i="15"/>
  <c r="R157" i="15"/>
  <c r="Q157" i="15"/>
  <c r="P157" i="15"/>
  <c r="O157" i="15"/>
  <c r="N157" i="15"/>
  <c r="M157" i="15"/>
  <c r="T152" i="15"/>
  <c r="S152" i="15"/>
  <c r="R152" i="15"/>
  <c r="Q152" i="15"/>
  <c r="P152" i="15"/>
  <c r="O152" i="15"/>
  <c r="N152" i="15"/>
  <c r="M152" i="15"/>
  <c r="T147" i="15"/>
  <c r="S147" i="15"/>
  <c r="R147" i="15"/>
  <c r="Q147" i="15"/>
  <c r="P147" i="15"/>
  <c r="O147" i="15"/>
  <c r="N147" i="15"/>
  <c r="M147" i="15"/>
  <c r="T144" i="15"/>
  <c r="S144" i="15"/>
  <c r="R144" i="15"/>
  <c r="Q144" i="15"/>
  <c r="P144" i="15"/>
  <c r="O144" i="15"/>
  <c r="N144" i="15"/>
  <c r="M144" i="15"/>
  <c r="T141" i="15"/>
  <c r="S141" i="15"/>
  <c r="R141" i="15"/>
  <c r="Q141" i="15"/>
  <c r="P141" i="15"/>
  <c r="O141" i="15"/>
  <c r="N141" i="15"/>
  <c r="M141" i="15"/>
  <c r="T138" i="15"/>
  <c r="S138" i="15"/>
  <c r="R138" i="15"/>
  <c r="Q138" i="15"/>
  <c r="P138" i="15"/>
  <c r="O138" i="15"/>
  <c r="N138" i="15"/>
  <c r="M138" i="15"/>
  <c r="T135" i="15"/>
  <c r="S135" i="15"/>
  <c r="R135" i="15"/>
  <c r="Q135" i="15"/>
  <c r="P135" i="15"/>
  <c r="O135" i="15"/>
  <c r="N135" i="15"/>
  <c r="M135" i="15"/>
  <c r="T132" i="15"/>
  <c r="S132" i="15"/>
  <c r="R132" i="15"/>
  <c r="Q132" i="15"/>
  <c r="P132" i="15"/>
  <c r="O132" i="15"/>
  <c r="N132" i="15"/>
  <c r="M132" i="15"/>
  <c r="T129" i="15"/>
  <c r="S129" i="15"/>
  <c r="R129" i="15"/>
  <c r="Q129" i="15"/>
  <c r="P129" i="15"/>
  <c r="O129" i="15"/>
  <c r="N129" i="15"/>
  <c r="M129" i="15"/>
  <c r="T126" i="15"/>
  <c r="S126" i="15"/>
  <c r="R126" i="15"/>
  <c r="Q126" i="15"/>
  <c r="P126" i="15"/>
  <c r="O126" i="15"/>
  <c r="N126" i="15"/>
  <c r="M126" i="15"/>
  <c r="T123" i="15"/>
  <c r="S123" i="15"/>
  <c r="R123" i="15"/>
  <c r="Q123" i="15"/>
  <c r="P123" i="15"/>
  <c r="O123" i="15"/>
  <c r="N123" i="15"/>
  <c r="M123" i="15"/>
  <c r="T120" i="15"/>
  <c r="S120" i="15"/>
  <c r="R120" i="15"/>
  <c r="Q120" i="15"/>
  <c r="P120" i="15"/>
  <c r="O120" i="15"/>
  <c r="N120" i="15"/>
  <c r="M120" i="15"/>
  <c r="T117" i="15"/>
  <c r="S117" i="15"/>
  <c r="R117" i="15"/>
  <c r="Q117" i="15"/>
  <c r="P117" i="15"/>
  <c r="O117" i="15"/>
  <c r="N117" i="15"/>
  <c r="M117" i="15"/>
  <c r="T114" i="15"/>
  <c r="S114" i="15"/>
  <c r="R114" i="15"/>
  <c r="Q114" i="15"/>
  <c r="P114" i="15"/>
  <c r="O114" i="15"/>
  <c r="N114" i="15"/>
  <c r="M114" i="15"/>
  <c r="T111" i="15"/>
  <c r="S111" i="15"/>
  <c r="R111" i="15"/>
  <c r="Q111" i="15"/>
  <c r="P111" i="15"/>
  <c r="O111" i="15"/>
  <c r="N111" i="15"/>
  <c r="M111" i="15"/>
  <c r="T108" i="15"/>
  <c r="S108" i="15"/>
  <c r="Q108" i="15"/>
  <c r="P108" i="15"/>
  <c r="O108" i="15"/>
  <c r="N108" i="15"/>
  <c r="T105" i="15"/>
  <c r="S105" i="15"/>
  <c r="R105" i="15"/>
  <c r="Q105" i="15"/>
  <c r="P105" i="15"/>
  <c r="O105" i="15"/>
  <c r="N105" i="15"/>
  <c r="M105" i="15"/>
  <c r="T102" i="15"/>
  <c r="S102" i="15"/>
  <c r="R102" i="15"/>
  <c r="Q102" i="15"/>
  <c r="P102" i="15"/>
  <c r="O102" i="15"/>
  <c r="N102" i="15"/>
  <c r="M102" i="15"/>
  <c r="T99" i="15"/>
  <c r="S99" i="15"/>
  <c r="R99" i="15"/>
  <c r="Q99" i="15"/>
  <c r="P99" i="15"/>
  <c r="O99" i="15"/>
  <c r="N99" i="15"/>
  <c r="M99" i="15"/>
  <c r="T96" i="15"/>
  <c r="S96" i="15"/>
  <c r="R96" i="15"/>
  <c r="Q96" i="15"/>
  <c r="P96" i="15"/>
  <c r="O96" i="15"/>
  <c r="N96" i="15"/>
  <c r="M96" i="15"/>
  <c r="T93" i="15"/>
  <c r="S93" i="15"/>
  <c r="R93" i="15"/>
  <c r="Q93" i="15"/>
  <c r="P93" i="15"/>
  <c r="O93" i="15"/>
  <c r="N93" i="15"/>
  <c r="M93" i="15"/>
  <c r="T90" i="15"/>
  <c r="S90" i="15"/>
  <c r="R90" i="15"/>
  <c r="Q90" i="15"/>
  <c r="P90" i="15"/>
  <c r="O90" i="15"/>
  <c r="N90" i="15"/>
  <c r="M90" i="15"/>
  <c r="T87" i="15"/>
  <c r="S87" i="15"/>
  <c r="R87" i="15"/>
  <c r="Q87" i="15"/>
  <c r="P87" i="15"/>
  <c r="O87" i="15"/>
  <c r="N87" i="15"/>
  <c r="M87" i="15"/>
  <c r="T84" i="15"/>
  <c r="S84" i="15"/>
  <c r="R84" i="15"/>
  <c r="Q84" i="15"/>
  <c r="P84" i="15"/>
  <c r="O84" i="15"/>
  <c r="N84" i="15"/>
  <c r="M84" i="15"/>
  <c r="T81" i="15"/>
  <c r="S81" i="15"/>
  <c r="R81" i="15"/>
  <c r="Q81" i="15"/>
  <c r="P81" i="15"/>
  <c r="O81" i="15"/>
  <c r="N81" i="15"/>
  <c r="M81" i="15"/>
  <c r="T78" i="15"/>
  <c r="S78" i="15"/>
  <c r="R78" i="15"/>
  <c r="Q78" i="15"/>
  <c r="P78" i="15"/>
  <c r="O78" i="15"/>
  <c r="N78" i="15"/>
  <c r="M78" i="15"/>
  <c r="T75" i="15"/>
  <c r="S75" i="15"/>
  <c r="R75" i="15"/>
  <c r="Q75" i="15"/>
  <c r="P75" i="15"/>
  <c r="O75" i="15"/>
  <c r="N75" i="15"/>
  <c r="M75" i="15"/>
  <c r="T72" i="15"/>
  <c r="R72" i="15"/>
  <c r="P72" i="15"/>
  <c r="O72" i="15"/>
  <c r="N72" i="15"/>
  <c r="S69" i="15"/>
  <c r="R69" i="15"/>
  <c r="Q69" i="15"/>
  <c r="P69" i="15"/>
  <c r="O69" i="15"/>
  <c r="N69" i="15"/>
  <c r="M69" i="15"/>
  <c r="T66" i="15"/>
  <c r="S66" i="15"/>
  <c r="R66" i="15"/>
  <c r="Q66" i="15"/>
  <c r="P66" i="15"/>
  <c r="O66" i="15"/>
  <c r="N66" i="15"/>
  <c r="M66" i="15"/>
  <c r="T63" i="15"/>
  <c r="R63" i="15"/>
  <c r="Q63" i="15"/>
  <c r="P63" i="15"/>
  <c r="O63" i="15"/>
  <c r="M63" i="15"/>
  <c r="T60" i="15"/>
  <c r="S60" i="15"/>
  <c r="R60" i="15"/>
  <c r="Q60" i="15"/>
  <c r="P60" i="15"/>
  <c r="O60" i="15"/>
  <c r="N60" i="15"/>
  <c r="M60" i="15"/>
  <c r="T57" i="15"/>
  <c r="S57" i="15"/>
  <c r="R57" i="15"/>
  <c r="Q57" i="15"/>
  <c r="P57" i="15"/>
  <c r="O57" i="15"/>
  <c r="N57" i="15"/>
  <c r="M57" i="15"/>
  <c r="T54" i="15"/>
  <c r="S54" i="15"/>
  <c r="R54" i="15"/>
  <c r="Q54" i="15"/>
  <c r="P54" i="15"/>
  <c r="O54" i="15"/>
  <c r="N54" i="15"/>
  <c r="M54" i="15"/>
  <c r="T51" i="15"/>
  <c r="S51" i="15"/>
  <c r="P51" i="15"/>
  <c r="O51" i="15"/>
  <c r="N51" i="15"/>
  <c r="M51" i="15"/>
  <c r="T48" i="15"/>
  <c r="R48" i="15"/>
  <c r="Q48" i="15"/>
  <c r="P48" i="15"/>
  <c r="O48" i="15"/>
  <c r="N48" i="15"/>
  <c r="T45" i="15"/>
  <c r="S45" i="15"/>
  <c r="R45" i="15"/>
  <c r="Q45" i="15"/>
  <c r="P45" i="15"/>
  <c r="O45" i="15"/>
  <c r="N45" i="15"/>
  <c r="M45" i="15"/>
  <c r="T42" i="15"/>
  <c r="S42" i="15"/>
  <c r="R42" i="15"/>
  <c r="Q42" i="15"/>
  <c r="P42" i="15"/>
  <c r="O42" i="15"/>
  <c r="N42" i="15"/>
  <c r="M42" i="15"/>
  <c r="T39" i="15"/>
  <c r="S39" i="15"/>
  <c r="R39" i="15"/>
  <c r="Q39" i="15"/>
  <c r="P39" i="15"/>
  <c r="O39" i="15"/>
  <c r="N39" i="15"/>
  <c r="M39" i="15"/>
  <c r="T36" i="15"/>
  <c r="S36" i="15"/>
  <c r="R36" i="15"/>
  <c r="Q36" i="15"/>
  <c r="P36" i="15"/>
  <c r="O36" i="15"/>
  <c r="N36" i="15"/>
  <c r="M36" i="15"/>
  <c r="T33" i="15"/>
  <c r="S33" i="15"/>
  <c r="R33" i="15"/>
  <c r="Q33" i="15"/>
  <c r="P33" i="15"/>
  <c r="O33" i="15"/>
  <c r="N33" i="15"/>
  <c r="M33" i="15"/>
  <c r="T30" i="15"/>
  <c r="S30" i="15"/>
  <c r="R30" i="15"/>
  <c r="P30" i="15"/>
  <c r="P11" i="15" s="1"/>
  <c r="S27" i="15"/>
  <c r="R27" i="15"/>
  <c r="P27" i="15"/>
  <c r="O27" i="15"/>
  <c r="O10" i="15" s="1"/>
  <c r="N27" i="15"/>
  <c r="M27" i="15"/>
  <c r="T24" i="15"/>
  <c r="R24" i="15"/>
  <c r="Q24" i="15"/>
  <c r="P24" i="15"/>
  <c r="O24" i="15"/>
  <c r="M24" i="15"/>
  <c r="T21" i="15"/>
  <c r="S21" i="15"/>
  <c r="R21" i="15"/>
  <c r="Q21" i="15"/>
  <c r="Q12" i="15" s="1"/>
  <c r="P21" i="15"/>
  <c r="O21" i="15"/>
  <c r="N21" i="15"/>
  <c r="M21" i="15"/>
  <c r="M11" i="15" s="1"/>
  <c r="M8" i="15"/>
  <c r="O4" i="12"/>
  <c r="F29" i="14"/>
  <c r="D29" i="14"/>
  <c r="C29" i="14"/>
  <c r="F28" i="14"/>
  <c r="D28" i="14"/>
  <c r="C28" i="14"/>
  <c r="F27" i="14"/>
  <c r="D27" i="14"/>
  <c r="C27" i="14"/>
  <c r="F26" i="14"/>
  <c r="D26" i="14"/>
  <c r="C26" i="14"/>
  <c r="F25" i="14"/>
  <c r="D25" i="14"/>
  <c r="C25" i="14"/>
  <c r="F24" i="14"/>
  <c r="D24" i="14"/>
  <c r="C24" i="14"/>
  <c r="F23" i="14"/>
  <c r="D23" i="14"/>
  <c r="C23" i="14"/>
  <c r="F22" i="14"/>
  <c r="D22" i="14"/>
  <c r="C22" i="14"/>
  <c r="F21" i="14"/>
  <c r="D21" i="14"/>
  <c r="C21" i="14"/>
  <c r="F20" i="14"/>
  <c r="D20" i="14"/>
  <c r="C20" i="14"/>
  <c r="F19" i="14"/>
  <c r="D19" i="14"/>
  <c r="C19" i="14"/>
  <c r="F18" i="14"/>
  <c r="D18" i="14"/>
  <c r="C18" i="14"/>
  <c r="F17" i="14"/>
  <c r="D17" i="14"/>
  <c r="C17" i="14"/>
  <c r="F16" i="14"/>
  <c r="D16" i="14"/>
  <c r="C16" i="14"/>
  <c r="F15" i="14"/>
  <c r="D15" i="14"/>
  <c r="C15" i="14"/>
  <c r="S8" i="14"/>
  <c r="O8" i="13"/>
  <c r="G7" i="13"/>
  <c r="A46" i="12"/>
  <c r="Z45" i="12"/>
  <c r="Z44" i="12"/>
  <c r="Z43" i="12"/>
  <c r="Z42" i="12"/>
  <c r="Z41" i="12"/>
  <c r="Z40" i="12"/>
  <c r="Z39" i="12"/>
  <c r="Z38" i="12"/>
  <c r="Z37" i="12"/>
  <c r="Z36" i="12"/>
  <c r="Z35" i="12"/>
  <c r="Z34" i="12"/>
  <c r="Z33" i="12"/>
  <c r="X33" i="12"/>
  <c r="W33" i="12"/>
  <c r="V33" i="12"/>
  <c r="U33" i="12"/>
  <c r="T33" i="12"/>
  <c r="S33" i="12"/>
  <c r="R33" i="12"/>
  <c r="Q33" i="12"/>
  <c r="P33" i="12"/>
  <c r="O33" i="12"/>
  <c r="N33" i="12"/>
  <c r="M33" i="12"/>
  <c r="L33" i="12"/>
  <c r="K33" i="12"/>
  <c r="J33" i="12"/>
  <c r="I33" i="12"/>
  <c r="Z32" i="12"/>
  <c r="Z31" i="12"/>
  <c r="Z30" i="12"/>
  <c r="Z29" i="12"/>
  <c r="X29" i="12"/>
  <c r="W29" i="12"/>
  <c r="V29" i="12"/>
  <c r="U29" i="12"/>
  <c r="T29" i="12"/>
  <c r="S29" i="12"/>
  <c r="R29" i="12"/>
  <c r="Q29" i="12"/>
  <c r="P29" i="12"/>
  <c r="O29" i="12"/>
  <c r="N29" i="12"/>
  <c r="M29" i="12"/>
  <c r="L29" i="12"/>
  <c r="K29" i="12"/>
  <c r="J29" i="12"/>
  <c r="I29" i="12"/>
  <c r="Z28" i="12"/>
  <c r="V28" i="12"/>
  <c r="U28" i="12"/>
  <c r="Z27" i="12"/>
  <c r="V27" i="12"/>
  <c r="Z26" i="12"/>
  <c r="Z25" i="12"/>
  <c r="X25" i="12"/>
  <c r="W25" i="12"/>
  <c r="V25" i="12"/>
  <c r="U25" i="12"/>
  <c r="T25" i="12"/>
  <c r="S25" i="12"/>
  <c r="R25" i="12"/>
  <c r="Q25" i="12"/>
  <c r="P25" i="12"/>
  <c r="O25" i="12"/>
  <c r="N25" i="12"/>
  <c r="M25" i="12"/>
  <c r="L25" i="12"/>
  <c r="K25" i="12"/>
  <c r="J25" i="12"/>
  <c r="I25" i="12"/>
  <c r="Z24" i="12"/>
  <c r="Z23" i="12"/>
  <c r="Z22" i="12"/>
  <c r="Z21" i="12"/>
  <c r="X21" i="12"/>
  <c r="W21" i="12"/>
  <c r="V21" i="12"/>
  <c r="U21" i="12"/>
  <c r="T21" i="12"/>
  <c r="S21" i="12"/>
  <c r="R21" i="12"/>
  <c r="Q21" i="12"/>
  <c r="P21" i="12"/>
  <c r="O21" i="12"/>
  <c r="N21" i="12"/>
  <c r="M21" i="12"/>
  <c r="L21" i="12"/>
  <c r="K21" i="12"/>
  <c r="J21" i="12"/>
  <c r="I21" i="12"/>
  <c r="Z20" i="12"/>
  <c r="X20" i="12"/>
  <c r="W20" i="12"/>
  <c r="Z19" i="12"/>
  <c r="X19" i="12"/>
  <c r="Z18" i="12"/>
  <c r="Z17" i="12"/>
  <c r="X17" i="12"/>
  <c r="W17" i="12"/>
  <c r="V17" i="12"/>
  <c r="U17" i="12"/>
  <c r="T17" i="12"/>
  <c r="S17" i="12"/>
  <c r="R17" i="12"/>
  <c r="Q17" i="12"/>
  <c r="P17" i="12"/>
  <c r="O17" i="12"/>
  <c r="N17" i="12"/>
  <c r="M17" i="12"/>
  <c r="L17" i="12"/>
  <c r="K17" i="12"/>
  <c r="J17" i="12"/>
  <c r="I17" i="12"/>
  <c r="Z16" i="12"/>
  <c r="Z15" i="12"/>
  <c r="Z14" i="12"/>
  <c r="AE13" i="12"/>
  <c r="Z13" i="12"/>
  <c r="X13" i="12"/>
  <c r="W13" i="12"/>
  <c r="V13" i="12"/>
  <c r="U13" i="12"/>
  <c r="T13" i="12"/>
  <c r="S13" i="12"/>
  <c r="R13" i="12"/>
  <c r="Q13" i="12"/>
  <c r="P13" i="12"/>
  <c r="O13" i="12"/>
  <c r="N13" i="12"/>
  <c r="M13" i="12"/>
  <c r="L13" i="12"/>
  <c r="K13" i="12"/>
  <c r="J13" i="12"/>
  <c r="I13" i="12"/>
  <c r="Z12" i="12"/>
  <c r="Z11" i="12"/>
  <c r="Z10" i="12"/>
  <c r="Z9" i="12"/>
  <c r="M7" i="15" l="1"/>
  <c r="U63" i="15"/>
  <c r="S9" i="15"/>
  <c r="M5" i="15"/>
  <c r="M9" i="15"/>
  <c r="M6" i="15"/>
  <c r="M10" i="15"/>
  <c r="U72" i="15"/>
  <c r="O7" i="15"/>
  <c r="N9" i="15"/>
  <c r="R12" i="15"/>
  <c r="U117" i="15"/>
  <c r="U138" i="15"/>
  <c r="U172" i="15"/>
  <c r="U177" i="15"/>
  <c r="O5" i="15"/>
  <c r="O6" i="15"/>
  <c r="O8" i="15"/>
  <c r="O9" i="15"/>
  <c r="S11" i="15"/>
  <c r="Q5" i="15"/>
  <c r="Q6" i="15"/>
  <c r="Q7" i="15"/>
  <c r="Q8" i="15"/>
  <c r="Q9" i="15"/>
  <c r="Q10" i="15"/>
  <c r="M12" i="15"/>
  <c r="S5" i="15"/>
  <c r="S6" i="15"/>
  <c r="S7" i="15"/>
  <c r="S8" i="15"/>
  <c r="U75" i="15"/>
  <c r="U93" i="15"/>
  <c r="F13" i="12"/>
  <c r="F14" i="12"/>
  <c r="Q11" i="15"/>
  <c r="N7" i="15"/>
  <c r="R10" i="15"/>
  <c r="U69" i="15"/>
  <c r="O11" i="15"/>
  <c r="S10" i="15"/>
  <c r="U57" i="15"/>
  <c r="P10" i="15"/>
  <c r="T10" i="15"/>
  <c r="U81" i="15"/>
  <c r="U90" i="15"/>
  <c r="U102" i="15"/>
  <c r="U114" i="15"/>
  <c r="U126" i="15"/>
  <c r="U152" i="15"/>
  <c r="U78" i="15"/>
  <c r="U84" i="15"/>
  <c r="U96" i="15"/>
  <c r="U105" i="15"/>
  <c r="U144" i="15"/>
  <c r="U157" i="15"/>
  <c r="U87" i="15"/>
  <c r="U99" i="15"/>
  <c r="U132" i="15"/>
  <c r="F39" i="12"/>
  <c r="N5" i="15"/>
  <c r="R5" i="15"/>
  <c r="P6" i="15"/>
  <c r="T6" i="15"/>
  <c r="R7" i="15"/>
  <c r="P8" i="15"/>
  <c r="T8" i="15"/>
  <c r="R9" i="15"/>
  <c r="U27" i="15"/>
  <c r="U33" i="15"/>
  <c r="U39" i="15"/>
  <c r="U60" i="15"/>
  <c r="T11" i="15"/>
  <c r="N184" i="15"/>
  <c r="N11" i="15"/>
  <c r="R184" i="15"/>
  <c r="R11" i="15"/>
  <c r="P5" i="15"/>
  <c r="T5" i="15"/>
  <c r="N6" i="15"/>
  <c r="R6" i="15"/>
  <c r="P7" i="15"/>
  <c r="T7" i="15"/>
  <c r="N8" i="15"/>
  <c r="R8" i="15"/>
  <c r="P9" i="15"/>
  <c r="T9" i="15"/>
  <c r="N10" i="15"/>
  <c r="N12" i="15"/>
  <c r="O184" i="15"/>
  <c r="O12" i="15"/>
  <c r="S184" i="15"/>
  <c r="S12" i="15"/>
  <c r="U24" i="15"/>
  <c r="U30" i="15"/>
  <c r="U36" i="15"/>
  <c r="U42" i="15"/>
  <c r="U45" i="15"/>
  <c r="U48" i="15"/>
  <c r="U51" i="15"/>
  <c r="U54" i="15"/>
  <c r="U66" i="15"/>
  <c r="P184" i="15"/>
  <c r="T184" i="15"/>
  <c r="P12" i="15"/>
  <c r="T12" i="15"/>
  <c r="M184" i="15"/>
  <c r="Q184" i="15"/>
  <c r="U21" i="15"/>
  <c r="U108" i="15"/>
  <c r="U111" i="15"/>
  <c r="U120" i="15"/>
  <c r="U123" i="15"/>
  <c r="U129" i="15"/>
  <c r="U135" i="15"/>
  <c r="U141" i="15"/>
  <c r="U162" i="15"/>
  <c r="U147" i="15"/>
  <c r="U167" i="15"/>
  <c r="F21" i="12"/>
  <c r="F26" i="12"/>
  <c r="F31" i="12"/>
  <c r="F36" i="12"/>
  <c r="F41" i="12"/>
  <c r="F22" i="12"/>
  <c r="F10" i="12"/>
  <c r="F18" i="12"/>
  <c r="F23" i="12"/>
  <c r="F27" i="12"/>
  <c r="F32" i="12"/>
  <c r="F37" i="12"/>
  <c r="F42" i="12"/>
  <c r="F28" i="12"/>
  <c r="F16" i="12"/>
  <c r="F11" i="12"/>
  <c r="F19" i="12"/>
  <c r="F24" i="12"/>
  <c r="F29" i="12"/>
  <c r="F34" i="12"/>
  <c r="F38" i="12"/>
  <c r="F9" i="12"/>
  <c r="F33" i="12"/>
  <c r="F12" i="12"/>
  <c r="F15" i="12"/>
  <c r="F20" i="12"/>
  <c r="F25" i="12"/>
  <c r="F30" i="12"/>
  <c r="F35" i="12"/>
  <c r="F40" i="12"/>
  <c r="F17" i="12"/>
  <c r="M13" i="15" l="1"/>
  <c r="Q13" i="15"/>
  <c r="U8" i="15"/>
  <c r="U6" i="15"/>
  <c r="O13" i="15"/>
  <c r="S13" i="15"/>
  <c r="U10" i="15"/>
  <c r="U11" i="15"/>
  <c r="U9" i="15"/>
  <c r="U7" i="15"/>
  <c r="U12" i="15"/>
  <c r="N13" i="15"/>
  <c r="T13" i="15"/>
  <c r="T185" i="15"/>
  <c r="P185" i="15"/>
  <c r="S185" i="15"/>
  <c r="O185" i="15"/>
  <c r="R185" i="15"/>
  <c r="Q185" i="15"/>
  <c r="N185" i="15"/>
  <c r="U184" i="15"/>
  <c r="P13" i="15"/>
  <c r="U5" i="15"/>
  <c r="R13" i="15"/>
  <c r="F44" i="12"/>
  <c r="K5" i="7" l="1"/>
  <c r="E6" i="7"/>
  <c r="E1" i="9"/>
  <c r="G3" i="11"/>
  <c r="M11" i="11"/>
  <c r="M12" i="11"/>
  <c r="M13" i="11"/>
  <c r="M14" i="11"/>
  <c r="M15" i="11"/>
  <c r="M16" i="11"/>
  <c r="M17" i="11"/>
  <c r="M18" i="11"/>
  <c r="M19" i="11"/>
  <c r="B91" i="11"/>
  <c r="M90" i="11"/>
  <c r="B90" i="11"/>
  <c r="B89" i="11"/>
  <c r="M88" i="11"/>
  <c r="B88" i="11"/>
  <c r="M87" i="11"/>
  <c r="B87" i="11"/>
  <c r="M86" i="11"/>
  <c r="B86" i="11"/>
  <c r="M85" i="11"/>
  <c r="B85" i="11"/>
  <c r="M84" i="11"/>
  <c r="B84" i="11"/>
  <c r="M83" i="11"/>
  <c r="B83" i="11"/>
  <c r="M82" i="11"/>
  <c r="B82" i="11"/>
  <c r="M81" i="11"/>
  <c r="B81" i="11"/>
  <c r="B78" i="11"/>
  <c r="M77" i="11"/>
  <c r="B77" i="11"/>
  <c r="M76" i="11"/>
  <c r="B76" i="11"/>
  <c r="B75" i="11"/>
  <c r="M74" i="11"/>
  <c r="B74" i="11"/>
  <c r="M73" i="11"/>
  <c r="B73" i="11"/>
  <c r="M72" i="11"/>
  <c r="B72" i="11"/>
  <c r="M71" i="11"/>
  <c r="B71" i="11"/>
  <c r="M70" i="11"/>
  <c r="B70" i="11"/>
  <c r="M69" i="11"/>
  <c r="B69" i="11"/>
  <c r="M68" i="11"/>
  <c r="B68" i="11"/>
  <c r="M65" i="11"/>
  <c r="B65" i="11"/>
  <c r="B64" i="11"/>
  <c r="M63" i="11"/>
  <c r="B63" i="11"/>
  <c r="B62" i="11"/>
  <c r="M61" i="11"/>
  <c r="B61" i="11"/>
  <c r="M60" i="11"/>
  <c r="B60" i="11"/>
  <c r="M59" i="11"/>
  <c r="B59" i="11"/>
  <c r="M58" i="11"/>
  <c r="B58" i="11"/>
  <c r="M57" i="11"/>
  <c r="B57" i="11"/>
  <c r="M56" i="11"/>
  <c r="B56" i="11"/>
  <c r="M46" i="11"/>
  <c r="B46" i="11"/>
  <c r="M45" i="11"/>
  <c r="B45" i="11"/>
  <c r="M44" i="11"/>
  <c r="B44" i="11"/>
  <c r="M43" i="11"/>
  <c r="B43" i="11"/>
  <c r="M42" i="11"/>
  <c r="B42" i="11"/>
  <c r="M41" i="11"/>
  <c r="B41" i="11"/>
  <c r="M40" i="11"/>
  <c r="B40" i="11"/>
  <c r="M39" i="11"/>
  <c r="B39" i="11"/>
  <c r="M38" i="11"/>
  <c r="B38" i="11"/>
  <c r="M37" i="11"/>
  <c r="B37" i="11"/>
  <c r="M36" i="11"/>
  <c r="B36" i="11"/>
  <c r="M33" i="11"/>
  <c r="B33" i="11"/>
  <c r="M32" i="11"/>
  <c r="B32" i="11"/>
  <c r="M31" i="11"/>
  <c r="B31" i="11"/>
  <c r="M30" i="11"/>
  <c r="B30" i="11"/>
  <c r="M29" i="11"/>
  <c r="B29" i="11"/>
  <c r="M28" i="11"/>
  <c r="B28" i="11"/>
  <c r="M27" i="11"/>
  <c r="B27" i="11"/>
  <c r="M26" i="11"/>
  <c r="B26" i="11"/>
  <c r="M25" i="11"/>
  <c r="B25" i="11"/>
  <c r="M24" i="11"/>
  <c r="B24" i="11"/>
  <c r="M23" i="11"/>
  <c r="B23" i="11"/>
  <c r="B19" i="11"/>
  <c r="B18" i="11"/>
  <c r="B17" i="11"/>
  <c r="B16" i="11"/>
  <c r="B15" i="11"/>
  <c r="B14" i="11"/>
  <c r="B13" i="11"/>
  <c r="B12" i="11"/>
  <c r="B11" i="11"/>
  <c r="M10" i="11"/>
  <c r="B10" i="11"/>
  <c r="AA556" i="6" l="1"/>
  <c r="Z556" i="6"/>
  <c r="V556" i="6"/>
  <c r="U556" i="6"/>
  <c r="R556" i="6"/>
  <c r="L556" i="6"/>
  <c r="R555" i="6"/>
  <c r="L555" i="6"/>
  <c r="R554" i="6"/>
  <c r="L554" i="6"/>
  <c r="R553" i="6"/>
  <c r="L553" i="6"/>
  <c r="R552" i="6"/>
  <c r="L552" i="6"/>
  <c r="R551" i="6"/>
  <c r="L551" i="6"/>
  <c r="R550" i="6"/>
  <c r="L550" i="6"/>
  <c r="R549" i="6"/>
  <c r="L549" i="6"/>
  <c r="A549" i="6"/>
  <c r="A550" i="6" s="1"/>
  <c r="A551" i="6" s="1"/>
  <c r="A552" i="6" s="1"/>
  <c r="A553" i="6" s="1"/>
  <c r="A554" i="6" s="1"/>
  <c r="A555" i="6" s="1"/>
  <c r="A556" i="6" s="1"/>
  <c r="AA545" i="6"/>
  <c r="Z545" i="6"/>
  <c r="V545" i="6"/>
  <c r="U545" i="6"/>
  <c r="R545" i="6"/>
  <c r="P545" i="6"/>
  <c r="L545" i="6"/>
  <c r="R544" i="6"/>
  <c r="L544" i="6"/>
  <c r="R543" i="6"/>
  <c r="L543" i="6"/>
  <c r="R542" i="6"/>
  <c r="L542" i="6"/>
  <c r="R541" i="6"/>
  <c r="L541" i="6"/>
  <c r="R540" i="6"/>
  <c r="L540" i="6"/>
  <c r="R539" i="6"/>
  <c r="L539" i="6"/>
  <c r="R538" i="6"/>
  <c r="L538" i="6"/>
  <c r="A538" i="6"/>
  <c r="A539" i="6" s="1"/>
  <c r="A540" i="6" s="1"/>
  <c r="A541" i="6" s="1"/>
  <c r="A542" i="6" s="1"/>
  <c r="A543" i="6" s="1"/>
  <c r="A544" i="6" s="1"/>
  <c r="A545" i="6" s="1"/>
  <c r="AA534" i="6"/>
  <c r="Z534" i="6"/>
  <c r="V534" i="6"/>
  <c r="U534" i="6"/>
  <c r="R534" i="6"/>
  <c r="P534" i="6"/>
  <c r="L534" i="6"/>
  <c r="R533" i="6"/>
  <c r="L533" i="6"/>
  <c r="R532" i="6"/>
  <c r="L532" i="6"/>
  <c r="R531" i="6"/>
  <c r="L531" i="6"/>
  <c r="R530" i="6"/>
  <c r="L530" i="6"/>
  <c r="R529" i="6"/>
  <c r="L529" i="6"/>
  <c r="R528" i="6"/>
  <c r="L528" i="6"/>
  <c r="R527" i="6"/>
  <c r="L527" i="6"/>
  <c r="A527" i="6"/>
  <c r="A528" i="6" s="1"/>
  <c r="A529" i="6" s="1"/>
  <c r="A530" i="6" s="1"/>
  <c r="A531" i="6" s="1"/>
  <c r="A532" i="6" s="1"/>
  <c r="A533" i="6" s="1"/>
  <c r="A534" i="6" s="1"/>
  <c r="AA523" i="6"/>
  <c r="Z523" i="6"/>
  <c r="V523" i="6"/>
  <c r="U523" i="6"/>
  <c r="R523" i="6"/>
  <c r="P523" i="6"/>
  <c r="L523" i="6"/>
  <c r="R522" i="6"/>
  <c r="L522" i="6"/>
  <c r="R521" i="6"/>
  <c r="L521" i="6"/>
  <c r="R520" i="6"/>
  <c r="L520" i="6"/>
  <c r="R519" i="6"/>
  <c r="L519" i="6"/>
  <c r="R518" i="6"/>
  <c r="L518" i="6"/>
  <c r="R517" i="6"/>
  <c r="L517" i="6"/>
  <c r="R516" i="6"/>
  <c r="L516" i="6"/>
  <c r="A516" i="6"/>
  <c r="A517" i="6" s="1"/>
  <c r="A518" i="6" s="1"/>
  <c r="A519" i="6" s="1"/>
  <c r="A520" i="6" s="1"/>
  <c r="A521" i="6" s="1"/>
  <c r="A522" i="6" s="1"/>
  <c r="A523" i="6" s="1"/>
  <c r="T2" i="3"/>
  <c r="G2" i="3"/>
  <c r="P2" i="6"/>
  <c r="L20" i="10" l="1"/>
  <c r="J20" i="10"/>
  <c r="AD374" i="7" s="1"/>
  <c r="I20" i="10"/>
  <c r="AC374" i="7" s="1"/>
  <c r="H20" i="10"/>
  <c r="AB374" i="7" s="1"/>
  <c r="G20" i="10"/>
  <c r="AA374" i="7" s="1"/>
  <c r="F20" i="10"/>
  <c r="Z374" i="7" s="1"/>
  <c r="E20" i="10"/>
  <c r="Y374" i="7" s="1"/>
  <c r="D20" i="10"/>
  <c r="X374" i="7" s="1"/>
  <c r="C20" i="10"/>
  <c r="W374" i="7" s="1"/>
  <c r="X431" i="7" l="1"/>
  <c r="X317" i="7"/>
  <c r="X260" i="7"/>
  <c r="X203" i="7"/>
  <c r="X149" i="7"/>
  <c r="AB431" i="7"/>
  <c r="AB317" i="7"/>
  <c r="AB260" i="7"/>
  <c r="AB203" i="7"/>
  <c r="AB149" i="7"/>
  <c r="Y431" i="7"/>
  <c r="Y317" i="7"/>
  <c r="Y260" i="7"/>
  <c r="Y203" i="7"/>
  <c r="Y149" i="7"/>
  <c r="AC431" i="7"/>
  <c r="AC317" i="7"/>
  <c r="AC260" i="7"/>
  <c r="AC203" i="7"/>
  <c r="AC149" i="7"/>
  <c r="Z431" i="7"/>
  <c r="Z317" i="7"/>
  <c r="Z260" i="7"/>
  <c r="Z203" i="7"/>
  <c r="Z149" i="7"/>
  <c r="AD431" i="7"/>
  <c r="AD317" i="7"/>
  <c r="AD260" i="7"/>
  <c r="AD203" i="7"/>
  <c r="AD149" i="7"/>
  <c r="W431" i="7"/>
  <c r="W317" i="7"/>
  <c r="W260" i="7"/>
  <c r="W203" i="7"/>
  <c r="W149" i="7"/>
  <c r="AA431" i="7"/>
  <c r="AA317" i="7"/>
  <c r="AA260" i="7"/>
  <c r="AA203" i="7"/>
  <c r="AA149" i="7"/>
  <c r="N143" i="9"/>
  <c r="M143" i="9"/>
  <c r="L143" i="9"/>
  <c r="K143" i="9"/>
  <c r="J143" i="9"/>
  <c r="I143" i="9"/>
  <c r="G143" i="9"/>
  <c r="E143" i="9"/>
  <c r="L190" i="9"/>
  <c r="K190" i="9"/>
  <c r="J190" i="9"/>
  <c r="I190" i="9"/>
  <c r="G190" i="9"/>
  <c r="E190" i="9"/>
  <c r="C190" i="9"/>
  <c r="B190" i="9"/>
  <c r="L181" i="9"/>
  <c r="K181" i="9"/>
  <c r="J181" i="9"/>
  <c r="I181" i="9"/>
  <c r="G181" i="9"/>
  <c r="E181" i="9"/>
  <c r="C181" i="9"/>
  <c r="B181" i="9"/>
  <c r="L167" i="9"/>
  <c r="K167" i="9"/>
  <c r="J167" i="9"/>
  <c r="I167" i="9"/>
  <c r="G167" i="9"/>
  <c r="E167" i="9"/>
  <c r="A160" i="9"/>
  <c r="A159" i="9"/>
  <c r="L156" i="9"/>
  <c r="K156" i="9"/>
  <c r="J156" i="9"/>
  <c r="I156" i="9"/>
  <c r="G156" i="9"/>
  <c r="E156" i="9"/>
  <c r="C156" i="9"/>
  <c r="B156" i="9"/>
  <c r="L144" i="9"/>
  <c r="K144" i="9"/>
  <c r="J144" i="9"/>
  <c r="I144" i="9"/>
  <c r="G144" i="9"/>
  <c r="E144" i="9"/>
  <c r="C143" i="9"/>
  <c r="B143" i="9"/>
  <c r="A136" i="9"/>
  <c r="A135" i="9"/>
  <c r="L121" i="9"/>
  <c r="K121" i="9"/>
  <c r="J121" i="9"/>
  <c r="I121" i="9"/>
  <c r="G121" i="9"/>
  <c r="E121" i="9"/>
  <c r="A114" i="9"/>
  <c r="A113" i="9"/>
  <c r="L110" i="9"/>
  <c r="K110" i="9"/>
  <c r="J110" i="9"/>
  <c r="I110" i="9"/>
  <c r="G110" i="9"/>
  <c r="E110" i="9"/>
  <c r="A99" i="9"/>
  <c r="N98" i="9"/>
  <c r="A98" i="9"/>
  <c r="E84" i="9"/>
  <c r="A77" i="9"/>
  <c r="N76" i="9"/>
  <c r="A76" i="9"/>
  <c r="L73" i="9"/>
  <c r="K73" i="9"/>
  <c r="J73" i="9"/>
  <c r="I73" i="9"/>
  <c r="G73" i="9"/>
  <c r="E73" i="9"/>
  <c r="J61" i="9"/>
  <c r="A54" i="9"/>
  <c r="A53" i="9"/>
  <c r="L50" i="9"/>
  <c r="K50" i="9"/>
  <c r="J50" i="9"/>
  <c r="I50" i="9"/>
  <c r="G50" i="9"/>
  <c r="E50" i="9"/>
  <c r="L38" i="9"/>
  <c r="K38" i="9"/>
  <c r="J38" i="9"/>
  <c r="I38" i="9"/>
  <c r="G38" i="9"/>
  <c r="E38" i="9"/>
  <c r="A31" i="9"/>
  <c r="A30" i="9"/>
  <c r="C27" i="9"/>
  <c r="B27" i="9"/>
  <c r="M181" i="9" l="1"/>
  <c r="M190" i="9"/>
  <c r="I84" i="9"/>
  <c r="E61" i="9"/>
  <c r="G61" i="9"/>
  <c r="K84" i="9"/>
  <c r="K61" i="9"/>
  <c r="B84" i="9"/>
  <c r="N167" i="9"/>
  <c r="N181" i="9"/>
  <c r="N190" i="9"/>
  <c r="L61" i="9"/>
  <c r="N61" i="9" s="1"/>
  <c r="N50" i="9"/>
  <c r="N38" i="9"/>
  <c r="M110" i="9"/>
  <c r="N110" i="9"/>
  <c r="M50" i="9"/>
  <c r="N121" i="9"/>
  <c r="N144" i="9"/>
  <c r="M156" i="9"/>
  <c r="J8" i="9"/>
  <c r="I8" i="9"/>
  <c r="K8" i="9"/>
  <c r="L8" i="9"/>
  <c r="M73" i="9"/>
  <c r="N73" i="9"/>
  <c r="I61" i="9"/>
  <c r="L84" i="9"/>
  <c r="G84" i="9"/>
  <c r="J84" i="9"/>
  <c r="N156" i="9"/>
  <c r="N84" i="9" l="1"/>
  <c r="B2" i="8" l="1"/>
  <c r="J2" i="8"/>
  <c r="Q54" i="8"/>
  <c r="K54" i="8"/>
  <c r="E54" i="8"/>
  <c r="Q40" i="8"/>
  <c r="K40" i="8"/>
  <c r="E40" i="8"/>
  <c r="K27" i="8"/>
  <c r="E27" i="8"/>
  <c r="Q14" i="8"/>
  <c r="K14" i="8"/>
  <c r="R1106" i="6"/>
  <c r="L1106" i="6"/>
  <c r="AA1106" i="6"/>
  <c r="Z1106" i="6"/>
  <c r="V1106" i="6"/>
  <c r="U1106" i="6"/>
  <c r="P1106" i="6"/>
  <c r="R1105" i="6"/>
  <c r="L1105" i="6"/>
  <c r="AA1105" i="6"/>
  <c r="Z1105" i="6"/>
  <c r="R1104" i="6"/>
  <c r="L1104" i="6"/>
  <c r="AA1104" i="6"/>
  <c r="Z1104" i="6"/>
  <c r="R1103" i="6"/>
  <c r="L1103" i="6"/>
  <c r="AA1103" i="6"/>
  <c r="Z1103" i="6"/>
  <c r="R1102" i="6"/>
  <c r="L1102" i="6"/>
  <c r="AA1102" i="6"/>
  <c r="Z1102" i="6"/>
  <c r="R1101" i="6"/>
  <c r="L1101" i="6"/>
  <c r="AA1101" i="6"/>
  <c r="Z1101" i="6"/>
  <c r="R1100" i="6"/>
  <c r="L1100" i="6"/>
  <c r="AA1100" i="6"/>
  <c r="Z1100" i="6"/>
  <c r="R1099" i="6"/>
  <c r="L1099" i="6"/>
  <c r="AA1099" i="6"/>
  <c r="Z1099" i="6"/>
  <c r="A1099" i="6"/>
  <c r="A1100" i="6" s="1"/>
  <c r="A1101" i="6" s="1"/>
  <c r="A1102" i="6" s="1"/>
  <c r="A1103" i="6" s="1"/>
  <c r="A1104" i="6" s="1"/>
  <c r="A1105" i="6" s="1"/>
  <c r="A1106" i="6" s="1"/>
  <c r="R1095" i="6"/>
  <c r="L1095" i="6"/>
  <c r="AA1095" i="6"/>
  <c r="Z1095" i="6"/>
  <c r="V1095" i="6"/>
  <c r="U1095" i="6"/>
  <c r="P1095" i="6"/>
  <c r="R1094" i="6"/>
  <c r="L1094" i="6"/>
  <c r="R1093" i="6"/>
  <c r="L1093" i="6"/>
  <c r="R1092" i="6"/>
  <c r="L1092" i="6"/>
  <c r="R1091" i="6"/>
  <c r="L1091" i="6"/>
  <c r="R1090" i="6"/>
  <c r="L1090" i="6"/>
  <c r="R1089" i="6"/>
  <c r="L1089" i="6"/>
  <c r="R1088" i="6"/>
  <c r="L1088" i="6"/>
  <c r="A1088" i="6"/>
  <c r="A1089" i="6" s="1"/>
  <c r="A1090" i="6" s="1"/>
  <c r="A1091" i="6" s="1"/>
  <c r="A1092" i="6" s="1"/>
  <c r="A1093" i="6" s="1"/>
  <c r="A1094" i="6" s="1"/>
  <c r="A1095" i="6" s="1"/>
  <c r="R1084" i="6"/>
  <c r="L1084" i="6"/>
  <c r="AA1084" i="6"/>
  <c r="Z1084" i="6"/>
  <c r="V1084" i="6"/>
  <c r="U1084" i="6"/>
  <c r="P1084" i="6"/>
  <c r="R1083" i="6"/>
  <c r="L1083" i="6"/>
  <c r="R1082" i="6"/>
  <c r="L1082" i="6"/>
  <c r="R1081" i="6"/>
  <c r="L1081" i="6"/>
  <c r="R1080" i="6"/>
  <c r="L1080" i="6"/>
  <c r="R1079" i="6"/>
  <c r="L1079" i="6"/>
  <c r="R1078" i="6"/>
  <c r="L1078" i="6"/>
  <c r="R1077" i="6"/>
  <c r="A1077" i="6"/>
  <c r="A1078" i="6" s="1"/>
  <c r="A1079" i="6" s="1"/>
  <c r="A1080" i="6" s="1"/>
  <c r="A1081" i="6" s="1"/>
  <c r="A1082" i="6" s="1"/>
  <c r="A1083" i="6" s="1"/>
  <c r="A1084" i="6" s="1"/>
  <c r="R1073" i="6"/>
  <c r="L1073" i="6"/>
  <c r="AA1073" i="6"/>
  <c r="Z1073" i="6"/>
  <c r="V1073" i="6"/>
  <c r="U1073" i="6"/>
  <c r="P1073" i="6"/>
  <c r="R1072" i="6"/>
  <c r="L1072" i="6"/>
  <c r="R1071" i="6"/>
  <c r="L1071" i="6"/>
  <c r="R1070" i="6"/>
  <c r="L1070" i="6"/>
  <c r="R1069" i="6"/>
  <c r="L1069" i="6"/>
  <c r="R1068" i="6"/>
  <c r="L1068" i="6"/>
  <c r="R1067" i="6"/>
  <c r="L1067" i="6"/>
  <c r="R1066" i="6"/>
  <c r="L1066" i="6"/>
  <c r="A1066" i="6"/>
  <c r="A1067" i="6" s="1"/>
  <c r="A1068" i="6" s="1"/>
  <c r="A1069" i="6" s="1"/>
  <c r="A1070" i="6" s="1"/>
  <c r="A1071" i="6" s="1"/>
  <c r="A1072" i="6" s="1"/>
  <c r="A1073" i="6" s="1"/>
  <c r="R1062" i="6"/>
  <c r="L1062" i="6"/>
  <c r="AA1062" i="6"/>
  <c r="Z1062" i="6"/>
  <c r="V1062" i="6"/>
  <c r="U1062" i="6"/>
  <c r="P1062" i="6"/>
  <c r="R1061" i="6"/>
  <c r="L1061" i="6"/>
  <c r="R1060" i="6"/>
  <c r="L1060" i="6"/>
  <c r="R1059" i="6"/>
  <c r="L1059" i="6"/>
  <c r="R1058" i="6"/>
  <c r="L1058" i="6"/>
  <c r="R1057" i="6"/>
  <c r="L1057" i="6"/>
  <c r="R1056" i="6"/>
  <c r="L1056" i="6"/>
  <c r="R1055" i="6"/>
  <c r="L1055" i="6"/>
  <c r="A1055" i="6"/>
  <c r="A1056" i="6" s="1"/>
  <c r="A1057" i="6" s="1"/>
  <c r="A1058" i="6" s="1"/>
  <c r="A1059" i="6" s="1"/>
  <c r="A1060" i="6" s="1"/>
  <c r="A1061" i="6" s="1"/>
  <c r="A1062" i="6" s="1"/>
  <c r="R1051" i="6"/>
  <c r="L1051" i="6"/>
  <c r="AA1051" i="6"/>
  <c r="Z1051" i="6"/>
  <c r="V1051" i="6"/>
  <c r="U1051" i="6"/>
  <c r="P1051" i="6"/>
  <c r="R1050" i="6"/>
  <c r="L1050" i="6"/>
  <c r="R1049" i="6"/>
  <c r="L1049" i="6"/>
  <c r="R1048" i="6"/>
  <c r="L1048" i="6"/>
  <c r="R1047" i="6"/>
  <c r="L1047" i="6"/>
  <c r="R1046" i="6"/>
  <c r="L1046" i="6"/>
  <c r="R1045" i="6"/>
  <c r="L1045" i="6"/>
  <c r="R1044" i="6"/>
  <c r="L1044" i="6"/>
  <c r="A1044" i="6"/>
  <c r="A1045" i="6" s="1"/>
  <c r="A1046" i="6" s="1"/>
  <c r="A1047" i="6" s="1"/>
  <c r="A1048" i="6" s="1"/>
  <c r="A1049" i="6" s="1"/>
  <c r="A1050" i="6" s="1"/>
  <c r="A1051" i="6" s="1"/>
  <c r="R1040" i="6"/>
  <c r="L1040" i="6"/>
  <c r="AA1040" i="6"/>
  <c r="Z1040" i="6"/>
  <c r="V1040" i="6"/>
  <c r="U1040" i="6"/>
  <c r="P1040" i="6"/>
  <c r="R1039" i="6"/>
  <c r="L1039" i="6"/>
  <c r="R1038" i="6"/>
  <c r="L1038" i="6"/>
  <c r="R1037" i="6"/>
  <c r="L1037" i="6"/>
  <c r="R1036" i="6"/>
  <c r="L1036" i="6"/>
  <c r="R1035" i="6"/>
  <c r="L1035" i="6"/>
  <c r="R1034" i="6"/>
  <c r="L1034" i="6"/>
  <c r="R1033" i="6"/>
  <c r="L1033" i="6"/>
  <c r="A1033" i="6"/>
  <c r="A1034" i="6" s="1"/>
  <c r="A1035" i="6" s="1"/>
  <c r="A1036" i="6" s="1"/>
  <c r="A1037" i="6" s="1"/>
  <c r="A1038" i="6" s="1"/>
  <c r="A1039" i="6" s="1"/>
  <c r="A1040" i="6" s="1"/>
  <c r="R1029" i="6"/>
  <c r="L1029" i="6"/>
  <c r="AA1029" i="6"/>
  <c r="Z1029" i="6"/>
  <c r="V1029" i="6"/>
  <c r="U1029" i="6"/>
  <c r="P1029" i="6"/>
  <c r="R1028" i="6"/>
  <c r="L1028" i="6"/>
  <c r="R1027" i="6"/>
  <c r="L1027" i="6"/>
  <c r="R1026" i="6"/>
  <c r="L1026" i="6"/>
  <c r="R1025" i="6"/>
  <c r="L1025" i="6"/>
  <c r="R1024" i="6"/>
  <c r="L1024" i="6"/>
  <c r="R1023" i="6"/>
  <c r="L1023" i="6"/>
  <c r="R1022" i="6"/>
  <c r="L1022" i="6"/>
  <c r="A1022" i="6"/>
  <c r="A1023" i="6" s="1"/>
  <c r="A1024" i="6" s="1"/>
  <c r="A1025" i="6" s="1"/>
  <c r="A1026" i="6" s="1"/>
  <c r="A1027" i="6" s="1"/>
  <c r="A1028" i="6" s="1"/>
  <c r="A1029" i="6" s="1"/>
  <c r="R1018" i="6"/>
  <c r="L1018" i="6"/>
  <c r="AA1018" i="6"/>
  <c r="Z1018" i="6"/>
  <c r="V1018" i="6"/>
  <c r="U1018" i="6"/>
  <c r="P1018" i="6"/>
  <c r="R1017" i="6"/>
  <c r="L1017" i="6"/>
  <c r="R1016" i="6"/>
  <c r="L1016" i="6"/>
  <c r="R1015" i="6"/>
  <c r="L1015" i="6"/>
  <c r="R1014" i="6"/>
  <c r="L1014" i="6"/>
  <c r="R1013" i="6"/>
  <c r="L1013" i="6"/>
  <c r="R1012" i="6"/>
  <c r="L1012" i="6"/>
  <c r="R1011" i="6"/>
  <c r="L1011" i="6"/>
  <c r="A1011" i="6"/>
  <c r="A1012" i="6" s="1"/>
  <c r="A1013" i="6" s="1"/>
  <c r="A1014" i="6" s="1"/>
  <c r="A1015" i="6" s="1"/>
  <c r="A1016" i="6" s="1"/>
  <c r="A1017" i="6" s="1"/>
  <c r="A1018" i="6" s="1"/>
  <c r="R1007" i="6"/>
  <c r="L1007" i="6"/>
  <c r="AA1007" i="6"/>
  <c r="Z1007" i="6"/>
  <c r="V1007" i="6"/>
  <c r="U1007" i="6"/>
  <c r="P1007" i="6"/>
  <c r="R1006" i="6"/>
  <c r="L1006" i="6"/>
  <c r="R1005" i="6"/>
  <c r="L1005" i="6"/>
  <c r="R1004" i="6"/>
  <c r="L1004" i="6"/>
  <c r="R1003" i="6"/>
  <c r="L1003" i="6"/>
  <c r="R1002" i="6"/>
  <c r="L1002" i="6"/>
  <c r="R1001" i="6"/>
  <c r="L1001" i="6"/>
  <c r="R1000" i="6"/>
  <c r="L1000" i="6"/>
  <c r="A1000" i="6"/>
  <c r="A1001" i="6" s="1"/>
  <c r="A1002" i="6" s="1"/>
  <c r="A1003" i="6" s="1"/>
  <c r="A1004" i="6" s="1"/>
  <c r="A1005" i="6" s="1"/>
  <c r="A1006" i="6" s="1"/>
  <c r="A1007" i="6" s="1"/>
  <c r="R996" i="6"/>
  <c r="L996" i="6"/>
  <c r="AA996" i="6"/>
  <c r="Z996" i="6"/>
  <c r="V996" i="6"/>
  <c r="U996" i="6"/>
  <c r="P996" i="6"/>
  <c r="R995" i="6"/>
  <c r="L995" i="6"/>
  <c r="R994" i="6"/>
  <c r="L994" i="6"/>
  <c r="R993" i="6"/>
  <c r="L993" i="6"/>
  <c r="R992" i="6"/>
  <c r="L992" i="6"/>
  <c r="R991" i="6"/>
  <c r="L991" i="6"/>
  <c r="R990" i="6"/>
  <c r="L990" i="6"/>
  <c r="R989" i="6"/>
  <c r="L989" i="6"/>
  <c r="A989" i="6"/>
  <c r="A990" i="6" s="1"/>
  <c r="A991" i="6" s="1"/>
  <c r="A992" i="6" s="1"/>
  <c r="A993" i="6" s="1"/>
  <c r="A994" i="6" s="1"/>
  <c r="A995" i="6" s="1"/>
  <c r="A996" i="6" s="1"/>
  <c r="R985" i="6"/>
  <c r="L985" i="6"/>
  <c r="AA985" i="6"/>
  <c r="Z985" i="6"/>
  <c r="V985" i="6"/>
  <c r="U985" i="6"/>
  <c r="P985" i="6"/>
  <c r="R984" i="6"/>
  <c r="L984" i="6"/>
  <c r="R983" i="6"/>
  <c r="L983" i="6"/>
  <c r="R982" i="6"/>
  <c r="L982" i="6"/>
  <c r="R981" i="6"/>
  <c r="L981" i="6"/>
  <c r="R980" i="6"/>
  <c r="L980" i="6"/>
  <c r="R979" i="6"/>
  <c r="L979" i="6"/>
  <c r="R978" i="6"/>
  <c r="L978" i="6"/>
  <c r="A978" i="6"/>
  <c r="A979" i="6" s="1"/>
  <c r="A980" i="6" s="1"/>
  <c r="A981" i="6" s="1"/>
  <c r="A982" i="6" s="1"/>
  <c r="A983" i="6" s="1"/>
  <c r="A984" i="6" s="1"/>
  <c r="A985" i="6" s="1"/>
  <c r="R974" i="6"/>
  <c r="L974" i="6"/>
  <c r="AA974" i="6"/>
  <c r="Z974" i="6"/>
  <c r="V974" i="6"/>
  <c r="U974" i="6"/>
  <c r="P974" i="6"/>
  <c r="R973" i="6"/>
  <c r="L973" i="6"/>
  <c r="R972" i="6"/>
  <c r="L972" i="6"/>
  <c r="R971" i="6"/>
  <c r="L971" i="6"/>
  <c r="R970" i="6"/>
  <c r="L970" i="6"/>
  <c r="R969" i="6"/>
  <c r="L969" i="6"/>
  <c r="R968" i="6"/>
  <c r="L968" i="6"/>
  <c r="R967" i="6"/>
  <c r="L967" i="6"/>
  <c r="A967" i="6"/>
  <c r="A968" i="6" s="1"/>
  <c r="A969" i="6" s="1"/>
  <c r="A970" i="6" s="1"/>
  <c r="A971" i="6" s="1"/>
  <c r="A972" i="6" s="1"/>
  <c r="A973" i="6" s="1"/>
  <c r="A974" i="6" s="1"/>
  <c r="R963" i="6"/>
  <c r="L963" i="6"/>
  <c r="AA963" i="6"/>
  <c r="Z963" i="6"/>
  <c r="V963" i="6"/>
  <c r="U963" i="6"/>
  <c r="P963" i="6"/>
  <c r="R962" i="6"/>
  <c r="L962" i="6"/>
  <c r="R961" i="6"/>
  <c r="L961" i="6"/>
  <c r="R960" i="6"/>
  <c r="L960" i="6"/>
  <c r="R959" i="6"/>
  <c r="L959" i="6"/>
  <c r="R958" i="6"/>
  <c r="L958" i="6"/>
  <c r="R957" i="6"/>
  <c r="L957" i="6"/>
  <c r="R956" i="6"/>
  <c r="L956" i="6"/>
  <c r="A956" i="6"/>
  <c r="A957" i="6" s="1"/>
  <c r="A958" i="6" s="1"/>
  <c r="A959" i="6" s="1"/>
  <c r="A960" i="6" s="1"/>
  <c r="A961" i="6" s="1"/>
  <c r="A962" i="6" s="1"/>
  <c r="A963" i="6" s="1"/>
  <c r="R952" i="6"/>
  <c r="L952" i="6"/>
  <c r="AA952" i="6"/>
  <c r="Z952" i="6"/>
  <c r="V952" i="6"/>
  <c r="U952" i="6"/>
  <c r="P952" i="6"/>
  <c r="R951" i="6"/>
  <c r="L951" i="6"/>
  <c r="R950" i="6"/>
  <c r="L950" i="6"/>
  <c r="R949" i="6"/>
  <c r="L949" i="6"/>
  <c r="R948" i="6"/>
  <c r="L948" i="6"/>
  <c r="R947" i="6"/>
  <c r="L947" i="6"/>
  <c r="R946" i="6"/>
  <c r="L946" i="6"/>
  <c r="R945" i="6"/>
  <c r="L945" i="6"/>
  <c r="A945" i="6"/>
  <c r="A946" i="6" s="1"/>
  <c r="A947" i="6" s="1"/>
  <c r="A948" i="6" s="1"/>
  <c r="A949" i="6" s="1"/>
  <c r="A950" i="6" s="1"/>
  <c r="A951" i="6" s="1"/>
  <c r="A952" i="6" s="1"/>
  <c r="R941" i="6"/>
  <c r="L941" i="6"/>
  <c r="AA941" i="6"/>
  <c r="Z941" i="6"/>
  <c r="V941" i="6"/>
  <c r="U941" i="6"/>
  <c r="P941" i="6"/>
  <c r="R940" i="6"/>
  <c r="L940" i="6"/>
  <c r="R939" i="6"/>
  <c r="L939" i="6"/>
  <c r="R938" i="6"/>
  <c r="L938" i="6"/>
  <c r="R937" i="6"/>
  <c r="L937" i="6"/>
  <c r="R936" i="6"/>
  <c r="L936" i="6"/>
  <c r="R935" i="6"/>
  <c r="L935" i="6"/>
  <c r="R934" i="6"/>
  <c r="L934" i="6"/>
  <c r="A934" i="6"/>
  <c r="A935" i="6" s="1"/>
  <c r="A936" i="6" s="1"/>
  <c r="A937" i="6" s="1"/>
  <c r="A938" i="6" s="1"/>
  <c r="A939" i="6" s="1"/>
  <c r="A940" i="6" s="1"/>
  <c r="A941" i="6" s="1"/>
  <c r="R930" i="6"/>
  <c r="L930" i="6"/>
  <c r="AA930" i="6"/>
  <c r="Z930" i="6"/>
  <c r="V930" i="6"/>
  <c r="U930" i="6"/>
  <c r="R929" i="6"/>
  <c r="L929" i="6"/>
  <c r="R928" i="6"/>
  <c r="L928" i="6"/>
  <c r="R927" i="6"/>
  <c r="L927" i="6"/>
  <c r="R926" i="6"/>
  <c r="L926" i="6"/>
  <c r="R925" i="6"/>
  <c r="L925" i="6"/>
  <c r="R924" i="6"/>
  <c r="L924" i="6"/>
  <c r="R923" i="6"/>
  <c r="L923" i="6"/>
  <c r="A923" i="6"/>
  <c r="A924" i="6" s="1"/>
  <c r="A925" i="6" s="1"/>
  <c r="A926" i="6" s="1"/>
  <c r="A927" i="6" s="1"/>
  <c r="A928" i="6" s="1"/>
  <c r="A929" i="6" s="1"/>
  <c r="A930" i="6" s="1"/>
  <c r="R919" i="6"/>
  <c r="L919" i="6"/>
  <c r="AA919" i="6"/>
  <c r="Z919" i="6"/>
  <c r="V919" i="6"/>
  <c r="U919" i="6"/>
  <c r="P919" i="6"/>
  <c r="R918" i="6"/>
  <c r="L918" i="6"/>
  <c r="R917" i="6"/>
  <c r="L917" i="6"/>
  <c r="R916" i="6"/>
  <c r="L916" i="6"/>
  <c r="R915" i="6"/>
  <c r="L915" i="6"/>
  <c r="R914" i="6"/>
  <c r="L914" i="6"/>
  <c r="R913" i="6"/>
  <c r="L913" i="6"/>
  <c r="R912" i="6"/>
  <c r="L912" i="6"/>
  <c r="A912" i="6"/>
  <c r="A913" i="6" s="1"/>
  <c r="A914" i="6" s="1"/>
  <c r="A915" i="6" s="1"/>
  <c r="A916" i="6" s="1"/>
  <c r="A917" i="6" s="1"/>
  <c r="A918" i="6" s="1"/>
  <c r="A919" i="6" s="1"/>
  <c r="R908" i="6"/>
  <c r="L908" i="6"/>
  <c r="AA908" i="6"/>
  <c r="Z908" i="6"/>
  <c r="V908" i="6"/>
  <c r="U908" i="6"/>
  <c r="R907" i="6"/>
  <c r="L907" i="6"/>
  <c r="R906" i="6"/>
  <c r="L906" i="6"/>
  <c r="R905" i="6"/>
  <c r="L905" i="6"/>
  <c r="R904" i="6"/>
  <c r="L904" i="6"/>
  <c r="R903" i="6"/>
  <c r="L903" i="6"/>
  <c r="R902" i="6"/>
  <c r="L902" i="6"/>
  <c r="R901" i="6"/>
  <c r="L901" i="6"/>
  <c r="A901" i="6"/>
  <c r="A902" i="6" s="1"/>
  <c r="A903" i="6" s="1"/>
  <c r="A904" i="6" s="1"/>
  <c r="A905" i="6" s="1"/>
  <c r="A906" i="6" s="1"/>
  <c r="A907" i="6" s="1"/>
  <c r="A908" i="6" s="1"/>
  <c r="R897" i="6"/>
  <c r="L897" i="6"/>
  <c r="AA897" i="6"/>
  <c r="Z897" i="6"/>
  <c r="V897" i="6"/>
  <c r="U897" i="6"/>
  <c r="P897" i="6"/>
  <c r="U41" i="7" s="1"/>
  <c r="R896" i="6"/>
  <c r="L896" i="6"/>
  <c r="R895" i="6"/>
  <c r="L895" i="6"/>
  <c r="R894" i="6"/>
  <c r="L894" i="6"/>
  <c r="R893" i="6"/>
  <c r="L893" i="6"/>
  <c r="R892" i="6"/>
  <c r="L892" i="6"/>
  <c r="R891" i="6"/>
  <c r="L891" i="6"/>
  <c r="R890" i="6"/>
  <c r="L890" i="6"/>
  <c r="A890" i="6"/>
  <c r="A891" i="6" s="1"/>
  <c r="A892" i="6" s="1"/>
  <c r="A893" i="6" s="1"/>
  <c r="A894" i="6" s="1"/>
  <c r="A895" i="6" s="1"/>
  <c r="A896" i="6" s="1"/>
  <c r="A897" i="6" s="1"/>
  <c r="R886" i="6"/>
  <c r="L886" i="6"/>
  <c r="AA886" i="6"/>
  <c r="Z886" i="6"/>
  <c r="V886" i="6"/>
  <c r="U886" i="6"/>
  <c r="P886" i="6"/>
  <c r="R885" i="6"/>
  <c r="L885" i="6"/>
  <c r="R884" i="6"/>
  <c r="L884" i="6"/>
  <c r="R883" i="6"/>
  <c r="L883" i="6"/>
  <c r="R882" i="6"/>
  <c r="L882" i="6"/>
  <c r="R881" i="6"/>
  <c r="L881" i="6"/>
  <c r="R880" i="6"/>
  <c r="L880" i="6"/>
  <c r="R879" i="6"/>
  <c r="L879" i="6"/>
  <c r="A879" i="6"/>
  <c r="A880" i="6" s="1"/>
  <c r="A881" i="6" s="1"/>
  <c r="A882" i="6" s="1"/>
  <c r="A883" i="6" s="1"/>
  <c r="A884" i="6" s="1"/>
  <c r="A885" i="6" s="1"/>
  <c r="A886" i="6" s="1"/>
  <c r="R875" i="6"/>
  <c r="L875" i="6"/>
  <c r="AA875" i="6"/>
  <c r="Z875" i="6"/>
  <c r="V875" i="6"/>
  <c r="U875" i="6"/>
  <c r="P875" i="6"/>
  <c r="R874" i="6"/>
  <c r="L874" i="6"/>
  <c r="R873" i="6"/>
  <c r="L873" i="6"/>
  <c r="R872" i="6"/>
  <c r="L872" i="6"/>
  <c r="R871" i="6"/>
  <c r="L871" i="6"/>
  <c r="R870" i="6"/>
  <c r="L870" i="6"/>
  <c r="R869" i="6"/>
  <c r="L869" i="6"/>
  <c r="R868" i="6"/>
  <c r="L868" i="6"/>
  <c r="A868" i="6"/>
  <c r="A869" i="6" s="1"/>
  <c r="A870" i="6" s="1"/>
  <c r="A871" i="6" s="1"/>
  <c r="A872" i="6" s="1"/>
  <c r="A873" i="6" s="1"/>
  <c r="A874" i="6" s="1"/>
  <c r="A875" i="6" s="1"/>
  <c r="R864" i="6"/>
  <c r="L864" i="6"/>
  <c r="AA864" i="6"/>
  <c r="Z864" i="6"/>
  <c r="V864" i="6"/>
  <c r="U864" i="6"/>
  <c r="P864" i="6"/>
  <c r="R863" i="6"/>
  <c r="L863" i="6"/>
  <c r="R862" i="6"/>
  <c r="L862" i="6"/>
  <c r="R861" i="6"/>
  <c r="L861" i="6"/>
  <c r="R860" i="6"/>
  <c r="L860" i="6"/>
  <c r="R859" i="6"/>
  <c r="L859" i="6"/>
  <c r="R858" i="6"/>
  <c r="L858" i="6"/>
  <c r="R857" i="6"/>
  <c r="L857" i="6"/>
  <c r="A857" i="6"/>
  <c r="A858" i="6" s="1"/>
  <c r="A859" i="6" s="1"/>
  <c r="A860" i="6" s="1"/>
  <c r="A861" i="6" s="1"/>
  <c r="A862" i="6" s="1"/>
  <c r="A863" i="6" s="1"/>
  <c r="A864" i="6" s="1"/>
  <c r="V853" i="6"/>
  <c r="U853" i="6"/>
  <c r="P853" i="6"/>
  <c r="A846" i="6"/>
  <c r="A847" i="6" s="1"/>
  <c r="A848" i="6" s="1"/>
  <c r="A849" i="6" s="1"/>
  <c r="A850" i="6" s="1"/>
  <c r="A851" i="6" s="1"/>
  <c r="A852" i="6" s="1"/>
  <c r="A853" i="6" s="1"/>
  <c r="V842" i="6"/>
  <c r="U842" i="6"/>
  <c r="A835" i="6"/>
  <c r="A836" i="6" s="1"/>
  <c r="A837" i="6" s="1"/>
  <c r="A838" i="6" s="1"/>
  <c r="A839" i="6" s="1"/>
  <c r="A840" i="6" s="1"/>
  <c r="A841" i="6" s="1"/>
  <c r="A842" i="6" s="1"/>
  <c r="V831" i="6"/>
  <c r="U831" i="6"/>
  <c r="P831" i="6"/>
  <c r="A824" i="6"/>
  <c r="A825" i="6" s="1"/>
  <c r="A826" i="6" s="1"/>
  <c r="A827" i="6" s="1"/>
  <c r="A828" i="6" s="1"/>
  <c r="A829" i="6" s="1"/>
  <c r="A830" i="6" s="1"/>
  <c r="A831" i="6" s="1"/>
  <c r="V820" i="6"/>
  <c r="U820" i="6"/>
  <c r="P820" i="6"/>
  <c r="A813" i="6"/>
  <c r="A814" i="6" s="1"/>
  <c r="A815" i="6" s="1"/>
  <c r="A816" i="6" s="1"/>
  <c r="A817" i="6" s="1"/>
  <c r="A818" i="6" s="1"/>
  <c r="A819" i="6" s="1"/>
  <c r="A820" i="6" s="1"/>
  <c r="V809" i="6"/>
  <c r="U809" i="6"/>
  <c r="P809" i="6"/>
  <c r="A802" i="6"/>
  <c r="A803" i="6" s="1"/>
  <c r="A804" i="6" s="1"/>
  <c r="A805" i="6" s="1"/>
  <c r="A806" i="6" s="1"/>
  <c r="A807" i="6" s="1"/>
  <c r="A808" i="6" s="1"/>
  <c r="A809" i="6" s="1"/>
  <c r="V798" i="6"/>
  <c r="U798" i="6"/>
  <c r="A791" i="6"/>
  <c r="A792" i="6" s="1"/>
  <c r="A793" i="6" s="1"/>
  <c r="A794" i="6" s="1"/>
  <c r="A795" i="6" s="1"/>
  <c r="A796" i="6" s="1"/>
  <c r="A797" i="6" s="1"/>
  <c r="A798" i="6" s="1"/>
  <c r="V787" i="6"/>
  <c r="U787" i="6"/>
  <c r="P787" i="6"/>
  <c r="A780" i="6"/>
  <c r="A781" i="6" s="1"/>
  <c r="A782" i="6" s="1"/>
  <c r="A783" i="6" s="1"/>
  <c r="A784" i="6" s="1"/>
  <c r="A785" i="6" s="1"/>
  <c r="A786" i="6" s="1"/>
  <c r="A787" i="6" s="1"/>
  <c r="V776" i="6"/>
  <c r="U776" i="6"/>
  <c r="P776" i="6"/>
  <c r="A769" i="6"/>
  <c r="A770" i="6" s="1"/>
  <c r="A771" i="6" s="1"/>
  <c r="A772" i="6" s="1"/>
  <c r="A773" i="6" s="1"/>
  <c r="A774" i="6" s="1"/>
  <c r="A775" i="6" s="1"/>
  <c r="A776" i="6" s="1"/>
  <c r="R853" i="6"/>
  <c r="L853" i="6"/>
  <c r="R852" i="6"/>
  <c r="L852" i="6"/>
  <c r="R851" i="6"/>
  <c r="L851" i="6"/>
  <c r="R850" i="6"/>
  <c r="L850" i="6"/>
  <c r="R849" i="6"/>
  <c r="L849" i="6"/>
  <c r="R848" i="6"/>
  <c r="L848" i="6"/>
  <c r="R847" i="6"/>
  <c r="L847" i="6"/>
  <c r="R846" i="6"/>
  <c r="L846" i="6"/>
  <c r="R842" i="6"/>
  <c r="L842" i="6"/>
  <c r="R841" i="6"/>
  <c r="L841" i="6"/>
  <c r="R840" i="6"/>
  <c r="L840" i="6"/>
  <c r="R839" i="6"/>
  <c r="L839" i="6"/>
  <c r="R838" i="6"/>
  <c r="L838" i="6"/>
  <c r="R837" i="6"/>
  <c r="L837" i="6"/>
  <c r="R836" i="6"/>
  <c r="L836" i="6"/>
  <c r="R835" i="6"/>
  <c r="L835" i="6"/>
  <c r="R831" i="6"/>
  <c r="L831" i="6"/>
  <c r="R830" i="6"/>
  <c r="L830" i="6"/>
  <c r="R829" i="6"/>
  <c r="L829" i="6"/>
  <c r="R828" i="6"/>
  <c r="L828" i="6"/>
  <c r="R827" i="6"/>
  <c r="L827" i="6"/>
  <c r="R826" i="6"/>
  <c r="L826" i="6"/>
  <c r="R825" i="6"/>
  <c r="L825" i="6"/>
  <c r="R824" i="6"/>
  <c r="L824" i="6"/>
  <c r="R820" i="6"/>
  <c r="L820" i="6"/>
  <c r="R819" i="6"/>
  <c r="L819" i="6"/>
  <c r="R818" i="6"/>
  <c r="L818" i="6"/>
  <c r="R817" i="6"/>
  <c r="L817" i="6"/>
  <c r="R816" i="6"/>
  <c r="L816" i="6"/>
  <c r="R815" i="6"/>
  <c r="L815" i="6"/>
  <c r="R814" i="6"/>
  <c r="L814" i="6"/>
  <c r="R813" i="6"/>
  <c r="L813" i="6"/>
  <c r="R809" i="6"/>
  <c r="L809" i="6"/>
  <c r="R808" i="6"/>
  <c r="L808" i="6"/>
  <c r="R807" i="6"/>
  <c r="L807" i="6"/>
  <c r="R806" i="6"/>
  <c r="L806" i="6"/>
  <c r="R805" i="6"/>
  <c r="L805" i="6"/>
  <c r="R804" i="6"/>
  <c r="L804" i="6"/>
  <c r="R803" i="6"/>
  <c r="L803" i="6"/>
  <c r="R802" i="6"/>
  <c r="L802" i="6"/>
  <c r="R798" i="6"/>
  <c r="L798" i="6"/>
  <c r="R797" i="6"/>
  <c r="L797" i="6"/>
  <c r="R796" i="6"/>
  <c r="L796" i="6"/>
  <c r="R795" i="6"/>
  <c r="L795" i="6"/>
  <c r="R794" i="6"/>
  <c r="L794" i="6"/>
  <c r="R793" i="6"/>
  <c r="L793" i="6"/>
  <c r="R792" i="6"/>
  <c r="L792" i="6"/>
  <c r="R791" i="6"/>
  <c r="L791" i="6"/>
  <c r="R787" i="6"/>
  <c r="L787" i="6"/>
  <c r="R786" i="6"/>
  <c r="L786" i="6"/>
  <c r="R785" i="6"/>
  <c r="L785" i="6"/>
  <c r="R784" i="6"/>
  <c r="L784" i="6"/>
  <c r="R783" i="6"/>
  <c r="L783" i="6"/>
  <c r="R782" i="6"/>
  <c r="L782" i="6"/>
  <c r="R781" i="6"/>
  <c r="L781" i="6"/>
  <c r="R780" i="6"/>
  <c r="L780" i="6"/>
  <c r="R776" i="6"/>
  <c r="L776" i="6"/>
  <c r="R775" i="6"/>
  <c r="L775" i="6"/>
  <c r="R774" i="6"/>
  <c r="L774" i="6"/>
  <c r="R773" i="6"/>
  <c r="L773" i="6"/>
  <c r="R772" i="6"/>
  <c r="L772" i="6"/>
  <c r="R771" i="6"/>
  <c r="L771" i="6"/>
  <c r="R770" i="6"/>
  <c r="L770" i="6"/>
  <c r="R769" i="6"/>
  <c r="L769" i="6"/>
  <c r="R765" i="6"/>
  <c r="L765" i="6"/>
  <c r="R764" i="6"/>
  <c r="L764" i="6"/>
  <c r="R763" i="6"/>
  <c r="L763" i="6"/>
  <c r="R762" i="6"/>
  <c r="L762" i="6"/>
  <c r="R761" i="6"/>
  <c r="L761" i="6"/>
  <c r="R760" i="6"/>
  <c r="L760" i="6"/>
  <c r="R759" i="6"/>
  <c r="L759" i="6"/>
  <c r="R758" i="6"/>
  <c r="L758" i="6"/>
  <c r="R754" i="6"/>
  <c r="L754" i="6"/>
  <c r="R753" i="6"/>
  <c r="L753" i="6"/>
  <c r="R752" i="6"/>
  <c r="L752" i="6"/>
  <c r="R751" i="6"/>
  <c r="L751" i="6"/>
  <c r="R750" i="6"/>
  <c r="L750" i="6"/>
  <c r="R749" i="6"/>
  <c r="L749" i="6"/>
  <c r="R748" i="6"/>
  <c r="L748" i="6"/>
  <c r="R747" i="6"/>
  <c r="L747" i="6"/>
  <c r="R743" i="6"/>
  <c r="L743" i="6"/>
  <c r="R742" i="6"/>
  <c r="L742" i="6"/>
  <c r="R741" i="6"/>
  <c r="L741" i="6"/>
  <c r="R740" i="6"/>
  <c r="L740" i="6"/>
  <c r="R739" i="6"/>
  <c r="L739" i="6"/>
  <c r="R738" i="6"/>
  <c r="L738" i="6"/>
  <c r="R737" i="6"/>
  <c r="L737" i="6"/>
  <c r="R736" i="6"/>
  <c r="L736" i="6"/>
  <c r="R732" i="6"/>
  <c r="L732" i="6"/>
  <c r="R731" i="6"/>
  <c r="L731" i="6"/>
  <c r="R730" i="6"/>
  <c r="L730" i="6"/>
  <c r="R729" i="6"/>
  <c r="L729" i="6"/>
  <c r="R728" i="6"/>
  <c r="L728" i="6"/>
  <c r="R727" i="6"/>
  <c r="L727" i="6"/>
  <c r="R726" i="6"/>
  <c r="L726" i="6"/>
  <c r="R725" i="6"/>
  <c r="L725" i="6"/>
  <c r="R721" i="6"/>
  <c r="L721" i="6"/>
  <c r="R720" i="6"/>
  <c r="L720" i="6"/>
  <c r="R719" i="6"/>
  <c r="L719" i="6"/>
  <c r="R718" i="6"/>
  <c r="L718" i="6"/>
  <c r="R717" i="6"/>
  <c r="L717" i="6"/>
  <c r="R716" i="6"/>
  <c r="L716" i="6"/>
  <c r="R715" i="6"/>
  <c r="L715" i="6"/>
  <c r="R714" i="6"/>
  <c r="L714" i="6"/>
  <c r="R710" i="6"/>
  <c r="L710" i="6"/>
  <c r="R709" i="6"/>
  <c r="L709" i="6"/>
  <c r="R708" i="6"/>
  <c r="L708" i="6"/>
  <c r="R707" i="6"/>
  <c r="L707" i="6"/>
  <c r="R706" i="6"/>
  <c r="L706" i="6"/>
  <c r="R705" i="6"/>
  <c r="L705" i="6"/>
  <c r="R704" i="6"/>
  <c r="L704" i="6"/>
  <c r="R703" i="6"/>
  <c r="L703" i="6"/>
  <c r="R699" i="6"/>
  <c r="L699" i="6"/>
  <c r="R698" i="6"/>
  <c r="L698" i="6"/>
  <c r="R697" i="6"/>
  <c r="L697" i="6"/>
  <c r="R696" i="6"/>
  <c r="L696" i="6"/>
  <c r="R695" i="6"/>
  <c r="L695" i="6"/>
  <c r="R694" i="6"/>
  <c r="L694" i="6"/>
  <c r="R693" i="6"/>
  <c r="L693" i="6"/>
  <c r="R692" i="6"/>
  <c r="L692" i="6"/>
  <c r="R688" i="6"/>
  <c r="L688" i="6"/>
  <c r="R687" i="6"/>
  <c r="L687" i="6"/>
  <c r="R686" i="6"/>
  <c r="L686" i="6"/>
  <c r="R685" i="6"/>
  <c r="L685" i="6"/>
  <c r="R684" i="6"/>
  <c r="L684" i="6"/>
  <c r="R683" i="6"/>
  <c r="L683" i="6"/>
  <c r="R682" i="6"/>
  <c r="L682" i="6"/>
  <c r="R681" i="6"/>
  <c r="L681" i="6"/>
  <c r="R677" i="6"/>
  <c r="L677" i="6"/>
  <c r="R676" i="6"/>
  <c r="L676" i="6"/>
  <c r="R675" i="6"/>
  <c r="L675" i="6"/>
  <c r="R674" i="6"/>
  <c r="L674" i="6"/>
  <c r="R673" i="6"/>
  <c r="L673" i="6"/>
  <c r="R672" i="6"/>
  <c r="L672" i="6"/>
  <c r="R671" i="6"/>
  <c r="L671" i="6"/>
  <c r="R670" i="6"/>
  <c r="L670" i="6"/>
  <c r="R666" i="6"/>
  <c r="L666" i="6"/>
  <c r="R665" i="6"/>
  <c r="L665" i="6"/>
  <c r="R664" i="6"/>
  <c r="L664" i="6"/>
  <c r="R663" i="6"/>
  <c r="L663" i="6"/>
  <c r="R662" i="6"/>
  <c r="L662" i="6"/>
  <c r="R661" i="6"/>
  <c r="L661" i="6"/>
  <c r="R660" i="6"/>
  <c r="L660" i="6"/>
  <c r="R659" i="6"/>
  <c r="L659" i="6"/>
  <c r="R655" i="6"/>
  <c r="L655" i="6"/>
  <c r="R654" i="6"/>
  <c r="L654" i="6"/>
  <c r="R653" i="6"/>
  <c r="L653" i="6"/>
  <c r="R652" i="6"/>
  <c r="L652" i="6"/>
  <c r="R651" i="6"/>
  <c r="L651" i="6"/>
  <c r="R650" i="6"/>
  <c r="L650" i="6"/>
  <c r="R649" i="6"/>
  <c r="L649" i="6"/>
  <c r="R648" i="6"/>
  <c r="L648" i="6"/>
  <c r="R644" i="6"/>
  <c r="L644" i="6"/>
  <c r="R643" i="6"/>
  <c r="L643" i="6"/>
  <c r="R642" i="6"/>
  <c r="L642" i="6"/>
  <c r="R641" i="6"/>
  <c r="L641" i="6"/>
  <c r="R640" i="6"/>
  <c r="L640" i="6"/>
  <c r="R639" i="6"/>
  <c r="L639" i="6"/>
  <c r="R638" i="6"/>
  <c r="L638" i="6"/>
  <c r="R637" i="6"/>
  <c r="L637" i="6"/>
  <c r="R633" i="6"/>
  <c r="L633" i="6"/>
  <c r="R632" i="6"/>
  <c r="L632" i="6"/>
  <c r="R631" i="6"/>
  <c r="L631" i="6"/>
  <c r="R630" i="6"/>
  <c r="L630" i="6"/>
  <c r="R629" i="6"/>
  <c r="L629" i="6"/>
  <c r="R628" i="6"/>
  <c r="L628" i="6"/>
  <c r="R627" i="6"/>
  <c r="L627" i="6"/>
  <c r="R626" i="6"/>
  <c r="L626" i="6"/>
  <c r="R622" i="6"/>
  <c r="L622" i="6"/>
  <c r="R621" i="6"/>
  <c r="L621" i="6"/>
  <c r="R620" i="6"/>
  <c r="L620" i="6"/>
  <c r="R619" i="6"/>
  <c r="L619" i="6"/>
  <c r="R618" i="6"/>
  <c r="L618" i="6"/>
  <c r="R617" i="6"/>
  <c r="L617" i="6"/>
  <c r="R616" i="6"/>
  <c r="L616" i="6"/>
  <c r="R615" i="6"/>
  <c r="L615" i="6"/>
  <c r="R611" i="6"/>
  <c r="L611" i="6"/>
  <c r="R610" i="6"/>
  <c r="L610" i="6"/>
  <c r="R609" i="6"/>
  <c r="L609" i="6"/>
  <c r="R608" i="6"/>
  <c r="L608" i="6"/>
  <c r="R607" i="6"/>
  <c r="L607" i="6"/>
  <c r="R606" i="6"/>
  <c r="L606" i="6"/>
  <c r="R605" i="6"/>
  <c r="L605" i="6"/>
  <c r="R604" i="6"/>
  <c r="L604" i="6"/>
  <c r="R600" i="6"/>
  <c r="L600" i="6"/>
  <c r="R599" i="6"/>
  <c r="L599" i="6"/>
  <c r="R598" i="6"/>
  <c r="L598" i="6"/>
  <c r="R597" i="6"/>
  <c r="L597" i="6"/>
  <c r="R596" i="6"/>
  <c r="L596" i="6"/>
  <c r="R595" i="6"/>
  <c r="L595" i="6"/>
  <c r="R594" i="6"/>
  <c r="L594" i="6"/>
  <c r="R593" i="6"/>
  <c r="L593" i="6"/>
  <c r="R589" i="6"/>
  <c r="L589" i="6"/>
  <c r="R588" i="6"/>
  <c r="L588" i="6"/>
  <c r="R587" i="6"/>
  <c r="L587" i="6"/>
  <c r="R586" i="6"/>
  <c r="L586" i="6"/>
  <c r="R585" i="6"/>
  <c r="L585" i="6"/>
  <c r="R584" i="6"/>
  <c r="L584" i="6"/>
  <c r="R583" i="6"/>
  <c r="L583" i="6"/>
  <c r="R582" i="6"/>
  <c r="L582" i="6"/>
  <c r="R578" i="6"/>
  <c r="L578" i="6"/>
  <c r="R577" i="6"/>
  <c r="L577" i="6"/>
  <c r="R576" i="6"/>
  <c r="L576" i="6"/>
  <c r="R575" i="6"/>
  <c r="L575" i="6"/>
  <c r="R574" i="6"/>
  <c r="L574" i="6"/>
  <c r="R573" i="6"/>
  <c r="L573" i="6"/>
  <c r="R572" i="6"/>
  <c r="L572" i="6"/>
  <c r="R571" i="6"/>
  <c r="L571" i="6"/>
  <c r="R567" i="6"/>
  <c r="L567" i="6"/>
  <c r="R566" i="6"/>
  <c r="L566" i="6"/>
  <c r="R565" i="6"/>
  <c r="L565" i="6"/>
  <c r="R564" i="6"/>
  <c r="L564" i="6"/>
  <c r="R563" i="6"/>
  <c r="L563" i="6"/>
  <c r="R562" i="6"/>
  <c r="L562" i="6"/>
  <c r="R561" i="6"/>
  <c r="L561" i="6"/>
  <c r="R560" i="6"/>
  <c r="L560" i="6"/>
  <c r="R512" i="6"/>
  <c r="L512" i="6"/>
  <c r="R511" i="6"/>
  <c r="L511" i="6"/>
  <c r="R510" i="6"/>
  <c r="L510" i="6"/>
  <c r="R509" i="6"/>
  <c r="L509" i="6"/>
  <c r="R508" i="6"/>
  <c r="L508" i="6"/>
  <c r="R507" i="6"/>
  <c r="L507" i="6"/>
  <c r="R506" i="6"/>
  <c r="L506" i="6"/>
  <c r="R505" i="6"/>
  <c r="L505" i="6"/>
  <c r="R501" i="6"/>
  <c r="L501" i="6"/>
  <c r="R500" i="6"/>
  <c r="L500" i="6"/>
  <c r="R499" i="6"/>
  <c r="L499" i="6"/>
  <c r="R498" i="6"/>
  <c r="L498" i="6"/>
  <c r="R497" i="6"/>
  <c r="L497" i="6"/>
  <c r="R496" i="6"/>
  <c r="L496" i="6"/>
  <c r="R495" i="6"/>
  <c r="L495" i="6"/>
  <c r="R494" i="6"/>
  <c r="L494" i="6"/>
  <c r="R490" i="6"/>
  <c r="L490" i="6"/>
  <c r="R489" i="6"/>
  <c r="L489" i="6"/>
  <c r="R488" i="6"/>
  <c r="L488" i="6"/>
  <c r="R487" i="6"/>
  <c r="L487" i="6"/>
  <c r="R486" i="6"/>
  <c r="L486" i="6"/>
  <c r="R485" i="6"/>
  <c r="L485" i="6"/>
  <c r="R484" i="6"/>
  <c r="L484" i="6"/>
  <c r="R483" i="6"/>
  <c r="L483" i="6"/>
  <c r="R479" i="6"/>
  <c r="L479" i="6"/>
  <c r="R478" i="6"/>
  <c r="L478" i="6"/>
  <c r="R477" i="6"/>
  <c r="L477" i="6"/>
  <c r="R476" i="6"/>
  <c r="L476" i="6"/>
  <c r="R475" i="6"/>
  <c r="L475" i="6"/>
  <c r="R474" i="6"/>
  <c r="L474" i="6"/>
  <c r="R473" i="6"/>
  <c r="L473" i="6"/>
  <c r="R472" i="6"/>
  <c r="L472" i="6"/>
  <c r="R468" i="6"/>
  <c r="L468" i="6"/>
  <c r="R467" i="6"/>
  <c r="L467" i="6"/>
  <c r="R466" i="6"/>
  <c r="L466" i="6"/>
  <c r="R465" i="6"/>
  <c r="L465" i="6"/>
  <c r="R464" i="6"/>
  <c r="L464" i="6"/>
  <c r="R463" i="6"/>
  <c r="L463" i="6"/>
  <c r="R462" i="6"/>
  <c r="L462" i="6"/>
  <c r="R461" i="6"/>
  <c r="L461" i="6"/>
  <c r="R457" i="6"/>
  <c r="L457" i="6"/>
  <c r="R456" i="6"/>
  <c r="L456" i="6"/>
  <c r="R455" i="6"/>
  <c r="L455" i="6"/>
  <c r="R454" i="6"/>
  <c r="L454" i="6"/>
  <c r="R453" i="6"/>
  <c r="L453" i="6"/>
  <c r="R452" i="6"/>
  <c r="L452" i="6"/>
  <c r="R451" i="6"/>
  <c r="L451" i="6"/>
  <c r="R450" i="6"/>
  <c r="L450" i="6"/>
  <c r="R446" i="6"/>
  <c r="L446" i="6"/>
  <c r="R445" i="6"/>
  <c r="L445" i="6"/>
  <c r="R444" i="6"/>
  <c r="L444" i="6"/>
  <c r="R443" i="6"/>
  <c r="L443" i="6"/>
  <c r="R442" i="6"/>
  <c r="L442" i="6"/>
  <c r="R441" i="6"/>
  <c r="L441" i="6"/>
  <c r="R440" i="6"/>
  <c r="L440" i="6"/>
  <c r="R439" i="6"/>
  <c r="L439" i="6"/>
  <c r="R435" i="6"/>
  <c r="L435" i="6"/>
  <c r="R434" i="6"/>
  <c r="L434" i="6"/>
  <c r="R433" i="6"/>
  <c r="L433" i="6"/>
  <c r="R432" i="6"/>
  <c r="L432" i="6"/>
  <c r="R431" i="6"/>
  <c r="L431" i="6"/>
  <c r="R430" i="6"/>
  <c r="L430" i="6"/>
  <c r="R429" i="6"/>
  <c r="L429" i="6"/>
  <c r="R428" i="6"/>
  <c r="L428" i="6"/>
  <c r="R424" i="6"/>
  <c r="L424" i="6"/>
  <c r="R423" i="6"/>
  <c r="L423" i="6"/>
  <c r="R422" i="6"/>
  <c r="L422" i="6"/>
  <c r="R421" i="6"/>
  <c r="L421" i="6"/>
  <c r="R420" i="6"/>
  <c r="L420" i="6"/>
  <c r="R419" i="6"/>
  <c r="L419" i="6"/>
  <c r="R418" i="6"/>
  <c r="L418" i="6"/>
  <c r="R417" i="6"/>
  <c r="L417" i="6"/>
  <c r="R413" i="6"/>
  <c r="L413" i="6"/>
  <c r="R412" i="6"/>
  <c r="L412" i="6"/>
  <c r="R411" i="6"/>
  <c r="L411" i="6"/>
  <c r="R410" i="6"/>
  <c r="L410" i="6"/>
  <c r="R409" i="6"/>
  <c r="L409" i="6"/>
  <c r="R408" i="6"/>
  <c r="L408" i="6"/>
  <c r="R407" i="6"/>
  <c r="L407" i="6"/>
  <c r="R406" i="6"/>
  <c r="L406" i="6"/>
  <c r="R402" i="6"/>
  <c r="L402" i="6"/>
  <c r="R401" i="6"/>
  <c r="L401" i="6"/>
  <c r="R400" i="6"/>
  <c r="L400" i="6"/>
  <c r="R399" i="6"/>
  <c r="L399" i="6"/>
  <c r="R398" i="6"/>
  <c r="L398" i="6"/>
  <c r="R397" i="6"/>
  <c r="L397" i="6"/>
  <c r="R396" i="6"/>
  <c r="L396" i="6"/>
  <c r="R395" i="6"/>
  <c r="L395" i="6"/>
  <c r="R391" i="6"/>
  <c r="L391" i="6"/>
  <c r="R390" i="6"/>
  <c r="L390" i="6"/>
  <c r="R389" i="6"/>
  <c r="L389" i="6"/>
  <c r="R388" i="6"/>
  <c r="L388" i="6"/>
  <c r="R387" i="6"/>
  <c r="L387" i="6"/>
  <c r="R386" i="6"/>
  <c r="L386" i="6"/>
  <c r="R385" i="6"/>
  <c r="L385" i="6"/>
  <c r="R384" i="6"/>
  <c r="L384" i="6"/>
  <c r="R380" i="6"/>
  <c r="L380" i="6"/>
  <c r="R379" i="6"/>
  <c r="L379" i="6"/>
  <c r="R378" i="6"/>
  <c r="L378" i="6"/>
  <c r="R377" i="6"/>
  <c r="L377" i="6"/>
  <c r="R376" i="6"/>
  <c r="L376" i="6"/>
  <c r="R375" i="6"/>
  <c r="L375" i="6"/>
  <c r="R374" i="6"/>
  <c r="L374" i="6"/>
  <c r="R373" i="6"/>
  <c r="L373" i="6"/>
  <c r="R369" i="6"/>
  <c r="L369" i="6"/>
  <c r="R368" i="6"/>
  <c r="L368" i="6"/>
  <c r="R367" i="6"/>
  <c r="L367" i="6"/>
  <c r="R366" i="6"/>
  <c r="L366" i="6"/>
  <c r="R365" i="6"/>
  <c r="L365" i="6"/>
  <c r="R364" i="6"/>
  <c r="L364" i="6"/>
  <c r="R363" i="6"/>
  <c r="L363" i="6"/>
  <c r="R362" i="6"/>
  <c r="L362" i="6"/>
  <c r="R358" i="6"/>
  <c r="L358" i="6"/>
  <c r="R357" i="6"/>
  <c r="L357" i="6"/>
  <c r="R356" i="6"/>
  <c r="L356" i="6"/>
  <c r="R355" i="6"/>
  <c r="L355" i="6"/>
  <c r="R354" i="6"/>
  <c r="L354" i="6"/>
  <c r="R353" i="6"/>
  <c r="L353" i="6"/>
  <c r="R352" i="6"/>
  <c r="L352" i="6"/>
  <c r="R351" i="6"/>
  <c r="L351" i="6"/>
  <c r="R347" i="6"/>
  <c r="L347" i="6"/>
  <c r="R346" i="6"/>
  <c r="L346" i="6"/>
  <c r="R345" i="6"/>
  <c r="L345" i="6"/>
  <c r="R344" i="6"/>
  <c r="L344" i="6"/>
  <c r="R343" i="6"/>
  <c r="L343" i="6"/>
  <c r="R342" i="6"/>
  <c r="L342" i="6"/>
  <c r="R341" i="6"/>
  <c r="L341" i="6"/>
  <c r="R340" i="6"/>
  <c r="L340" i="6"/>
  <c r="R336" i="6"/>
  <c r="L336" i="6"/>
  <c r="R335" i="6"/>
  <c r="L335" i="6"/>
  <c r="R334" i="6"/>
  <c r="L334" i="6"/>
  <c r="R333" i="6"/>
  <c r="L333" i="6"/>
  <c r="R332" i="6"/>
  <c r="L332" i="6"/>
  <c r="R331" i="6"/>
  <c r="L331" i="6"/>
  <c r="R330" i="6"/>
  <c r="L330" i="6"/>
  <c r="R329" i="6"/>
  <c r="L329" i="6"/>
  <c r="R325" i="6"/>
  <c r="L325" i="6"/>
  <c r="R324" i="6"/>
  <c r="L324" i="6"/>
  <c r="R323" i="6"/>
  <c r="L323" i="6"/>
  <c r="R322" i="6"/>
  <c r="L322" i="6"/>
  <c r="R321" i="6"/>
  <c r="L321" i="6"/>
  <c r="R320" i="6"/>
  <c r="L320" i="6"/>
  <c r="R319" i="6"/>
  <c r="L319" i="6"/>
  <c r="R318" i="6"/>
  <c r="L318" i="6"/>
  <c r="R314" i="6"/>
  <c r="L314" i="6"/>
  <c r="R313" i="6"/>
  <c r="L313" i="6"/>
  <c r="R312" i="6"/>
  <c r="L312" i="6"/>
  <c r="R311" i="6"/>
  <c r="L311" i="6"/>
  <c r="R310" i="6"/>
  <c r="L310" i="6"/>
  <c r="R309" i="6"/>
  <c r="L309" i="6"/>
  <c r="R308" i="6"/>
  <c r="L308" i="6"/>
  <c r="R307" i="6"/>
  <c r="L307" i="6"/>
  <c r="R303" i="6"/>
  <c r="L303" i="6"/>
  <c r="R302" i="6"/>
  <c r="L302" i="6"/>
  <c r="R301" i="6"/>
  <c r="L301" i="6"/>
  <c r="R300" i="6"/>
  <c r="L300" i="6"/>
  <c r="R299" i="6"/>
  <c r="L299" i="6"/>
  <c r="R298" i="6"/>
  <c r="L298" i="6"/>
  <c r="R297" i="6"/>
  <c r="L297" i="6"/>
  <c r="R296" i="6"/>
  <c r="L296" i="6"/>
  <c r="R292" i="6"/>
  <c r="L292" i="6"/>
  <c r="R291" i="6"/>
  <c r="L291" i="6"/>
  <c r="R290" i="6"/>
  <c r="L290" i="6"/>
  <c r="R289" i="6"/>
  <c r="L289" i="6"/>
  <c r="R288" i="6"/>
  <c r="L288" i="6"/>
  <c r="R287" i="6"/>
  <c r="L287" i="6"/>
  <c r="R286" i="6"/>
  <c r="L286" i="6"/>
  <c r="R285" i="6"/>
  <c r="L285" i="6"/>
  <c r="R281" i="6"/>
  <c r="L281" i="6"/>
  <c r="R280" i="6"/>
  <c r="L280" i="6"/>
  <c r="R279" i="6"/>
  <c r="L279" i="6"/>
  <c r="R278" i="6"/>
  <c r="L278" i="6"/>
  <c r="R277" i="6"/>
  <c r="L277" i="6"/>
  <c r="R276" i="6"/>
  <c r="L276" i="6"/>
  <c r="R275" i="6"/>
  <c r="L275" i="6"/>
  <c r="R274" i="6"/>
  <c r="L274" i="6"/>
  <c r="R270" i="6"/>
  <c r="L270" i="6"/>
  <c r="R269" i="6"/>
  <c r="L269" i="6"/>
  <c r="R268" i="6"/>
  <c r="L268" i="6"/>
  <c r="R267" i="6"/>
  <c r="L267" i="6"/>
  <c r="R266" i="6"/>
  <c r="L266" i="6"/>
  <c r="R265" i="6"/>
  <c r="L265" i="6"/>
  <c r="R264" i="6"/>
  <c r="L264" i="6"/>
  <c r="R263" i="6"/>
  <c r="L263" i="6"/>
  <c r="R259" i="6"/>
  <c r="L259" i="6"/>
  <c r="R258" i="6"/>
  <c r="L258" i="6"/>
  <c r="R257" i="6"/>
  <c r="L257" i="6"/>
  <c r="R256" i="6"/>
  <c r="L256" i="6"/>
  <c r="R255" i="6"/>
  <c r="L255" i="6"/>
  <c r="R254" i="6"/>
  <c r="L254" i="6"/>
  <c r="R253" i="6"/>
  <c r="L253" i="6"/>
  <c r="R252" i="6"/>
  <c r="L252" i="6"/>
  <c r="R248" i="6"/>
  <c r="L248" i="6"/>
  <c r="R247" i="6"/>
  <c r="L247" i="6"/>
  <c r="R246" i="6"/>
  <c r="L246" i="6"/>
  <c r="R245" i="6"/>
  <c r="L245" i="6"/>
  <c r="R244" i="6"/>
  <c r="L244" i="6"/>
  <c r="R243" i="6"/>
  <c r="L243" i="6"/>
  <c r="R242" i="6"/>
  <c r="L242" i="6"/>
  <c r="R241" i="6"/>
  <c r="L241" i="6"/>
  <c r="R237" i="6"/>
  <c r="L237" i="6"/>
  <c r="R236" i="6"/>
  <c r="L236" i="6"/>
  <c r="R235" i="6"/>
  <c r="L235" i="6"/>
  <c r="R234" i="6"/>
  <c r="L234" i="6"/>
  <c r="R233" i="6"/>
  <c r="L233" i="6"/>
  <c r="R232" i="6"/>
  <c r="L232" i="6"/>
  <c r="R231" i="6"/>
  <c r="L231" i="6"/>
  <c r="R230" i="6"/>
  <c r="L230" i="6"/>
  <c r="R226" i="6"/>
  <c r="L226" i="6"/>
  <c r="R225" i="6"/>
  <c r="L225" i="6"/>
  <c r="R224" i="6"/>
  <c r="L224" i="6"/>
  <c r="R223" i="6"/>
  <c r="L223" i="6"/>
  <c r="R222" i="6"/>
  <c r="L222" i="6"/>
  <c r="R221" i="6"/>
  <c r="L221" i="6"/>
  <c r="R220" i="6"/>
  <c r="L220" i="6"/>
  <c r="R219" i="6"/>
  <c r="L219" i="6"/>
  <c r="R215" i="6"/>
  <c r="L215" i="6"/>
  <c r="R214" i="6"/>
  <c r="L214" i="6"/>
  <c r="R213" i="6"/>
  <c r="L213" i="6"/>
  <c r="R212" i="6"/>
  <c r="L212" i="6"/>
  <c r="R211" i="6"/>
  <c r="L211" i="6"/>
  <c r="R210" i="6"/>
  <c r="L210" i="6"/>
  <c r="R209" i="6"/>
  <c r="L209" i="6"/>
  <c r="R208" i="6"/>
  <c r="L208" i="6"/>
  <c r="R204" i="6"/>
  <c r="L204" i="6"/>
  <c r="R203" i="6"/>
  <c r="L203" i="6"/>
  <c r="R202" i="6"/>
  <c r="L202" i="6"/>
  <c r="R201" i="6"/>
  <c r="L201" i="6"/>
  <c r="R200" i="6"/>
  <c r="L200" i="6"/>
  <c r="R199" i="6"/>
  <c r="L199" i="6"/>
  <c r="R198" i="6"/>
  <c r="L198" i="6"/>
  <c r="R197" i="6"/>
  <c r="L197" i="6"/>
  <c r="R193" i="6"/>
  <c r="L193" i="6"/>
  <c r="R192" i="6"/>
  <c r="L192" i="6"/>
  <c r="R191" i="6"/>
  <c r="L191" i="6"/>
  <c r="R190" i="6"/>
  <c r="L190" i="6"/>
  <c r="R189" i="6"/>
  <c r="L189" i="6"/>
  <c r="R188" i="6"/>
  <c r="L188" i="6"/>
  <c r="R187" i="6"/>
  <c r="L187" i="6"/>
  <c r="R186" i="6"/>
  <c r="L186" i="6"/>
  <c r="R182" i="6"/>
  <c r="L182" i="6"/>
  <c r="R181" i="6"/>
  <c r="L181" i="6"/>
  <c r="R180" i="6"/>
  <c r="L180" i="6"/>
  <c r="R179" i="6"/>
  <c r="L179" i="6"/>
  <c r="R178" i="6"/>
  <c r="L178" i="6"/>
  <c r="R177" i="6"/>
  <c r="L177" i="6"/>
  <c r="R176" i="6"/>
  <c r="L176" i="6"/>
  <c r="R175" i="6"/>
  <c r="L175" i="6"/>
  <c r="R171" i="6"/>
  <c r="L171" i="6"/>
  <c r="R170" i="6"/>
  <c r="L170" i="6"/>
  <c r="R169" i="6"/>
  <c r="L169" i="6"/>
  <c r="R168" i="6"/>
  <c r="L168" i="6"/>
  <c r="R167" i="6"/>
  <c r="L167" i="6"/>
  <c r="R166" i="6"/>
  <c r="L166" i="6"/>
  <c r="R165" i="6"/>
  <c r="L165" i="6"/>
  <c r="R164" i="6"/>
  <c r="L164" i="6"/>
  <c r="R160" i="6"/>
  <c r="L160" i="6"/>
  <c r="R159" i="6"/>
  <c r="L159" i="6"/>
  <c r="R158" i="6"/>
  <c r="L158" i="6"/>
  <c r="R157" i="6"/>
  <c r="L157" i="6"/>
  <c r="R156" i="6"/>
  <c r="L156" i="6"/>
  <c r="R155" i="6"/>
  <c r="L155" i="6"/>
  <c r="R154" i="6"/>
  <c r="L154" i="6"/>
  <c r="R153" i="6"/>
  <c r="L153" i="6"/>
  <c r="R149" i="6"/>
  <c r="L149" i="6"/>
  <c r="R148" i="6"/>
  <c r="L148" i="6"/>
  <c r="R147" i="6"/>
  <c r="L147" i="6"/>
  <c r="R146" i="6"/>
  <c r="L146" i="6"/>
  <c r="R145" i="6"/>
  <c r="L145" i="6"/>
  <c r="R144" i="6"/>
  <c r="L144" i="6"/>
  <c r="R143" i="6"/>
  <c r="L143" i="6"/>
  <c r="R142" i="6"/>
  <c r="L142" i="6"/>
  <c r="R138" i="6"/>
  <c r="L138" i="6"/>
  <c r="R137" i="6"/>
  <c r="L137" i="6"/>
  <c r="R136" i="6"/>
  <c r="L136" i="6"/>
  <c r="R135" i="6"/>
  <c r="L135" i="6"/>
  <c r="R134" i="6"/>
  <c r="L134" i="6"/>
  <c r="R133" i="6"/>
  <c r="L133" i="6"/>
  <c r="R132" i="6"/>
  <c r="L132" i="6"/>
  <c r="R131" i="6"/>
  <c r="L131" i="6"/>
  <c r="R127" i="6"/>
  <c r="L127" i="6"/>
  <c r="R126" i="6"/>
  <c r="L126" i="6"/>
  <c r="R125" i="6"/>
  <c r="L125" i="6"/>
  <c r="R124" i="6"/>
  <c r="L124" i="6"/>
  <c r="R123" i="6"/>
  <c r="L123" i="6"/>
  <c r="R122" i="6"/>
  <c r="L122" i="6"/>
  <c r="R121" i="6"/>
  <c r="L121" i="6"/>
  <c r="R120" i="6"/>
  <c r="L120" i="6"/>
  <c r="R116" i="6"/>
  <c r="L116" i="6"/>
  <c r="R115" i="6"/>
  <c r="L115" i="6"/>
  <c r="R114" i="6"/>
  <c r="L114" i="6"/>
  <c r="R113" i="6"/>
  <c r="L113" i="6"/>
  <c r="R112" i="6"/>
  <c r="L112" i="6"/>
  <c r="R111" i="6"/>
  <c r="L111" i="6"/>
  <c r="R110" i="6"/>
  <c r="L110" i="6"/>
  <c r="R109" i="6"/>
  <c r="L109" i="6"/>
  <c r="R105" i="6"/>
  <c r="L105" i="6"/>
  <c r="R104" i="6"/>
  <c r="L104" i="6"/>
  <c r="R103" i="6"/>
  <c r="L103" i="6"/>
  <c r="R102" i="6"/>
  <c r="L102" i="6"/>
  <c r="R101" i="6"/>
  <c r="L101" i="6"/>
  <c r="R100" i="6"/>
  <c r="L100" i="6"/>
  <c r="R99" i="6"/>
  <c r="L99" i="6"/>
  <c r="R98" i="6"/>
  <c r="L98" i="6"/>
  <c r="R94" i="6"/>
  <c r="L94" i="6"/>
  <c r="R93" i="6"/>
  <c r="L93" i="6"/>
  <c r="R92" i="6"/>
  <c r="L92" i="6"/>
  <c r="R91" i="6"/>
  <c r="L91" i="6"/>
  <c r="R90" i="6"/>
  <c r="L90" i="6"/>
  <c r="R89" i="6"/>
  <c r="L89" i="6"/>
  <c r="R88" i="6"/>
  <c r="L88" i="6"/>
  <c r="R87" i="6"/>
  <c r="L87" i="6"/>
  <c r="R83" i="6"/>
  <c r="L83" i="6"/>
  <c r="R82" i="6"/>
  <c r="L82" i="6"/>
  <c r="R81" i="6"/>
  <c r="L81" i="6"/>
  <c r="R80" i="6"/>
  <c r="L80" i="6"/>
  <c r="R79" i="6"/>
  <c r="L79" i="6"/>
  <c r="R78" i="6"/>
  <c r="L78" i="6"/>
  <c r="R77" i="6"/>
  <c r="L77" i="6"/>
  <c r="R76" i="6"/>
  <c r="L76" i="6"/>
  <c r="R72" i="6"/>
  <c r="L72" i="6"/>
  <c r="R71" i="6"/>
  <c r="L71" i="6"/>
  <c r="R70" i="6"/>
  <c r="L70" i="6"/>
  <c r="R69" i="6"/>
  <c r="L69" i="6"/>
  <c r="R68" i="6"/>
  <c r="L68" i="6"/>
  <c r="R67" i="6"/>
  <c r="L67" i="6"/>
  <c r="R66" i="6"/>
  <c r="L66" i="6"/>
  <c r="R65" i="6"/>
  <c r="R61" i="6"/>
  <c r="L61" i="6"/>
  <c r="R60" i="6"/>
  <c r="L60" i="6"/>
  <c r="R59" i="6"/>
  <c r="L59" i="6"/>
  <c r="R58" i="6"/>
  <c r="L58" i="6"/>
  <c r="R57" i="6"/>
  <c r="L57" i="6"/>
  <c r="R56" i="6"/>
  <c r="L56" i="6"/>
  <c r="R55" i="6"/>
  <c r="L55" i="6"/>
  <c r="R54" i="6"/>
  <c r="L54" i="6"/>
  <c r="R50" i="6"/>
  <c r="L50" i="6"/>
  <c r="R49" i="6"/>
  <c r="L49" i="6"/>
  <c r="R48" i="6"/>
  <c r="L48" i="6"/>
  <c r="R47" i="6"/>
  <c r="L47" i="6"/>
  <c r="R46" i="6"/>
  <c r="L46" i="6"/>
  <c r="R45" i="6"/>
  <c r="L45" i="6"/>
  <c r="R44" i="6"/>
  <c r="L44" i="6"/>
  <c r="R43" i="6"/>
  <c r="L43" i="6"/>
  <c r="R28" i="6"/>
  <c r="L28" i="6"/>
  <c r="R27" i="6"/>
  <c r="L27" i="6"/>
  <c r="R26" i="6"/>
  <c r="L26" i="6"/>
  <c r="R25" i="6"/>
  <c r="L25" i="6"/>
  <c r="R24" i="6"/>
  <c r="L24" i="6"/>
  <c r="R23" i="6"/>
  <c r="L23" i="6"/>
  <c r="R22" i="6"/>
  <c r="L22" i="6"/>
  <c r="R21" i="6"/>
  <c r="L21" i="6"/>
  <c r="AA853" i="6"/>
  <c r="Z853" i="6"/>
  <c r="AA842" i="6"/>
  <c r="Z842" i="6"/>
  <c r="AA831" i="6"/>
  <c r="Z831" i="6"/>
  <c r="AA820" i="6"/>
  <c r="Z820" i="6"/>
  <c r="AA809" i="6"/>
  <c r="Z809" i="6"/>
  <c r="AA798" i="6"/>
  <c r="Z798" i="6"/>
  <c r="AA787" i="6"/>
  <c r="Z787" i="6"/>
  <c r="AA776" i="6"/>
  <c r="Z776" i="6"/>
  <c r="AA61" i="6"/>
  <c r="Z61" i="6"/>
  <c r="AA50" i="6"/>
  <c r="Z50" i="6"/>
  <c r="R39" i="6"/>
  <c r="L39" i="6"/>
  <c r="R38" i="6"/>
  <c r="L38" i="6"/>
  <c r="R37" i="6"/>
  <c r="L37" i="6"/>
  <c r="R36" i="6"/>
  <c r="L36" i="6"/>
  <c r="R35" i="6"/>
  <c r="L35" i="6"/>
  <c r="R34" i="6"/>
  <c r="L34" i="6"/>
  <c r="R33" i="6"/>
  <c r="L33" i="6"/>
  <c r="R32" i="6"/>
  <c r="L32" i="6"/>
  <c r="Z39" i="6"/>
  <c r="Z28" i="6"/>
  <c r="A758" i="6"/>
  <c r="A759" i="6" s="1"/>
  <c r="A760" i="6" s="1"/>
  <c r="A761" i="6" s="1"/>
  <c r="A762" i="6" s="1"/>
  <c r="A763" i="6" s="1"/>
  <c r="A764" i="6" s="1"/>
  <c r="A765" i="6" s="1"/>
  <c r="A747" i="6"/>
  <c r="A748" i="6" s="1"/>
  <c r="A749" i="6" s="1"/>
  <c r="A750" i="6" s="1"/>
  <c r="A751" i="6" s="1"/>
  <c r="A752" i="6" s="1"/>
  <c r="A753" i="6" s="1"/>
  <c r="A754" i="6" s="1"/>
  <c r="A736" i="6"/>
  <c r="A737" i="6" s="1"/>
  <c r="A738" i="6" s="1"/>
  <c r="A739" i="6" s="1"/>
  <c r="A740" i="6" s="1"/>
  <c r="A741" i="6" s="1"/>
  <c r="A742" i="6" s="1"/>
  <c r="A743" i="6" s="1"/>
  <c r="A725" i="6"/>
  <c r="A726" i="6" s="1"/>
  <c r="A727" i="6" s="1"/>
  <c r="A728" i="6" s="1"/>
  <c r="A729" i="6" s="1"/>
  <c r="A730" i="6" s="1"/>
  <c r="A731" i="6" s="1"/>
  <c r="A732" i="6" s="1"/>
  <c r="A714" i="6"/>
  <c r="A715" i="6" s="1"/>
  <c r="A716" i="6" s="1"/>
  <c r="A717" i="6" s="1"/>
  <c r="A718" i="6" s="1"/>
  <c r="A719" i="6" s="1"/>
  <c r="A720" i="6" s="1"/>
  <c r="A721" i="6" s="1"/>
  <c r="A703" i="6"/>
  <c r="A704" i="6" s="1"/>
  <c r="A705" i="6" s="1"/>
  <c r="A706" i="6" s="1"/>
  <c r="A707" i="6" s="1"/>
  <c r="A708" i="6" s="1"/>
  <c r="A709" i="6" s="1"/>
  <c r="A710" i="6" s="1"/>
  <c r="A692" i="6"/>
  <c r="A693" i="6" s="1"/>
  <c r="A694" i="6" s="1"/>
  <c r="A695" i="6" s="1"/>
  <c r="A696" i="6" s="1"/>
  <c r="A697" i="6" s="1"/>
  <c r="A698" i="6" s="1"/>
  <c r="A699" i="6" s="1"/>
  <c r="A681" i="6"/>
  <c r="A682" i="6" s="1"/>
  <c r="A683" i="6" s="1"/>
  <c r="A684" i="6" s="1"/>
  <c r="A685" i="6" s="1"/>
  <c r="A686" i="6" s="1"/>
  <c r="A687" i="6" s="1"/>
  <c r="A688" i="6" s="1"/>
  <c r="A670" i="6"/>
  <c r="A671" i="6" s="1"/>
  <c r="A672" i="6" s="1"/>
  <c r="A673" i="6" s="1"/>
  <c r="A674" i="6" s="1"/>
  <c r="A675" i="6" s="1"/>
  <c r="A676" i="6" s="1"/>
  <c r="A677" i="6" s="1"/>
  <c r="A659" i="6"/>
  <c r="A660" i="6" s="1"/>
  <c r="A661" i="6" s="1"/>
  <c r="A662" i="6" s="1"/>
  <c r="A663" i="6" s="1"/>
  <c r="A664" i="6" s="1"/>
  <c r="A665" i="6" s="1"/>
  <c r="A666" i="6" s="1"/>
  <c r="A648" i="6"/>
  <c r="A649" i="6" s="1"/>
  <c r="A650" i="6" s="1"/>
  <c r="A651" i="6" s="1"/>
  <c r="A652" i="6" s="1"/>
  <c r="A653" i="6" s="1"/>
  <c r="A654" i="6" s="1"/>
  <c r="A655" i="6" s="1"/>
  <c r="A637" i="6"/>
  <c r="A638" i="6" s="1"/>
  <c r="A639" i="6" s="1"/>
  <c r="A640" i="6" s="1"/>
  <c r="A641" i="6" s="1"/>
  <c r="A642" i="6" s="1"/>
  <c r="A643" i="6" s="1"/>
  <c r="A644" i="6" s="1"/>
  <c r="A626" i="6"/>
  <c r="A627" i="6" s="1"/>
  <c r="A628" i="6" s="1"/>
  <c r="A629" i="6" s="1"/>
  <c r="A630" i="6" s="1"/>
  <c r="A631" i="6" s="1"/>
  <c r="A632" i="6" s="1"/>
  <c r="A633" i="6" s="1"/>
  <c r="A615" i="6"/>
  <c r="A604" i="6"/>
  <c r="A605" i="6" s="1"/>
  <c r="A606" i="6" s="1"/>
  <c r="A607" i="6" s="1"/>
  <c r="A608" i="6" s="1"/>
  <c r="A609" i="6" s="1"/>
  <c r="A610" i="6" s="1"/>
  <c r="A611" i="6" s="1"/>
  <c r="A593" i="6"/>
  <c r="A594" i="6" s="1"/>
  <c r="A595" i="6" s="1"/>
  <c r="A596" i="6" s="1"/>
  <c r="A597" i="6" s="1"/>
  <c r="A598" i="6" s="1"/>
  <c r="A599" i="6" s="1"/>
  <c r="A600" i="6" s="1"/>
  <c r="A582" i="6"/>
  <c r="A583" i="6" s="1"/>
  <c r="A584" i="6" s="1"/>
  <c r="A585" i="6" s="1"/>
  <c r="A586" i="6" s="1"/>
  <c r="A587" i="6" s="1"/>
  <c r="A588" i="6" s="1"/>
  <c r="A589" i="6" s="1"/>
  <c r="A571" i="6"/>
  <c r="A572" i="6" s="1"/>
  <c r="A573" i="6" s="1"/>
  <c r="A574" i="6" s="1"/>
  <c r="A575" i="6" s="1"/>
  <c r="A576" i="6" s="1"/>
  <c r="A577" i="6" s="1"/>
  <c r="A578" i="6" s="1"/>
  <c r="A560" i="6"/>
  <c r="A561" i="6" s="1"/>
  <c r="A562" i="6" s="1"/>
  <c r="A563" i="6" s="1"/>
  <c r="A564" i="6" s="1"/>
  <c r="A565" i="6" s="1"/>
  <c r="A566" i="6" s="1"/>
  <c r="A567" i="6" s="1"/>
  <c r="A505" i="6"/>
  <c r="A506" i="6" s="1"/>
  <c r="A507" i="6" s="1"/>
  <c r="A508" i="6" s="1"/>
  <c r="A509" i="6" s="1"/>
  <c r="A510" i="6" s="1"/>
  <c r="A511" i="6" s="1"/>
  <c r="A512" i="6" s="1"/>
  <c r="A494" i="6"/>
  <c r="A495" i="6" s="1"/>
  <c r="A496" i="6" s="1"/>
  <c r="A497" i="6" s="1"/>
  <c r="A498" i="6" s="1"/>
  <c r="A499" i="6" s="1"/>
  <c r="A500" i="6" s="1"/>
  <c r="A501" i="6" s="1"/>
  <c r="A483" i="6"/>
  <c r="A484" i="6" s="1"/>
  <c r="A485" i="6" s="1"/>
  <c r="A486" i="6" s="1"/>
  <c r="A487" i="6" s="1"/>
  <c r="A488" i="6" s="1"/>
  <c r="A489" i="6" s="1"/>
  <c r="A490" i="6" s="1"/>
  <c r="A472" i="6"/>
  <c r="A473" i="6" s="1"/>
  <c r="A474" i="6" s="1"/>
  <c r="A475" i="6" s="1"/>
  <c r="A476" i="6" s="1"/>
  <c r="A477" i="6" s="1"/>
  <c r="A478" i="6" s="1"/>
  <c r="A479" i="6" s="1"/>
  <c r="A461" i="6"/>
  <c r="A462" i="6" s="1"/>
  <c r="A463" i="6" s="1"/>
  <c r="A464" i="6" s="1"/>
  <c r="A465" i="6" s="1"/>
  <c r="A466" i="6" s="1"/>
  <c r="A467" i="6" s="1"/>
  <c r="A468" i="6" s="1"/>
  <c r="A450" i="6"/>
  <c r="A451" i="6" s="1"/>
  <c r="A452" i="6" s="1"/>
  <c r="A453" i="6" s="1"/>
  <c r="A454" i="6" s="1"/>
  <c r="A455" i="6" s="1"/>
  <c r="A456" i="6" s="1"/>
  <c r="A457" i="6" s="1"/>
  <c r="A439" i="6"/>
  <c r="A440" i="6" s="1"/>
  <c r="A441" i="6" s="1"/>
  <c r="A442" i="6" s="1"/>
  <c r="A443" i="6" s="1"/>
  <c r="A444" i="6" s="1"/>
  <c r="A445" i="6" s="1"/>
  <c r="A446" i="6" s="1"/>
  <c r="A428" i="6"/>
  <c r="A429" i="6" s="1"/>
  <c r="A430" i="6" s="1"/>
  <c r="A431" i="6" s="1"/>
  <c r="A432" i="6" s="1"/>
  <c r="A433" i="6" s="1"/>
  <c r="A434" i="6" s="1"/>
  <c r="A435" i="6" s="1"/>
  <c r="A417" i="6"/>
  <c r="A418" i="6" s="1"/>
  <c r="A419" i="6" s="1"/>
  <c r="A420" i="6" s="1"/>
  <c r="A421" i="6" s="1"/>
  <c r="A422" i="6" s="1"/>
  <c r="A423" i="6" s="1"/>
  <c r="A424" i="6" s="1"/>
  <c r="A406" i="6"/>
  <c r="A407" i="6" s="1"/>
  <c r="A408" i="6" s="1"/>
  <c r="A409" i="6" s="1"/>
  <c r="A410" i="6" s="1"/>
  <c r="A411" i="6" s="1"/>
  <c r="A412" i="6" s="1"/>
  <c r="A413" i="6" s="1"/>
  <c r="A395" i="6"/>
  <c r="A396" i="6" s="1"/>
  <c r="A397" i="6" s="1"/>
  <c r="A398" i="6" s="1"/>
  <c r="A399" i="6" s="1"/>
  <c r="A400" i="6" s="1"/>
  <c r="A401" i="6" s="1"/>
  <c r="A402" i="6" s="1"/>
  <c r="A384" i="6"/>
  <c r="A385" i="6" s="1"/>
  <c r="A386" i="6" s="1"/>
  <c r="A387" i="6" s="1"/>
  <c r="A388" i="6" s="1"/>
  <c r="A389" i="6" s="1"/>
  <c r="A390" i="6" s="1"/>
  <c r="A391" i="6" s="1"/>
  <c r="A373" i="6"/>
  <c r="A374" i="6" s="1"/>
  <c r="A375" i="6" s="1"/>
  <c r="A376" i="6" s="1"/>
  <c r="A377" i="6" s="1"/>
  <c r="A378" i="6" s="1"/>
  <c r="A379" i="6" s="1"/>
  <c r="A380" i="6" s="1"/>
  <c r="A362" i="6"/>
  <c r="A363" i="6" s="1"/>
  <c r="A364" i="6" s="1"/>
  <c r="A365" i="6" s="1"/>
  <c r="A366" i="6" s="1"/>
  <c r="A367" i="6" s="1"/>
  <c r="A368" i="6" s="1"/>
  <c r="A369" i="6" s="1"/>
  <c r="A351" i="6"/>
  <c r="A352" i="6" s="1"/>
  <c r="A353" i="6" s="1"/>
  <c r="A354" i="6" s="1"/>
  <c r="A355" i="6" s="1"/>
  <c r="A356" i="6" s="1"/>
  <c r="A357" i="6" s="1"/>
  <c r="A358" i="6" s="1"/>
  <c r="A340" i="6"/>
  <c r="A341" i="6" s="1"/>
  <c r="A342" i="6" s="1"/>
  <c r="A343" i="6" s="1"/>
  <c r="A344" i="6" s="1"/>
  <c r="A345" i="6" s="1"/>
  <c r="A346" i="6" s="1"/>
  <c r="A347" i="6" s="1"/>
  <c r="A329" i="6"/>
  <c r="A330" i="6" s="1"/>
  <c r="A331" i="6" s="1"/>
  <c r="A332" i="6" s="1"/>
  <c r="A333" i="6" s="1"/>
  <c r="A334" i="6" s="1"/>
  <c r="A335" i="6" s="1"/>
  <c r="A336" i="6" s="1"/>
  <c r="A318" i="6"/>
  <c r="A319" i="6" s="1"/>
  <c r="A320" i="6" s="1"/>
  <c r="A321" i="6" s="1"/>
  <c r="A322" i="6" s="1"/>
  <c r="A323" i="6" s="1"/>
  <c r="A324" i="6" s="1"/>
  <c r="A325" i="6" s="1"/>
  <c r="A307" i="6"/>
  <c r="A308" i="6" s="1"/>
  <c r="A309" i="6" s="1"/>
  <c r="A310" i="6" s="1"/>
  <c r="A311" i="6" s="1"/>
  <c r="A312" i="6" s="1"/>
  <c r="A313" i="6" s="1"/>
  <c r="A314" i="6" s="1"/>
  <c r="A296" i="6"/>
  <c r="A297" i="6" s="1"/>
  <c r="A298" i="6" s="1"/>
  <c r="A299" i="6" s="1"/>
  <c r="A300" i="6" s="1"/>
  <c r="A301" i="6" s="1"/>
  <c r="A302" i="6" s="1"/>
  <c r="A303" i="6" s="1"/>
  <c r="A285" i="6"/>
  <c r="A286" i="6" s="1"/>
  <c r="A287" i="6" s="1"/>
  <c r="A288" i="6" s="1"/>
  <c r="A289" i="6" s="1"/>
  <c r="A290" i="6" s="1"/>
  <c r="A291" i="6" s="1"/>
  <c r="A292" i="6" s="1"/>
  <c r="A274" i="6"/>
  <c r="A275" i="6" s="1"/>
  <c r="A276" i="6" s="1"/>
  <c r="A277" i="6" s="1"/>
  <c r="A278" i="6" s="1"/>
  <c r="A279" i="6" s="1"/>
  <c r="A280" i="6" s="1"/>
  <c r="A281" i="6" s="1"/>
  <c r="A263" i="6"/>
  <c r="A264" i="6" s="1"/>
  <c r="A265" i="6" s="1"/>
  <c r="A266" i="6" s="1"/>
  <c r="A267" i="6" s="1"/>
  <c r="A268" i="6" s="1"/>
  <c r="A269" i="6" s="1"/>
  <c r="A270" i="6" s="1"/>
  <c r="A252" i="6"/>
  <c r="A253" i="6" s="1"/>
  <c r="A254" i="6" s="1"/>
  <c r="A255" i="6" s="1"/>
  <c r="A256" i="6" s="1"/>
  <c r="A257" i="6" s="1"/>
  <c r="A258" i="6" s="1"/>
  <c r="A259" i="6" s="1"/>
  <c r="A241" i="6"/>
  <c r="A242" i="6" s="1"/>
  <c r="A243" i="6" s="1"/>
  <c r="A244" i="6" s="1"/>
  <c r="A245" i="6" s="1"/>
  <c r="A246" i="6" s="1"/>
  <c r="A247" i="6" s="1"/>
  <c r="A248" i="6" s="1"/>
  <c r="A230" i="6"/>
  <c r="A231" i="6" s="1"/>
  <c r="A232" i="6" s="1"/>
  <c r="A233" i="6" s="1"/>
  <c r="A234" i="6" s="1"/>
  <c r="A235" i="6" s="1"/>
  <c r="A236" i="6" s="1"/>
  <c r="A237" i="6" s="1"/>
  <c r="A219" i="6"/>
  <c r="A220" i="6" s="1"/>
  <c r="A221" i="6" s="1"/>
  <c r="A222" i="6" s="1"/>
  <c r="A223" i="6" s="1"/>
  <c r="A224" i="6" s="1"/>
  <c r="A225" i="6" s="1"/>
  <c r="A226" i="6" s="1"/>
  <c r="A208" i="6"/>
  <c r="A209" i="6" s="1"/>
  <c r="A210" i="6" s="1"/>
  <c r="A211" i="6" s="1"/>
  <c r="A212" i="6" s="1"/>
  <c r="A213" i="6" s="1"/>
  <c r="A214" i="6" s="1"/>
  <c r="A215" i="6" s="1"/>
  <c r="A197" i="6"/>
  <c r="A198" i="6" s="1"/>
  <c r="A199" i="6" s="1"/>
  <c r="A200" i="6" s="1"/>
  <c r="A201" i="6" s="1"/>
  <c r="A202" i="6" s="1"/>
  <c r="A203" i="6" s="1"/>
  <c r="A204" i="6" s="1"/>
  <c r="A186" i="6"/>
  <c r="A187" i="6" s="1"/>
  <c r="A188" i="6" s="1"/>
  <c r="A189" i="6" s="1"/>
  <c r="A190" i="6" s="1"/>
  <c r="A191" i="6" s="1"/>
  <c r="A192" i="6" s="1"/>
  <c r="A193" i="6" s="1"/>
  <c r="A175" i="6"/>
  <c r="A176" i="6" s="1"/>
  <c r="A177" i="6" s="1"/>
  <c r="A178" i="6" s="1"/>
  <c r="A179" i="6" s="1"/>
  <c r="A180" i="6" s="1"/>
  <c r="A181" i="6" s="1"/>
  <c r="A182" i="6" s="1"/>
  <c r="A164" i="6"/>
  <c r="A165" i="6" s="1"/>
  <c r="A166" i="6" s="1"/>
  <c r="A167" i="6" s="1"/>
  <c r="A168" i="6" s="1"/>
  <c r="A169" i="6" s="1"/>
  <c r="A170" i="6" s="1"/>
  <c r="A171" i="6" s="1"/>
  <c r="A153" i="6"/>
  <c r="A154" i="6" s="1"/>
  <c r="A155" i="6" s="1"/>
  <c r="A156" i="6" s="1"/>
  <c r="A157" i="6" s="1"/>
  <c r="A158" i="6" s="1"/>
  <c r="A159" i="6" s="1"/>
  <c r="A160" i="6" s="1"/>
  <c r="A142" i="6"/>
  <c r="A143" i="6" s="1"/>
  <c r="A144" i="6" s="1"/>
  <c r="A145" i="6" s="1"/>
  <c r="A146" i="6" s="1"/>
  <c r="A147" i="6" s="1"/>
  <c r="A148" i="6" s="1"/>
  <c r="A149" i="6" s="1"/>
  <c r="A131" i="6"/>
  <c r="A132" i="6" s="1"/>
  <c r="A133" i="6" s="1"/>
  <c r="A134" i="6" s="1"/>
  <c r="A135" i="6" s="1"/>
  <c r="A136" i="6" s="1"/>
  <c r="A137" i="6" s="1"/>
  <c r="A138" i="6" s="1"/>
  <c r="A120" i="6"/>
  <c r="A121" i="6" s="1"/>
  <c r="A122" i="6" s="1"/>
  <c r="A123" i="6" s="1"/>
  <c r="A124" i="6" s="1"/>
  <c r="A125" i="6" s="1"/>
  <c r="A126" i="6" s="1"/>
  <c r="A127" i="6" s="1"/>
  <c r="A109" i="6"/>
  <c r="A110" i="6" s="1"/>
  <c r="A111" i="6" s="1"/>
  <c r="A112" i="6" s="1"/>
  <c r="A113" i="6" s="1"/>
  <c r="A114" i="6" s="1"/>
  <c r="A115" i="6" s="1"/>
  <c r="A116" i="6" s="1"/>
  <c r="A98" i="6"/>
  <c r="A99" i="6" s="1"/>
  <c r="A100" i="6" s="1"/>
  <c r="A101" i="6" s="1"/>
  <c r="A102" i="6" s="1"/>
  <c r="A103" i="6" s="1"/>
  <c r="A104" i="6" s="1"/>
  <c r="A105" i="6" s="1"/>
  <c r="A87" i="6"/>
  <c r="A88" i="6" s="1"/>
  <c r="A89" i="6" s="1"/>
  <c r="A90" i="6" s="1"/>
  <c r="A91" i="6" s="1"/>
  <c r="A92" i="6" s="1"/>
  <c r="A93" i="6" s="1"/>
  <c r="A94" i="6" s="1"/>
  <c r="A76" i="6"/>
  <c r="A77" i="6" s="1"/>
  <c r="A78" i="6" s="1"/>
  <c r="A79" i="6" s="1"/>
  <c r="A80" i="6" s="1"/>
  <c r="A81" i="6" s="1"/>
  <c r="A82" i="6" s="1"/>
  <c r="A83" i="6" s="1"/>
  <c r="A65" i="6"/>
  <c r="A66" i="6" s="1"/>
  <c r="A67" i="6" s="1"/>
  <c r="A68" i="6" s="1"/>
  <c r="A69" i="6" s="1"/>
  <c r="A70" i="6" s="1"/>
  <c r="A71" i="6" s="1"/>
  <c r="A72" i="6" s="1"/>
  <c r="A54" i="6"/>
  <c r="A55" i="6" s="1"/>
  <c r="A56" i="6" s="1"/>
  <c r="A57" i="6" s="1"/>
  <c r="A58" i="6" s="1"/>
  <c r="A59" i="6" s="1"/>
  <c r="A60" i="6" s="1"/>
  <c r="A61" i="6" s="1"/>
  <c r="A43" i="6"/>
  <c r="AA39" i="6"/>
  <c r="AA28" i="6"/>
  <c r="A32" i="6"/>
  <c r="A33" i="6" s="1"/>
  <c r="A34" i="6" s="1"/>
  <c r="A35" i="6" s="1"/>
  <c r="A36" i="6" s="1"/>
  <c r="A37" i="6" s="1"/>
  <c r="A38" i="6" s="1"/>
  <c r="A39" i="6" s="1"/>
  <c r="A21" i="6"/>
  <c r="B515" i="7"/>
  <c r="B514" i="7"/>
  <c r="B510" i="7"/>
  <c r="B509" i="7"/>
  <c r="B505" i="7"/>
  <c r="B504" i="7"/>
  <c r="B500" i="7"/>
  <c r="B499" i="7"/>
  <c r="B495" i="7"/>
  <c r="B494" i="7"/>
  <c r="B490" i="7"/>
  <c r="B489" i="7"/>
  <c r="B480" i="7"/>
  <c r="B479" i="7"/>
  <c r="A473" i="7"/>
  <c r="A471" i="7"/>
  <c r="A470" i="7"/>
  <c r="A468" i="7"/>
  <c r="A467" i="7"/>
  <c r="A465" i="7"/>
  <c r="A464" i="7"/>
  <c r="A462" i="7"/>
  <c r="A461" i="7"/>
  <c r="A459" i="7"/>
  <c r="A458" i="7"/>
  <c r="A456" i="7"/>
  <c r="A455" i="7"/>
  <c r="A453" i="7"/>
  <c r="A452" i="7"/>
  <c r="A450" i="7"/>
  <c r="A449" i="7"/>
  <c r="A447" i="7"/>
  <c r="A446" i="7"/>
  <c r="A444" i="7"/>
  <c r="A443" i="7"/>
  <c r="A441" i="7"/>
  <c r="A440" i="7"/>
  <c r="A438" i="7"/>
  <c r="B432" i="7"/>
  <c r="A430" i="7"/>
  <c r="A429" i="7"/>
  <c r="A428" i="7"/>
  <c r="A427" i="7"/>
  <c r="A426" i="7"/>
  <c r="A425" i="7"/>
  <c r="A424" i="7"/>
  <c r="A423" i="7"/>
  <c r="A422" i="7"/>
  <c r="A421" i="7"/>
  <c r="A420" i="7"/>
  <c r="A419" i="7"/>
  <c r="A418" i="7"/>
  <c r="A417" i="7"/>
  <c r="A416" i="7"/>
  <c r="A415" i="7"/>
  <c r="A414" i="7"/>
  <c r="A413" i="7"/>
  <c r="A412" i="7"/>
  <c r="A411" i="7"/>
  <c r="A410" i="7"/>
  <c r="A409" i="7"/>
  <c r="A408" i="7"/>
  <c r="A407" i="7"/>
  <c r="A406" i="7"/>
  <c r="A405" i="7"/>
  <c r="A404" i="7"/>
  <c r="A403" i="7"/>
  <c r="A402" i="7"/>
  <c r="A401" i="7"/>
  <c r="A400" i="7"/>
  <c r="A399" i="7"/>
  <c r="A398" i="7"/>
  <c r="A397" i="7"/>
  <c r="A396" i="7"/>
  <c r="A395" i="7"/>
  <c r="A394" i="7"/>
  <c r="A393" i="7"/>
  <c r="A392" i="7"/>
  <c r="A391" i="7"/>
  <c r="A390" i="7"/>
  <c r="A389" i="7"/>
  <c r="A388" i="7"/>
  <c r="A387" i="7"/>
  <c r="A386" i="7"/>
  <c r="A385" i="7"/>
  <c r="A384" i="7"/>
  <c r="A383" i="7"/>
  <c r="A382" i="7"/>
  <c r="A381" i="7"/>
  <c r="B375" i="7"/>
  <c r="A373" i="7"/>
  <c r="A372" i="7"/>
  <c r="A371" i="7"/>
  <c r="A370" i="7"/>
  <c r="A369" i="7"/>
  <c r="A368" i="7"/>
  <c r="A367" i="7"/>
  <c r="A366" i="7"/>
  <c r="A365" i="7"/>
  <c r="A364" i="7"/>
  <c r="A363" i="7"/>
  <c r="A362" i="7"/>
  <c r="A361" i="7"/>
  <c r="A360" i="7"/>
  <c r="A359" i="7"/>
  <c r="A358" i="7"/>
  <c r="A357" i="7"/>
  <c r="A356" i="7"/>
  <c r="A355" i="7"/>
  <c r="A354" i="7"/>
  <c r="A353" i="7"/>
  <c r="A352" i="7"/>
  <c r="A351" i="7"/>
  <c r="A350" i="7"/>
  <c r="A349" i="7"/>
  <c r="A348" i="7"/>
  <c r="A347" i="7"/>
  <c r="A346" i="7"/>
  <c r="A345" i="7"/>
  <c r="A344" i="7"/>
  <c r="A343" i="7"/>
  <c r="A342" i="7"/>
  <c r="A341" i="7"/>
  <c r="A340" i="7"/>
  <c r="A339" i="7"/>
  <c r="A338" i="7"/>
  <c r="A337" i="7"/>
  <c r="A336" i="7"/>
  <c r="A335" i="7"/>
  <c r="A334" i="7"/>
  <c r="A333" i="7"/>
  <c r="A332" i="7"/>
  <c r="A331" i="7"/>
  <c r="A330" i="7"/>
  <c r="A329" i="7"/>
  <c r="A328" i="7"/>
  <c r="A327" i="7"/>
  <c r="A326" i="7"/>
  <c r="A325" i="7"/>
  <c r="A324" i="7"/>
  <c r="E379" i="7"/>
  <c r="E436" i="7" s="1"/>
  <c r="K378" i="7"/>
  <c r="K435" i="7" s="1"/>
  <c r="B318" i="7"/>
  <c r="A316" i="7"/>
  <c r="A315" i="7"/>
  <c r="A314" i="7"/>
  <c r="A313" i="7"/>
  <c r="A312" i="7"/>
  <c r="A311" i="7"/>
  <c r="A310" i="7"/>
  <c r="A309" i="7"/>
  <c r="A308" i="7"/>
  <c r="A307" i="7"/>
  <c r="A306" i="7"/>
  <c r="A305" i="7"/>
  <c r="A304" i="7"/>
  <c r="A303" i="7"/>
  <c r="A302" i="7"/>
  <c r="A301" i="7"/>
  <c r="A300" i="7"/>
  <c r="A299" i="7"/>
  <c r="A298" i="7"/>
  <c r="A297" i="7"/>
  <c r="A296" i="7"/>
  <c r="A295" i="7"/>
  <c r="A294" i="7"/>
  <c r="A293" i="7"/>
  <c r="A292" i="7"/>
  <c r="A291" i="7"/>
  <c r="A290" i="7"/>
  <c r="A289" i="7"/>
  <c r="A288" i="7"/>
  <c r="A287" i="7"/>
  <c r="A286" i="7"/>
  <c r="A285" i="7"/>
  <c r="A284" i="7"/>
  <c r="A283" i="7"/>
  <c r="A282" i="7"/>
  <c r="A281" i="7"/>
  <c r="A280" i="7"/>
  <c r="A279" i="7"/>
  <c r="A278" i="7"/>
  <c r="A277" i="7"/>
  <c r="A276" i="7"/>
  <c r="A275" i="7"/>
  <c r="A274" i="7"/>
  <c r="A273" i="7"/>
  <c r="A272" i="7"/>
  <c r="A271" i="7"/>
  <c r="A270" i="7"/>
  <c r="A269" i="7"/>
  <c r="A268" i="7"/>
  <c r="A267" i="7"/>
  <c r="B261" i="7"/>
  <c r="A259" i="7"/>
  <c r="A258" i="7"/>
  <c r="A257" i="7"/>
  <c r="A256" i="7"/>
  <c r="A255" i="7"/>
  <c r="A254" i="7"/>
  <c r="A253" i="7"/>
  <c r="A252" i="7"/>
  <c r="A251" i="7"/>
  <c r="A250" i="7"/>
  <c r="A249" i="7"/>
  <c r="A248" i="7"/>
  <c r="A247" i="7"/>
  <c r="A246" i="7"/>
  <c r="A245" i="7"/>
  <c r="A244" i="7"/>
  <c r="A243" i="7"/>
  <c r="A242" i="7"/>
  <c r="A241" i="7"/>
  <c r="A240" i="7"/>
  <c r="A239" i="7"/>
  <c r="A238" i="7"/>
  <c r="A237" i="7"/>
  <c r="A236" i="7"/>
  <c r="A235" i="7"/>
  <c r="A234" i="7"/>
  <c r="A233" i="7"/>
  <c r="A232" i="7"/>
  <c r="A231" i="7"/>
  <c r="A230" i="7"/>
  <c r="A229" i="7"/>
  <c r="A228" i="7"/>
  <c r="A227" i="7"/>
  <c r="A226" i="7"/>
  <c r="A225" i="7"/>
  <c r="A224" i="7"/>
  <c r="A223" i="7"/>
  <c r="A222" i="7"/>
  <c r="A221" i="7"/>
  <c r="A220" i="7"/>
  <c r="A219" i="7"/>
  <c r="A218" i="7"/>
  <c r="A217" i="7"/>
  <c r="A216" i="7"/>
  <c r="A215" i="7"/>
  <c r="A214" i="7"/>
  <c r="A213" i="7"/>
  <c r="A212" i="7"/>
  <c r="A211" i="7"/>
  <c r="A210" i="7"/>
  <c r="E265" i="7"/>
  <c r="K264" i="7"/>
  <c r="B204" i="7"/>
  <c r="A202" i="7"/>
  <c r="A201" i="7"/>
  <c r="A200" i="7"/>
  <c r="A199" i="7"/>
  <c r="A198" i="7"/>
  <c r="A197" i="7"/>
  <c r="A195" i="7"/>
  <c r="A194" i="7"/>
  <c r="A193" i="7"/>
  <c r="A192" i="7"/>
  <c r="A191" i="7"/>
  <c r="A190" i="7"/>
  <c r="A189" i="7"/>
  <c r="A188" i="7"/>
  <c r="A187" i="7"/>
  <c r="A186" i="7"/>
  <c r="A185" i="7"/>
  <c r="A184" i="7"/>
  <c r="A183" i="7"/>
  <c r="A182" i="7"/>
  <c r="A181" i="7"/>
  <c r="A180" i="7"/>
  <c r="A179" i="7"/>
  <c r="A178" i="7"/>
  <c r="A177" i="7"/>
  <c r="A176" i="7"/>
  <c r="A175" i="7"/>
  <c r="A174" i="7"/>
  <c r="A173" i="7"/>
  <c r="A172" i="7"/>
  <c r="A171" i="7"/>
  <c r="A170" i="7"/>
  <c r="A169" i="7"/>
  <c r="A168" i="7"/>
  <c r="A167" i="7"/>
  <c r="A166" i="7"/>
  <c r="A165" i="7"/>
  <c r="A164" i="7"/>
  <c r="A163" i="7"/>
  <c r="A162" i="7"/>
  <c r="A161" i="7"/>
  <c r="A160" i="7"/>
  <c r="A159" i="7"/>
  <c r="A158" i="7"/>
  <c r="A157" i="7"/>
  <c r="A156" i="7"/>
  <c r="B150" i="7"/>
  <c r="A148" i="7"/>
  <c r="A147" i="7"/>
  <c r="A146" i="7"/>
  <c r="A145" i="7"/>
  <c r="A144" i="7"/>
  <c r="A143" i="7"/>
  <c r="A141" i="7"/>
  <c r="A140" i="7"/>
  <c r="A139" i="7"/>
  <c r="A138" i="7"/>
  <c r="A137" i="7"/>
  <c r="A136" i="7"/>
  <c r="A135" i="7"/>
  <c r="A134" i="7"/>
  <c r="A133" i="7"/>
  <c r="A132" i="7"/>
  <c r="A131" i="7"/>
  <c r="A130" i="7"/>
  <c r="A129" i="7"/>
  <c r="A128" i="7"/>
  <c r="A127" i="7"/>
  <c r="A126" i="7"/>
  <c r="A125" i="7"/>
  <c r="A124" i="7"/>
  <c r="A123" i="7"/>
  <c r="A122" i="7"/>
  <c r="A121" i="7"/>
  <c r="A120" i="7"/>
  <c r="A119" i="7"/>
  <c r="A118" i="7"/>
  <c r="A117" i="7"/>
  <c r="A116" i="7"/>
  <c r="A115" i="7"/>
  <c r="A114" i="7"/>
  <c r="A113" i="7"/>
  <c r="A112" i="7"/>
  <c r="A111" i="7"/>
  <c r="A110" i="7"/>
  <c r="A109" i="7"/>
  <c r="A108" i="7"/>
  <c r="A107" i="7"/>
  <c r="A106" i="7"/>
  <c r="A105" i="7"/>
  <c r="A104" i="7"/>
  <c r="A103" i="7"/>
  <c r="A102" i="7"/>
  <c r="E154" i="7"/>
  <c r="K153" i="7"/>
  <c r="B96" i="7"/>
  <c r="A95" i="7"/>
  <c r="A94" i="7"/>
  <c r="A93" i="7"/>
  <c r="A92" i="7"/>
  <c r="A91" i="7"/>
  <c r="A90" i="7"/>
  <c r="A88" i="7"/>
  <c r="D87" i="7"/>
  <c r="A87" i="7"/>
  <c r="A86" i="7"/>
  <c r="A85" i="7"/>
  <c r="D84" i="7"/>
  <c r="C84" i="7"/>
  <c r="A84" i="7"/>
  <c r="A83" i="7"/>
  <c r="A82" i="7"/>
  <c r="D81" i="7"/>
  <c r="A81" i="7"/>
  <c r="A80" i="7"/>
  <c r="A79" i="7"/>
  <c r="D78" i="7"/>
  <c r="C78" i="7"/>
  <c r="A78" i="7"/>
  <c r="A77" i="7"/>
  <c r="A68" i="7"/>
  <c r="A67" i="7"/>
  <c r="A66" i="7"/>
  <c r="A65" i="7"/>
  <c r="A64" i="7"/>
  <c r="A63" i="7"/>
  <c r="A62" i="7"/>
  <c r="A61" i="7"/>
  <c r="A60" i="7"/>
  <c r="A59" i="7"/>
  <c r="A58" i="7"/>
  <c r="A57" i="7"/>
  <c r="A56" i="7"/>
  <c r="A55" i="7"/>
  <c r="A54" i="7"/>
  <c r="A53" i="7"/>
  <c r="B47" i="7"/>
  <c r="D39" i="7"/>
  <c r="A39" i="7"/>
  <c r="A26" i="7"/>
  <c r="A25" i="7"/>
  <c r="A24" i="7"/>
  <c r="A23" i="7"/>
  <c r="A22" i="7"/>
  <c r="A21" i="7"/>
  <c r="A20" i="7"/>
  <c r="A19" i="7"/>
  <c r="A18" i="7"/>
  <c r="A17" i="7"/>
  <c r="A16" i="7"/>
  <c r="A15" i="7"/>
  <c r="A14" i="7"/>
  <c r="A13" i="7"/>
  <c r="A12" i="7"/>
  <c r="A11" i="7"/>
  <c r="E51" i="7"/>
  <c r="K50" i="7"/>
  <c r="A616" i="6" l="1"/>
  <c r="A617" i="6" s="1"/>
  <c r="A618" i="6" s="1"/>
  <c r="A619" i="6" s="1"/>
  <c r="A620" i="6" s="1"/>
  <c r="A621" i="6" s="1"/>
  <c r="A622" i="6" s="1"/>
  <c r="L56" i="11"/>
  <c r="H105" i="7"/>
  <c r="V1105" i="6"/>
  <c r="V1104" i="6"/>
  <c r="V1103" i="6"/>
  <c r="V1101" i="6"/>
  <c r="V1100" i="6"/>
  <c r="V1099" i="6"/>
  <c r="U1104" i="6"/>
  <c r="U1103" i="6"/>
  <c r="U1102" i="6"/>
  <c r="U1101" i="6"/>
  <c r="H103" i="7"/>
  <c r="A22" i="6"/>
  <c r="A44" i="6"/>
  <c r="P1101" i="6" l="1"/>
  <c r="J105" i="7"/>
  <c r="J103" i="7"/>
  <c r="A23" i="6"/>
  <c r="A45" i="6"/>
  <c r="A24" i="6" l="1"/>
  <c r="L103" i="7"/>
  <c r="L105" i="7"/>
  <c r="A46" i="6"/>
  <c r="N105" i="7" l="1"/>
  <c r="A25" i="6"/>
  <c r="N103" i="7"/>
  <c r="A47" i="6"/>
  <c r="A26" i="6" l="1"/>
  <c r="P103" i="7"/>
  <c r="P105" i="7"/>
  <c r="A48" i="6"/>
  <c r="R103" i="7" l="1"/>
  <c r="A27" i="6"/>
  <c r="R105" i="7"/>
  <c r="A49" i="6"/>
  <c r="T103" i="7" l="1"/>
  <c r="A28" i="6"/>
  <c r="U144" i="7" s="1"/>
  <c r="T105" i="7"/>
  <c r="A50" i="6"/>
  <c r="U91" i="7" l="1"/>
  <c r="T54" i="7"/>
  <c r="Q369" i="7"/>
  <c r="U369" i="7"/>
  <c r="U426" i="7"/>
  <c r="S369" i="7"/>
  <c r="S312" i="7"/>
  <c r="O369" i="7"/>
  <c r="Q255" i="7"/>
  <c r="S144" i="7"/>
  <c r="S255" i="7"/>
  <c r="S198" i="7"/>
  <c r="H14" i="7"/>
  <c r="L12" i="7"/>
  <c r="J56" i="7"/>
  <c r="N12" i="7"/>
  <c r="T56" i="7"/>
  <c r="P54" i="7"/>
  <c r="G472" i="7"/>
  <c r="P12" i="7"/>
  <c r="N56" i="7"/>
  <c r="J14" i="7"/>
  <c r="U105" i="7"/>
  <c r="H56" i="7"/>
  <c r="O472" i="7"/>
  <c r="J12" i="7"/>
  <c r="L56" i="7"/>
  <c r="P56" i="7"/>
  <c r="T14" i="7"/>
  <c r="P14" i="7"/>
  <c r="V103" i="7"/>
  <c r="J54" i="7"/>
  <c r="R56" i="7"/>
  <c r="L54" i="7"/>
  <c r="V12" i="7"/>
  <c r="R12" i="7"/>
  <c r="V14" i="7"/>
  <c r="J473" i="7"/>
  <c r="H467" i="7"/>
  <c r="H464" i="7"/>
  <c r="V461" i="7"/>
  <c r="Q472" i="7"/>
  <c r="H470" i="7"/>
  <c r="P452" i="7"/>
  <c r="H455" i="7"/>
  <c r="P458" i="7"/>
  <c r="J470" i="7"/>
  <c r="H458" i="7"/>
  <c r="R455" i="7"/>
  <c r="J467" i="7"/>
  <c r="T470" i="7"/>
  <c r="V455" i="7"/>
  <c r="U459" i="7"/>
  <c r="N473" i="7"/>
  <c r="J455" i="7"/>
  <c r="P470" i="7"/>
  <c r="H461" i="7"/>
  <c r="U471" i="7"/>
  <c r="U453" i="7"/>
  <c r="N467" i="7"/>
  <c r="U457" i="7"/>
  <c r="T452" i="7"/>
  <c r="L470" i="7"/>
  <c r="U463" i="7"/>
  <c r="H473" i="7"/>
  <c r="R467" i="7"/>
  <c r="N461" i="7"/>
  <c r="V467" i="7"/>
  <c r="N455" i="7"/>
  <c r="J461" i="7"/>
  <c r="U469" i="7"/>
  <c r="L458" i="7"/>
  <c r="L464" i="7"/>
  <c r="V473" i="7"/>
  <c r="J458" i="7"/>
  <c r="R461" i="7"/>
  <c r="J464" i="7"/>
  <c r="P464" i="7"/>
  <c r="T464" i="7"/>
  <c r="T458" i="7"/>
  <c r="L452" i="7"/>
  <c r="U465" i="7"/>
  <c r="R54" i="7"/>
  <c r="L14" i="7"/>
  <c r="R14" i="7"/>
  <c r="N54" i="7"/>
  <c r="N14" i="7"/>
  <c r="T12" i="7"/>
  <c r="H12" i="7"/>
  <c r="H54" i="7"/>
  <c r="T424" i="7"/>
  <c r="U438" i="7"/>
  <c r="T367" i="7"/>
  <c r="V341" i="7"/>
  <c r="V325" i="7"/>
  <c r="J355" i="7"/>
  <c r="N304" i="7"/>
  <c r="N288" i="7"/>
  <c r="L300" i="7"/>
  <c r="J408" i="7"/>
  <c r="T249" i="7"/>
  <c r="T233" i="7"/>
  <c r="T217" i="7"/>
  <c r="V189" i="7"/>
  <c r="R191" i="7"/>
  <c r="V416" i="7"/>
  <c r="V400" i="7"/>
  <c r="P388" i="7"/>
  <c r="R361" i="7"/>
  <c r="T394" i="7"/>
  <c r="P394" i="7"/>
  <c r="R270" i="7"/>
  <c r="R243" i="7"/>
  <c r="R227" i="7"/>
  <c r="R211" i="7"/>
  <c r="V331" i="7"/>
  <c r="N245" i="7"/>
  <c r="N229" i="7"/>
  <c r="N213" i="7"/>
  <c r="L185" i="7"/>
  <c r="T443" i="7"/>
  <c r="J443" i="7"/>
  <c r="P410" i="7"/>
  <c r="V367" i="7"/>
  <c r="T418" i="7"/>
  <c r="N382" i="7"/>
  <c r="H255" i="7"/>
  <c r="H337" i="7"/>
  <c r="J296" i="7"/>
  <c r="T241" i="7"/>
  <c r="T225" i="7"/>
  <c r="V198" i="7"/>
  <c r="V181" i="7"/>
  <c r="J173" i="7"/>
  <c r="J157" i="7"/>
  <c r="N177" i="7"/>
  <c r="N161" i="7"/>
  <c r="J16" i="7"/>
  <c r="V137" i="7"/>
  <c r="S80" i="7"/>
  <c r="R414" i="7"/>
  <c r="R398" i="7"/>
  <c r="J418" i="7"/>
  <c r="J402" i="7"/>
  <c r="R420" i="7"/>
  <c r="L359" i="7"/>
  <c r="P416" i="7"/>
  <c r="R331" i="7"/>
  <c r="R422" i="7"/>
  <c r="U307" i="7"/>
  <c r="J446" i="7"/>
  <c r="N452" i="7"/>
  <c r="L414" i="7"/>
  <c r="H396" i="7"/>
  <c r="J369" i="7"/>
  <c r="L363" i="7"/>
  <c r="H402" i="7"/>
  <c r="V351" i="7"/>
  <c r="V335" i="7"/>
  <c r="H394" i="7"/>
  <c r="P339" i="7"/>
  <c r="P284" i="7"/>
  <c r="U362" i="7"/>
  <c r="H384" i="7"/>
  <c r="J357" i="7"/>
  <c r="L392" i="7"/>
  <c r="P345" i="7"/>
  <c r="P329" i="7"/>
  <c r="H357" i="7"/>
  <c r="L351" i="7"/>
  <c r="L335" i="7"/>
  <c r="V302" i="7"/>
  <c r="V286" i="7"/>
  <c r="N331" i="7"/>
  <c r="T298" i="7"/>
  <c r="V282" i="7"/>
  <c r="N310" i="7"/>
  <c r="N294" i="7"/>
  <c r="V349" i="7"/>
  <c r="L213" i="7"/>
  <c r="V133" i="7"/>
  <c r="V117" i="7"/>
  <c r="V58" i="7"/>
  <c r="P449" i="7"/>
  <c r="P382" i="7"/>
  <c r="H440" i="7"/>
  <c r="U441" i="7"/>
  <c r="R404" i="7"/>
  <c r="J353" i="7"/>
  <c r="J337" i="7"/>
  <c r="T347" i="7"/>
  <c r="T331" i="7"/>
  <c r="L310" i="7"/>
  <c r="L294" i="7"/>
  <c r="J384" i="7"/>
  <c r="N306" i="7"/>
  <c r="N290" i="7"/>
  <c r="T195" i="7"/>
  <c r="P268" i="7"/>
  <c r="P424" i="7"/>
  <c r="P367" i="7"/>
  <c r="R341" i="7"/>
  <c r="R325" i="7"/>
  <c r="J304" i="7"/>
  <c r="J288" i="7"/>
  <c r="H300" i="7"/>
  <c r="P249" i="7"/>
  <c r="P233" i="7"/>
  <c r="P217" i="7"/>
  <c r="R189" i="7"/>
  <c r="N191" i="7"/>
  <c r="U448" i="7"/>
  <c r="R416" i="7"/>
  <c r="R400" i="7"/>
  <c r="V404" i="7"/>
  <c r="L388" i="7"/>
  <c r="N361" i="7"/>
  <c r="T392" i="7"/>
  <c r="N270" i="7"/>
  <c r="N243" i="7"/>
  <c r="N227" i="7"/>
  <c r="N211" i="7"/>
  <c r="N386" i="7"/>
  <c r="P296" i="7"/>
  <c r="J231" i="7"/>
  <c r="T187" i="7"/>
  <c r="H179" i="7"/>
  <c r="H163" i="7"/>
  <c r="H135" i="7"/>
  <c r="H119" i="7"/>
  <c r="J185" i="7"/>
  <c r="L167" i="7"/>
  <c r="L139" i="7"/>
  <c r="L123" i="7"/>
  <c r="L107" i="7"/>
  <c r="P85" i="7"/>
  <c r="M39" i="7"/>
  <c r="J22" i="7"/>
  <c r="T416" i="7"/>
  <c r="H359" i="7"/>
  <c r="H414" i="7"/>
  <c r="L284" i="7"/>
  <c r="V64" i="7"/>
  <c r="V414" i="7"/>
  <c r="L394" i="7"/>
  <c r="J341" i="7"/>
  <c r="R349" i="7"/>
  <c r="H217" i="7"/>
  <c r="T282" i="7"/>
  <c r="P276" i="7"/>
  <c r="L215" i="7"/>
  <c r="J129" i="7"/>
  <c r="J113" i="7"/>
  <c r="L345" i="7"/>
  <c r="R302" i="7"/>
  <c r="R282" i="7"/>
  <c r="N249" i="7"/>
  <c r="N233" i="7"/>
  <c r="N217" i="7"/>
  <c r="L189" i="7"/>
  <c r="L274" i="7"/>
  <c r="U140" i="7"/>
  <c r="R223" i="7"/>
  <c r="G88" i="7"/>
  <c r="L177" i="7"/>
  <c r="N109" i="7"/>
  <c r="R129" i="7"/>
  <c r="J163" i="7"/>
  <c r="N64" i="7"/>
  <c r="I80" i="7"/>
  <c r="N137" i="7"/>
  <c r="G80" i="7"/>
  <c r="H416" i="7"/>
  <c r="P308" i="7"/>
  <c r="J68" i="7"/>
  <c r="H175" i="7"/>
  <c r="U88" i="7"/>
  <c r="T68" i="7"/>
  <c r="U468" i="7"/>
  <c r="R446" i="7"/>
  <c r="T308" i="7"/>
  <c r="U194" i="7"/>
  <c r="Q78" i="7"/>
  <c r="U367" i="7"/>
  <c r="J133" i="7"/>
  <c r="H161" i="7"/>
  <c r="G84" i="7"/>
  <c r="H62" i="7"/>
  <c r="I86" i="7"/>
  <c r="L60" i="7"/>
  <c r="I81" i="7"/>
  <c r="N88" i="7"/>
  <c r="U137" i="7"/>
  <c r="P129" i="7"/>
  <c r="J255" i="7"/>
  <c r="V177" i="7"/>
  <c r="H369" i="7"/>
  <c r="J198" i="7"/>
  <c r="R253" i="7"/>
  <c r="H24" i="7"/>
  <c r="H347" i="7"/>
  <c r="J227" i="7"/>
  <c r="N127" i="7"/>
  <c r="N255" i="7"/>
  <c r="T16" i="7"/>
  <c r="T363" i="7"/>
  <c r="T422" i="7"/>
  <c r="L365" i="7"/>
  <c r="V353" i="7"/>
  <c r="L353" i="7"/>
  <c r="V288" i="7"/>
  <c r="J213" i="7"/>
  <c r="V221" i="7"/>
  <c r="V135" i="7"/>
  <c r="H390" i="7"/>
  <c r="P229" i="7"/>
  <c r="P141" i="7"/>
  <c r="P125" i="7"/>
  <c r="P109" i="7"/>
  <c r="U80" i="7"/>
  <c r="V16" i="7"/>
  <c r="I82" i="7"/>
  <c r="R64" i="7"/>
  <c r="S39" i="7"/>
  <c r="R171" i="7"/>
  <c r="R144" i="7"/>
  <c r="R127" i="7"/>
  <c r="R111" i="7"/>
  <c r="V175" i="7"/>
  <c r="V159" i="7"/>
  <c r="V131" i="7"/>
  <c r="V115" i="7"/>
  <c r="P181" i="7"/>
  <c r="N165" i="7"/>
  <c r="J123" i="7"/>
  <c r="H426" i="7"/>
  <c r="H278" i="7"/>
  <c r="P169" i="7"/>
  <c r="H229" i="7"/>
  <c r="O78" i="7"/>
  <c r="L16" i="7"/>
  <c r="N121" i="7"/>
  <c r="P64" i="7"/>
  <c r="I472" i="7"/>
  <c r="T129" i="7"/>
  <c r="V449" i="7"/>
  <c r="J217" i="7"/>
  <c r="J58" i="7"/>
  <c r="S81" i="7"/>
  <c r="H18" i="7"/>
  <c r="T161" i="7"/>
  <c r="N416" i="7"/>
  <c r="L119" i="7"/>
  <c r="P139" i="7"/>
  <c r="H173" i="7"/>
  <c r="J167" i="7"/>
  <c r="N24" i="7"/>
  <c r="N221" i="7"/>
  <c r="T26" i="7"/>
  <c r="T66" i="7"/>
  <c r="N470" i="7"/>
  <c r="J235" i="7"/>
  <c r="R88" i="7"/>
  <c r="R121" i="7"/>
  <c r="T175" i="7"/>
  <c r="N446" i="7"/>
  <c r="N369" i="7"/>
  <c r="U424" i="7"/>
  <c r="P335" i="7"/>
  <c r="R294" i="7"/>
  <c r="N345" i="7"/>
  <c r="L304" i="7"/>
  <c r="L193" i="7"/>
  <c r="R179" i="7"/>
  <c r="Q77" i="7"/>
  <c r="T253" i="7"/>
  <c r="P117" i="7"/>
  <c r="T229" i="7"/>
  <c r="L22" i="7"/>
  <c r="L455" i="7"/>
  <c r="P66" i="7"/>
  <c r="J62" i="7"/>
  <c r="U78" i="7"/>
  <c r="U462" i="7"/>
  <c r="N171" i="7"/>
  <c r="H211" i="7"/>
  <c r="R412" i="7"/>
  <c r="R394" i="7"/>
  <c r="V329" i="7"/>
  <c r="T288" i="7"/>
  <c r="U360" i="7"/>
  <c r="P327" i="7"/>
  <c r="V284" i="7"/>
  <c r="J193" i="7"/>
  <c r="J241" i="7"/>
  <c r="P270" i="7"/>
  <c r="P243" i="7"/>
  <c r="P227" i="7"/>
  <c r="P211" i="7"/>
  <c r="J137" i="7"/>
  <c r="K79" i="7"/>
  <c r="M86" i="7"/>
  <c r="P440" i="7"/>
  <c r="J343" i="7"/>
  <c r="H302" i="7"/>
  <c r="T268" i="7"/>
  <c r="L270" i="7"/>
  <c r="L243" i="7"/>
  <c r="L227" i="7"/>
  <c r="L211" i="7"/>
  <c r="H191" i="7"/>
  <c r="G79" i="7"/>
  <c r="J396" i="7"/>
  <c r="T183" i="7"/>
  <c r="H127" i="7"/>
  <c r="N60" i="7"/>
  <c r="G83" i="7"/>
  <c r="N123" i="7"/>
  <c r="J107" i="7"/>
  <c r="J219" i="7"/>
  <c r="V183" i="7"/>
  <c r="H272" i="7"/>
  <c r="M81" i="7"/>
  <c r="O39" i="7"/>
  <c r="U456" i="7"/>
  <c r="V464" i="7"/>
  <c r="V245" i="7"/>
  <c r="P159" i="7"/>
  <c r="T223" i="7"/>
  <c r="H141" i="7"/>
  <c r="S79" i="7"/>
  <c r="M87" i="7"/>
  <c r="Q81" i="7"/>
  <c r="N365" i="7"/>
  <c r="V54" i="7"/>
  <c r="N239" i="7"/>
  <c r="L396" i="7"/>
  <c r="P351" i="7"/>
  <c r="R310" i="7"/>
  <c r="J412" i="7"/>
  <c r="J394" i="7"/>
  <c r="V308" i="7"/>
  <c r="N335" i="7"/>
  <c r="T127" i="7"/>
  <c r="H424" i="7"/>
  <c r="R386" i="7"/>
  <c r="V109" i="7"/>
  <c r="L115" i="7"/>
  <c r="P165" i="7"/>
  <c r="R109" i="7"/>
  <c r="H274" i="7"/>
  <c r="V408" i="7"/>
  <c r="R161" i="7"/>
  <c r="H276" i="7"/>
  <c r="V470" i="7"/>
  <c r="R131" i="7"/>
  <c r="K82" i="7"/>
  <c r="L58" i="7"/>
  <c r="T390" i="7"/>
  <c r="H343" i="7"/>
  <c r="H327" i="7"/>
  <c r="H339" i="7"/>
  <c r="N284" i="7"/>
  <c r="V272" i="7"/>
  <c r="R274" i="7"/>
  <c r="R247" i="7"/>
  <c r="R231" i="7"/>
  <c r="R215" i="7"/>
  <c r="R449" i="7"/>
  <c r="J404" i="7"/>
  <c r="P347" i="7"/>
  <c r="P331" i="7"/>
  <c r="H310" i="7"/>
  <c r="H294" i="7"/>
  <c r="J306" i="7"/>
  <c r="J290" i="7"/>
  <c r="J347" i="7"/>
  <c r="P195" i="7"/>
  <c r="L268" i="7"/>
  <c r="L424" i="7"/>
  <c r="V390" i="7"/>
  <c r="U363" i="7"/>
  <c r="L367" i="7"/>
  <c r="N341" i="7"/>
  <c r="N325" i="7"/>
  <c r="L249" i="7"/>
  <c r="L233" i="7"/>
  <c r="L217" i="7"/>
  <c r="N189" i="7"/>
  <c r="P300" i="7"/>
  <c r="H280" i="7"/>
  <c r="J141" i="7"/>
  <c r="J125" i="7"/>
  <c r="J109" i="7"/>
  <c r="N129" i="7"/>
  <c r="N113" i="7"/>
  <c r="V121" i="7"/>
  <c r="L449" i="7"/>
  <c r="L382" i="7"/>
  <c r="R392" i="7"/>
  <c r="P365" i="7"/>
  <c r="R406" i="7"/>
  <c r="V343" i="7"/>
  <c r="V327" i="7"/>
  <c r="T302" i="7"/>
  <c r="T286" i="7"/>
  <c r="J440" i="7"/>
  <c r="L420" i="7"/>
  <c r="L404" i="7"/>
  <c r="L440" i="7"/>
  <c r="L386" i="7"/>
  <c r="R363" i="7"/>
  <c r="P353" i="7"/>
  <c r="P337" i="7"/>
  <c r="T341" i="7"/>
  <c r="R296" i="7"/>
  <c r="P280" i="7"/>
  <c r="J414" i="7"/>
  <c r="J398" i="7"/>
  <c r="J420" i="7"/>
  <c r="V406" i="7"/>
  <c r="V363" i="7"/>
  <c r="J410" i="7"/>
  <c r="L306" i="7"/>
  <c r="U472" i="7"/>
  <c r="N424" i="7"/>
  <c r="L343" i="7"/>
  <c r="P247" i="7"/>
  <c r="T173" i="7"/>
  <c r="T157" i="7"/>
  <c r="J169" i="7"/>
  <c r="I87" i="7"/>
  <c r="V91" i="7"/>
  <c r="T426" i="7"/>
  <c r="N410" i="7"/>
  <c r="V396" i="7"/>
  <c r="T369" i="7"/>
  <c r="T278" i="7"/>
  <c r="T251" i="7"/>
  <c r="T235" i="7"/>
  <c r="T219" i="7"/>
  <c r="H282" i="7"/>
  <c r="P253" i="7"/>
  <c r="P237" i="7"/>
  <c r="P221" i="7"/>
  <c r="R193" i="7"/>
  <c r="V418" i="7"/>
  <c r="V402" i="7"/>
  <c r="P390" i="7"/>
  <c r="V410" i="7"/>
  <c r="J284" i="7"/>
  <c r="U309" i="7"/>
  <c r="R272" i="7"/>
  <c r="N274" i="7"/>
  <c r="N247" i="7"/>
  <c r="N231" i="7"/>
  <c r="N215" i="7"/>
  <c r="U442" i="7"/>
  <c r="V446" i="7"/>
  <c r="J449" i="7"/>
  <c r="T396" i="7"/>
  <c r="V369" i="7"/>
  <c r="R426" i="7"/>
  <c r="L347" i="7"/>
  <c r="L331" i="7"/>
  <c r="L195" i="7"/>
  <c r="H268" i="7"/>
  <c r="P446" i="7"/>
  <c r="J345" i="7"/>
  <c r="R280" i="7"/>
  <c r="H304" i="7"/>
  <c r="H223" i="7"/>
  <c r="T270" i="7"/>
  <c r="T243" i="7"/>
  <c r="T227" i="7"/>
  <c r="T211" i="7"/>
  <c r="O79" i="7"/>
  <c r="J18" i="7"/>
  <c r="Q83" i="7"/>
  <c r="T406" i="7"/>
  <c r="T412" i="7"/>
  <c r="N440" i="7"/>
  <c r="H408" i="7"/>
  <c r="T353" i="7"/>
  <c r="P325" i="7"/>
  <c r="U250" i="7"/>
  <c r="N414" i="7"/>
  <c r="N420" i="7"/>
  <c r="H363" i="7"/>
  <c r="R351" i="7"/>
  <c r="P131" i="7"/>
  <c r="N418" i="7"/>
  <c r="T365" i="7"/>
  <c r="J325" i="7"/>
  <c r="J189" i="7"/>
  <c r="R249" i="7"/>
  <c r="R233" i="7"/>
  <c r="R217" i="7"/>
  <c r="P189" i="7"/>
  <c r="J253" i="7"/>
  <c r="U136" i="7"/>
  <c r="H169" i="7"/>
  <c r="K88" i="7"/>
  <c r="L329" i="7"/>
  <c r="H351" i="7"/>
  <c r="R286" i="7"/>
  <c r="J310" i="7"/>
  <c r="V276" i="7"/>
  <c r="L272" i="7"/>
  <c r="P290" i="7"/>
  <c r="J82" i="7"/>
  <c r="L161" i="7"/>
  <c r="T386" i="7"/>
  <c r="R113" i="7"/>
  <c r="J135" i="7"/>
  <c r="T274" i="7"/>
  <c r="L79" i="7"/>
  <c r="L461" i="7"/>
  <c r="T221" i="7"/>
  <c r="V239" i="7"/>
  <c r="S84" i="7"/>
  <c r="P16" i="7"/>
  <c r="R458" i="7"/>
  <c r="V123" i="7"/>
  <c r="J60" i="7"/>
  <c r="H159" i="7"/>
  <c r="T82" i="7"/>
  <c r="L357" i="7"/>
  <c r="J117" i="7"/>
  <c r="V88" i="7"/>
  <c r="T247" i="7"/>
  <c r="M78" i="7"/>
  <c r="T237" i="7"/>
  <c r="V223" i="7"/>
  <c r="R464" i="7"/>
  <c r="T171" i="7"/>
  <c r="P193" i="7"/>
  <c r="V125" i="7"/>
  <c r="R135" i="7"/>
  <c r="S83" i="7"/>
  <c r="V22" i="7"/>
  <c r="R62" i="7"/>
  <c r="P191" i="7"/>
  <c r="R125" i="7"/>
  <c r="L339" i="7"/>
  <c r="N135" i="7"/>
  <c r="R20" i="7"/>
  <c r="P79" i="7"/>
  <c r="H243" i="7"/>
  <c r="M88" i="7"/>
  <c r="L66" i="7"/>
  <c r="R175" i="7"/>
  <c r="N16" i="7"/>
  <c r="R107" i="7"/>
  <c r="H270" i="7"/>
  <c r="V333" i="7"/>
  <c r="H449" i="7"/>
  <c r="H382" i="7"/>
  <c r="J406" i="7"/>
  <c r="V337" i="7"/>
  <c r="H420" i="7"/>
  <c r="U439" i="7"/>
  <c r="L337" i="7"/>
  <c r="T339" i="7"/>
  <c r="N296" i="7"/>
  <c r="H284" i="7"/>
  <c r="T290" i="7"/>
  <c r="H247" i="7"/>
  <c r="V119" i="7"/>
  <c r="P213" i="7"/>
  <c r="V171" i="7"/>
  <c r="V144" i="7"/>
  <c r="V127" i="7"/>
  <c r="V111" i="7"/>
  <c r="R165" i="7"/>
  <c r="N185" i="7"/>
  <c r="R60" i="7"/>
  <c r="N406" i="7"/>
  <c r="N133" i="7"/>
  <c r="N117" i="7"/>
  <c r="T191" i="7"/>
  <c r="R26" i="7"/>
  <c r="N426" i="7"/>
  <c r="L467" i="7"/>
  <c r="T185" i="7"/>
  <c r="R183" i="7"/>
  <c r="H189" i="7"/>
  <c r="R221" i="7"/>
  <c r="I84" i="7"/>
  <c r="K39" i="7"/>
  <c r="T231" i="7"/>
  <c r="U84" i="7"/>
  <c r="P58" i="7"/>
  <c r="V458" i="7"/>
  <c r="H195" i="7"/>
  <c r="Q80" i="7"/>
  <c r="P24" i="7"/>
  <c r="V231" i="7"/>
  <c r="L179" i="7"/>
  <c r="P123" i="7"/>
  <c r="H157" i="7"/>
  <c r="T85" i="7"/>
  <c r="Q88" i="7"/>
  <c r="T22" i="7"/>
  <c r="T131" i="7"/>
  <c r="J268" i="7"/>
  <c r="M79" i="7"/>
  <c r="H68" i="7"/>
  <c r="J390" i="7"/>
  <c r="T345" i="7"/>
  <c r="T402" i="7"/>
  <c r="V298" i="7"/>
  <c r="V169" i="7"/>
  <c r="J382" i="7"/>
  <c r="N349" i="7"/>
  <c r="H290" i="7"/>
  <c r="T117" i="7"/>
  <c r="R163" i="7"/>
  <c r="P111" i="7"/>
  <c r="L175" i="7"/>
  <c r="V161" i="7"/>
  <c r="L144" i="7"/>
  <c r="R177" i="7"/>
  <c r="U39" i="7"/>
  <c r="H91" i="7"/>
  <c r="T467" i="7"/>
  <c r="H16" i="7"/>
  <c r="P467" i="7"/>
  <c r="T461" i="7"/>
  <c r="V215" i="7"/>
  <c r="N111" i="7"/>
  <c r="Q79" i="7"/>
  <c r="T24" i="7"/>
  <c r="N458" i="7"/>
  <c r="K471" i="7"/>
  <c r="H443" i="7"/>
  <c r="J367" i="7"/>
  <c r="L398" i="7"/>
  <c r="T357" i="7"/>
  <c r="N351" i="7"/>
  <c r="H231" i="7"/>
  <c r="P359" i="7"/>
  <c r="J359" i="7"/>
  <c r="H349" i="7"/>
  <c r="J225" i="7"/>
  <c r="R195" i="7"/>
  <c r="J175" i="7"/>
  <c r="J159" i="7"/>
  <c r="J131" i="7"/>
  <c r="J115" i="7"/>
  <c r="J121" i="7"/>
  <c r="K80" i="7"/>
  <c r="J327" i="7"/>
  <c r="R306" i="7"/>
  <c r="H286" i="7"/>
  <c r="N195" i="7"/>
  <c r="T245" i="7"/>
  <c r="R440" i="7"/>
  <c r="H251" i="7"/>
  <c r="L133" i="7"/>
  <c r="H213" i="7"/>
  <c r="H111" i="7"/>
  <c r="O87" i="7"/>
  <c r="T215" i="7"/>
  <c r="H131" i="7"/>
  <c r="M77" i="7"/>
  <c r="H129" i="7"/>
  <c r="T177" i="7"/>
  <c r="T113" i="7"/>
  <c r="K78" i="7"/>
  <c r="J251" i="7"/>
  <c r="S87" i="7"/>
  <c r="H388" i="7"/>
  <c r="H125" i="7"/>
  <c r="R139" i="7"/>
  <c r="K81" i="7"/>
  <c r="H58" i="7"/>
  <c r="J365" i="7"/>
  <c r="J183" i="7"/>
  <c r="K84" i="7"/>
  <c r="V157" i="7"/>
  <c r="P127" i="7"/>
  <c r="J79" i="7"/>
  <c r="P355" i="7"/>
  <c r="R141" i="7"/>
  <c r="T137" i="7"/>
  <c r="L127" i="7"/>
  <c r="K83" i="7"/>
  <c r="R24" i="7"/>
  <c r="H241" i="7"/>
  <c r="P68" i="7"/>
  <c r="N107" i="7"/>
  <c r="N253" i="7"/>
  <c r="U450" i="7"/>
  <c r="H446" i="7"/>
  <c r="V359" i="7"/>
  <c r="H355" i="7"/>
  <c r="T349" i="7"/>
  <c r="T333" i="7"/>
  <c r="L312" i="7"/>
  <c r="L296" i="7"/>
  <c r="N449" i="7"/>
  <c r="N308" i="7"/>
  <c r="N292" i="7"/>
  <c r="V241" i="7"/>
  <c r="V225" i="7"/>
  <c r="T198" i="7"/>
  <c r="H308" i="7"/>
  <c r="P183" i="7"/>
  <c r="P426" i="7"/>
  <c r="T408" i="7"/>
  <c r="R396" i="7"/>
  <c r="P369" i="7"/>
  <c r="J331" i="7"/>
  <c r="P278" i="7"/>
  <c r="P251" i="7"/>
  <c r="P235" i="7"/>
  <c r="P219" i="7"/>
  <c r="L253" i="7"/>
  <c r="L237" i="7"/>
  <c r="L221" i="7"/>
  <c r="N193" i="7"/>
  <c r="R418" i="7"/>
  <c r="R402" i="7"/>
  <c r="T359" i="7"/>
  <c r="L390" i="7"/>
  <c r="U368" i="7"/>
  <c r="N272" i="7"/>
  <c r="J274" i="7"/>
  <c r="R304" i="7"/>
  <c r="J191" i="7"/>
  <c r="V249" i="7"/>
  <c r="V233" i="7"/>
  <c r="V217" i="7"/>
  <c r="T189" i="7"/>
  <c r="H181" i="7"/>
  <c r="H165" i="7"/>
  <c r="L191" i="7"/>
  <c r="L169" i="7"/>
  <c r="O88" i="7"/>
  <c r="J24" i="7"/>
  <c r="L443" i="7"/>
  <c r="P406" i="7"/>
  <c r="H410" i="7"/>
  <c r="T446" i="7"/>
  <c r="P412" i="7"/>
  <c r="N367" i="7"/>
  <c r="T398" i="7"/>
  <c r="R384" i="7"/>
  <c r="U252" i="7"/>
  <c r="N422" i="7"/>
  <c r="J388" i="7"/>
  <c r="H361" i="7"/>
  <c r="J426" i="7"/>
  <c r="V386" i="7"/>
  <c r="T343" i="7"/>
  <c r="T327" i="7"/>
  <c r="L418" i="7"/>
  <c r="H341" i="7"/>
  <c r="T325" i="7"/>
  <c r="P398" i="7"/>
  <c r="J392" i="7"/>
  <c r="H365" i="7"/>
  <c r="R353" i="7"/>
  <c r="R337" i="7"/>
  <c r="N343" i="7"/>
  <c r="N327" i="7"/>
  <c r="T310" i="7"/>
  <c r="T294" i="7"/>
  <c r="V306" i="7"/>
  <c r="V290" i="7"/>
  <c r="J349" i="7"/>
  <c r="L302" i="7"/>
  <c r="L286" i="7"/>
  <c r="L290" i="7"/>
  <c r="R300" i="7"/>
  <c r="L327" i="7"/>
  <c r="R284" i="7"/>
  <c r="V274" i="7"/>
  <c r="P231" i="7"/>
  <c r="L245" i="7"/>
  <c r="T141" i="7"/>
  <c r="T125" i="7"/>
  <c r="T109" i="7"/>
  <c r="G81" i="7"/>
  <c r="K85" i="7"/>
  <c r="V66" i="7"/>
  <c r="U425" i="7"/>
  <c r="U423" i="7"/>
  <c r="H418" i="7"/>
  <c r="H345" i="7"/>
  <c r="H329" i="7"/>
  <c r="V339" i="7"/>
  <c r="N302" i="7"/>
  <c r="N286" i="7"/>
  <c r="L298" i="7"/>
  <c r="N282" i="7"/>
  <c r="L341" i="7"/>
  <c r="V187" i="7"/>
  <c r="R276" i="7"/>
  <c r="R359" i="7"/>
  <c r="L416" i="7"/>
  <c r="P349" i="7"/>
  <c r="P333" i="7"/>
  <c r="H312" i="7"/>
  <c r="H296" i="7"/>
  <c r="J308" i="7"/>
  <c r="J292" i="7"/>
  <c r="R241" i="7"/>
  <c r="R225" i="7"/>
  <c r="P198" i="7"/>
  <c r="L183" i="7"/>
  <c r="L426" i="7"/>
  <c r="V440" i="7"/>
  <c r="V426" i="7"/>
  <c r="P408" i="7"/>
  <c r="N396" i="7"/>
  <c r="L369" i="7"/>
  <c r="L278" i="7"/>
  <c r="L251" i="7"/>
  <c r="L235" i="7"/>
  <c r="L219" i="7"/>
  <c r="J280" i="7"/>
  <c r="H253" i="7"/>
  <c r="J329" i="7"/>
  <c r="R308" i="7"/>
  <c r="H288" i="7"/>
  <c r="J247" i="7"/>
  <c r="J215" i="7"/>
  <c r="V195" i="7"/>
  <c r="J171" i="7"/>
  <c r="J144" i="7"/>
  <c r="J127" i="7"/>
  <c r="J111" i="7"/>
  <c r="N175" i="7"/>
  <c r="N159" i="7"/>
  <c r="N131" i="7"/>
  <c r="N115" i="7"/>
  <c r="L129" i="7"/>
  <c r="O77" i="7"/>
  <c r="P420" i="7"/>
  <c r="T440" i="7"/>
  <c r="N408" i="7"/>
  <c r="R365" i="7"/>
  <c r="T337" i="7"/>
  <c r="V296" i="7"/>
  <c r="N398" i="7"/>
  <c r="V365" i="7"/>
  <c r="R335" i="7"/>
  <c r="N363" i="7"/>
  <c r="H221" i="7"/>
  <c r="V237" i="7"/>
  <c r="I78" i="7"/>
  <c r="U143" i="7"/>
  <c r="V420" i="7"/>
  <c r="H249" i="7"/>
  <c r="P272" i="7"/>
  <c r="J237" i="7"/>
  <c r="L247" i="7"/>
  <c r="H137" i="7"/>
  <c r="H121" i="7"/>
  <c r="N82" i="7"/>
  <c r="I83" i="7"/>
  <c r="J424" i="7"/>
  <c r="H335" i="7"/>
  <c r="J294" i="7"/>
  <c r="L241" i="7"/>
  <c r="L225" i="7"/>
  <c r="N198" i="7"/>
  <c r="N181" i="7"/>
  <c r="N141" i="7"/>
  <c r="H245" i="7"/>
  <c r="J119" i="7"/>
  <c r="U81" i="7"/>
  <c r="U85" i="7"/>
  <c r="P396" i="7"/>
  <c r="T159" i="7"/>
  <c r="R237" i="7"/>
  <c r="G87" i="7"/>
  <c r="T193" i="7"/>
  <c r="H60" i="7"/>
  <c r="N169" i="7"/>
  <c r="S82" i="7"/>
  <c r="P473" i="7"/>
  <c r="O85" i="7"/>
  <c r="J211" i="7"/>
  <c r="N237" i="7"/>
  <c r="N464" i="7"/>
  <c r="S472" i="7"/>
  <c r="T91" i="7"/>
  <c r="T111" i="7"/>
  <c r="R390" i="7"/>
  <c r="V173" i="7"/>
  <c r="R185" i="7"/>
  <c r="R119" i="7"/>
  <c r="N268" i="7"/>
  <c r="R173" i="7"/>
  <c r="U141" i="7"/>
  <c r="T181" i="7"/>
  <c r="N22" i="7"/>
  <c r="Q39" i="7"/>
  <c r="Q85" i="7"/>
  <c r="V412" i="7"/>
  <c r="R115" i="7"/>
  <c r="V79" i="7"/>
  <c r="K77" i="7"/>
  <c r="L68" i="7"/>
  <c r="P282" i="7"/>
  <c r="N388" i="7"/>
  <c r="V443" i="7"/>
  <c r="U447" i="7"/>
  <c r="R343" i="7"/>
  <c r="P302" i="7"/>
  <c r="H404" i="7"/>
  <c r="H386" i="7"/>
  <c r="J363" i="7"/>
  <c r="T300" i="7"/>
  <c r="L280" i="7"/>
  <c r="U254" i="7"/>
  <c r="J298" i="7"/>
  <c r="V179" i="7"/>
  <c r="V60" i="7"/>
  <c r="V392" i="7"/>
  <c r="R333" i="7"/>
  <c r="L308" i="7"/>
  <c r="U197" i="7"/>
  <c r="J300" i="7"/>
  <c r="R133" i="7"/>
  <c r="R117" i="7"/>
  <c r="V24" i="7"/>
  <c r="U460" i="7"/>
  <c r="P179" i="7"/>
  <c r="P163" i="7"/>
  <c r="P135" i="7"/>
  <c r="P119" i="7"/>
  <c r="T167" i="7"/>
  <c r="T139" i="7"/>
  <c r="T123" i="7"/>
  <c r="T107" i="7"/>
  <c r="L173" i="7"/>
  <c r="L157" i="7"/>
  <c r="G86" i="7"/>
  <c r="R22" i="7"/>
  <c r="L276" i="7"/>
  <c r="S88" i="7"/>
  <c r="N62" i="7"/>
  <c r="J85" i="7"/>
  <c r="L24" i="7"/>
  <c r="O80" i="7"/>
  <c r="L91" i="7"/>
  <c r="H227" i="7"/>
  <c r="R137" i="7"/>
  <c r="J187" i="7"/>
  <c r="J249" i="7"/>
  <c r="H26" i="7"/>
  <c r="T60" i="7"/>
  <c r="R470" i="7"/>
  <c r="J386" i="7"/>
  <c r="L163" i="7"/>
  <c r="V185" i="7"/>
  <c r="P107" i="7"/>
  <c r="P82" i="7"/>
  <c r="T18" i="7"/>
  <c r="H79" i="7"/>
  <c r="R473" i="7"/>
  <c r="P175" i="7"/>
  <c r="P402" i="7"/>
  <c r="P341" i="7"/>
  <c r="V280" i="7"/>
  <c r="H185" i="7"/>
  <c r="T144" i="7"/>
  <c r="T165" i="7"/>
  <c r="P144" i="7"/>
  <c r="L131" i="7"/>
  <c r="R157" i="7"/>
  <c r="R169" i="7"/>
  <c r="T115" i="7"/>
  <c r="H225" i="7"/>
  <c r="H88" i="7"/>
  <c r="T414" i="7"/>
  <c r="P18" i="7"/>
  <c r="V394" i="7"/>
  <c r="R159" i="7"/>
  <c r="T276" i="7"/>
  <c r="R452" i="7"/>
  <c r="J416" i="7"/>
  <c r="V422" i="7"/>
  <c r="L446" i="7"/>
  <c r="R410" i="7"/>
  <c r="V384" i="7"/>
  <c r="L325" i="7"/>
  <c r="V56" i="7"/>
  <c r="V398" i="7"/>
  <c r="T384" i="7"/>
  <c r="H333" i="7"/>
  <c r="L292" i="7"/>
  <c r="H198" i="7"/>
  <c r="R278" i="7"/>
  <c r="R251" i="7"/>
  <c r="R235" i="7"/>
  <c r="R219" i="7"/>
  <c r="H398" i="7"/>
  <c r="U364" i="7"/>
  <c r="N353" i="7"/>
  <c r="P310" i="7"/>
  <c r="R290" i="7"/>
  <c r="N278" i="7"/>
  <c r="N251" i="7"/>
  <c r="N235" i="7"/>
  <c r="N219" i="7"/>
  <c r="P177" i="7"/>
  <c r="L408" i="7"/>
  <c r="L117" i="7"/>
  <c r="P137" i="7"/>
  <c r="H171" i="7"/>
  <c r="N26" i="7"/>
  <c r="H115" i="7"/>
  <c r="O82" i="7"/>
  <c r="L82" i="7"/>
  <c r="P22" i="7"/>
  <c r="G39" i="7"/>
  <c r="P361" i="7"/>
  <c r="O81" i="7"/>
  <c r="J64" i="7"/>
  <c r="V85" i="7"/>
  <c r="M83" i="7"/>
  <c r="U83" i="7"/>
  <c r="P239" i="7"/>
  <c r="N443" i="7"/>
  <c r="J302" i="7"/>
  <c r="J282" i="7"/>
  <c r="R187" i="7"/>
  <c r="N241" i="7"/>
  <c r="J312" i="7"/>
  <c r="H183" i="7"/>
  <c r="L181" i="7"/>
  <c r="P306" i="7"/>
  <c r="P384" i="7"/>
  <c r="R347" i="7"/>
  <c r="J452" i="7"/>
  <c r="T355" i="7"/>
  <c r="U445" i="7"/>
  <c r="N347" i="7"/>
  <c r="N298" i="7"/>
  <c r="N79" i="7"/>
  <c r="V270" i="7"/>
  <c r="R213" i="7"/>
  <c r="R382" i="7"/>
  <c r="L255" i="7"/>
  <c r="N339" i="7"/>
  <c r="V251" i="7"/>
  <c r="J26" i="7"/>
  <c r="R367" i="7"/>
  <c r="P386" i="7"/>
  <c r="U451" i="7"/>
  <c r="N333" i="7"/>
  <c r="P225" i="7"/>
  <c r="L231" i="7"/>
  <c r="R239" i="7"/>
  <c r="N125" i="7"/>
  <c r="N18" i="7"/>
  <c r="K86" i="7"/>
  <c r="P91" i="7"/>
  <c r="J339" i="7"/>
  <c r="P26" i="7"/>
  <c r="N404" i="7"/>
  <c r="N85" i="7"/>
  <c r="R91" i="7"/>
  <c r="Q84" i="7"/>
  <c r="J361" i="7"/>
  <c r="V304" i="7"/>
  <c r="U195" i="7"/>
  <c r="P115" i="7"/>
  <c r="V357" i="7"/>
  <c r="T163" i="7"/>
  <c r="J88" i="7"/>
  <c r="L125" i="7"/>
  <c r="L165" i="7"/>
  <c r="S86" i="7"/>
  <c r="R388" i="7"/>
  <c r="Q87" i="7"/>
  <c r="R167" i="7"/>
  <c r="H22" i="7"/>
  <c r="L135" i="7"/>
  <c r="P62" i="7"/>
  <c r="N357" i="7"/>
  <c r="P113" i="7"/>
  <c r="T121" i="7"/>
  <c r="R16" i="7"/>
  <c r="N66" i="7"/>
  <c r="V213" i="7"/>
  <c r="U159" i="7"/>
  <c r="N402" i="7"/>
  <c r="V268" i="7"/>
  <c r="H123" i="7"/>
  <c r="L85" i="7"/>
  <c r="P294" i="7"/>
  <c r="H85" i="7"/>
  <c r="H144" i="7"/>
  <c r="N20" i="7"/>
  <c r="P88" i="7"/>
  <c r="T58" i="7"/>
  <c r="R369" i="7"/>
  <c r="H113" i="7"/>
  <c r="L384" i="7"/>
  <c r="J229" i="7"/>
  <c r="H215" i="7"/>
  <c r="L159" i="7"/>
  <c r="T169" i="7"/>
  <c r="N163" i="7"/>
  <c r="H82" i="7"/>
  <c r="J181" i="7"/>
  <c r="G78" i="7"/>
  <c r="H20" i="7"/>
  <c r="L62" i="7"/>
  <c r="N280" i="7"/>
  <c r="T473" i="7"/>
  <c r="R424" i="7"/>
  <c r="V382" i="7"/>
  <c r="R339" i="7"/>
  <c r="H298" i="7"/>
  <c r="L121" i="7"/>
  <c r="J20" i="7"/>
  <c r="V300" i="7"/>
  <c r="V355" i="7"/>
  <c r="L410" i="7"/>
  <c r="T306" i="7"/>
  <c r="J221" i="7"/>
  <c r="V424" i="7"/>
  <c r="T179" i="7"/>
  <c r="P157" i="7"/>
  <c r="M80" i="7"/>
  <c r="K472" i="7"/>
  <c r="U454" i="7"/>
  <c r="N183" i="7"/>
  <c r="V292" i="7"/>
  <c r="V141" i="7"/>
  <c r="J91" i="7"/>
  <c r="V345" i="7"/>
  <c r="H139" i="7"/>
  <c r="H66" i="7"/>
  <c r="P461" i="7"/>
  <c r="H193" i="7"/>
  <c r="R123" i="7"/>
  <c r="N223" i="7"/>
  <c r="L288" i="7"/>
  <c r="T133" i="7"/>
  <c r="V18" i="7"/>
  <c r="N179" i="7"/>
  <c r="U77" i="7"/>
  <c r="J351" i="7"/>
  <c r="P223" i="7"/>
  <c r="J286" i="7"/>
  <c r="N276" i="7"/>
  <c r="N359" i="7"/>
  <c r="L349" i="7"/>
  <c r="N225" i="7"/>
  <c r="T272" i="7"/>
  <c r="H133" i="7"/>
  <c r="U86" i="7"/>
  <c r="P422" i="7"/>
  <c r="N390" i="7"/>
  <c r="R357" i="7"/>
  <c r="R345" i="7"/>
  <c r="P304" i="7"/>
  <c r="H406" i="7"/>
  <c r="H412" i="7"/>
  <c r="P392" i="7"/>
  <c r="V62" i="7"/>
  <c r="H452" i="7"/>
  <c r="T388" i="7"/>
  <c r="V243" i="7"/>
  <c r="P185" i="7"/>
  <c r="L239" i="7"/>
  <c r="V388" i="7"/>
  <c r="N187" i="7"/>
  <c r="L402" i="7"/>
  <c r="H239" i="7"/>
  <c r="V235" i="7"/>
  <c r="T280" i="7"/>
  <c r="V347" i="7"/>
  <c r="H422" i="7"/>
  <c r="P357" i="7"/>
  <c r="H367" i="7"/>
  <c r="N300" i="7"/>
  <c r="R198" i="7"/>
  <c r="J177" i="7"/>
  <c r="R268" i="7"/>
  <c r="G77" i="7"/>
  <c r="P274" i="7"/>
  <c r="T213" i="7"/>
  <c r="H219" i="7"/>
  <c r="L64" i="7"/>
  <c r="Q86" i="7"/>
  <c r="P292" i="7"/>
  <c r="H177" i="7"/>
  <c r="N139" i="7"/>
  <c r="H187" i="7"/>
  <c r="P20" i="7"/>
  <c r="P171" i="7"/>
  <c r="V129" i="7"/>
  <c r="T420" i="7"/>
  <c r="I88" i="7"/>
  <c r="R327" i="7"/>
  <c r="J272" i="7"/>
  <c r="T135" i="7"/>
  <c r="R68" i="7"/>
  <c r="V452" i="7"/>
  <c r="L109" i="7"/>
  <c r="N91" i="7"/>
  <c r="I79" i="7"/>
  <c r="L20" i="7"/>
  <c r="M84" i="7"/>
  <c r="U87" i="7"/>
  <c r="I85" i="7"/>
  <c r="J270" i="7"/>
  <c r="P167" i="7"/>
  <c r="S85" i="7"/>
  <c r="T284" i="7"/>
  <c r="V26" i="7"/>
  <c r="J239" i="7"/>
  <c r="H235" i="7"/>
  <c r="V229" i="7"/>
  <c r="T88" i="7"/>
  <c r="T304" i="7"/>
  <c r="L406" i="7"/>
  <c r="P418" i="7"/>
  <c r="H107" i="7"/>
  <c r="V82" i="7"/>
  <c r="J278" i="7"/>
  <c r="J243" i="7"/>
  <c r="H109" i="7"/>
  <c r="U82" i="7"/>
  <c r="T292" i="7"/>
  <c r="P363" i="7"/>
  <c r="T329" i="7"/>
  <c r="N329" i="7"/>
  <c r="R66" i="7"/>
  <c r="N119" i="7"/>
  <c r="N157" i="7"/>
  <c r="T62" i="7"/>
  <c r="N167" i="7"/>
  <c r="V247" i="7"/>
  <c r="R85" i="7"/>
  <c r="H392" i="7"/>
  <c r="T449" i="7"/>
  <c r="R82" i="7"/>
  <c r="T335" i="7"/>
  <c r="L229" i="7"/>
  <c r="V211" i="7"/>
  <c r="T410" i="7"/>
  <c r="H400" i="7"/>
  <c r="L355" i="7"/>
  <c r="N355" i="7"/>
  <c r="U466" i="7"/>
  <c r="P241" i="7"/>
  <c r="P298" i="7"/>
  <c r="T404" i="7"/>
  <c r="H331" i="7"/>
  <c r="O83" i="7"/>
  <c r="L361" i="7"/>
  <c r="V163" i="7"/>
  <c r="O86" i="7"/>
  <c r="Q82" i="7"/>
  <c r="J233" i="7"/>
  <c r="L422" i="7"/>
  <c r="I77" i="7"/>
  <c r="J400" i="7"/>
  <c r="P343" i="7"/>
  <c r="H306" i="7"/>
  <c r="U138" i="7"/>
  <c r="N68" i="7"/>
  <c r="L473" i="7"/>
  <c r="J195" i="7"/>
  <c r="M85" i="7"/>
  <c r="J223" i="7"/>
  <c r="L26" i="7"/>
  <c r="U444" i="7"/>
  <c r="P400" i="7"/>
  <c r="J335" i="7"/>
  <c r="U253" i="7"/>
  <c r="H292" i="7"/>
  <c r="R355" i="7"/>
  <c r="T400" i="7"/>
  <c r="L333" i="7"/>
  <c r="L198" i="7"/>
  <c r="H353" i="7"/>
  <c r="H117" i="7"/>
  <c r="L137" i="7"/>
  <c r="T351" i="7"/>
  <c r="V310" i="7"/>
  <c r="N412" i="7"/>
  <c r="N394" i="7"/>
  <c r="R329" i="7"/>
  <c r="P288" i="7"/>
  <c r="U421" i="7"/>
  <c r="P215" i="7"/>
  <c r="V165" i="7"/>
  <c r="L400" i="7"/>
  <c r="V361" i="7"/>
  <c r="V227" i="7"/>
  <c r="R245" i="7"/>
  <c r="R443" i="7"/>
  <c r="L282" i="7"/>
  <c r="L223" i="7"/>
  <c r="T361" i="7"/>
  <c r="J276" i="7"/>
  <c r="U366" i="7"/>
  <c r="R292" i="7"/>
  <c r="V219" i="7"/>
  <c r="L113" i="7"/>
  <c r="P443" i="7"/>
  <c r="P404" i="7"/>
  <c r="M82" i="7"/>
  <c r="H233" i="7"/>
  <c r="R181" i="7"/>
  <c r="J161" i="7"/>
  <c r="U310" i="7"/>
  <c r="J179" i="7"/>
  <c r="L88" i="7"/>
  <c r="T239" i="7"/>
  <c r="S78" i="7"/>
  <c r="P60" i="7"/>
  <c r="L171" i="7"/>
  <c r="L18" i="7"/>
  <c r="J165" i="7"/>
  <c r="N392" i="7"/>
  <c r="J245" i="7"/>
  <c r="R408" i="7"/>
  <c r="P245" i="7"/>
  <c r="T119" i="7"/>
  <c r="P173" i="7"/>
  <c r="V20" i="7"/>
  <c r="J139" i="7"/>
  <c r="R18" i="7"/>
  <c r="V191" i="7"/>
  <c r="H64" i="7"/>
  <c r="T64" i="7"/>
  <c r="J66" i="7"/>
  <c r="P455" i="7"/>
  <c r="K87" i="7"/>
  <c r="P414" i="7"/>
  <c r="G85" i="7"/>
  <c r="P133" i="7"/>
  <c r="N173" i="7"/>
  <c r="V139" i="7"/>
  <c r="L412" i="7"/>
  <c r="P187" i="7"/>
  <c r="H167" i="7"/>
  <c r="V107" i="7"/>
  <c r="N337" i="7"/>
  <c r="L187" i="7"/>
  <c r="U79" i="7"/>
  <c r="N400" i="7"/>
  <c r="R79" i="7"/>
  <c r="T455" i="7"/>
  <c r="T296" i="7"/>
  <c r="V68" i="7"/>
  <c r="R58" i="7"/>
  <c r="V113" i="7"/>
  <c r="N58" i="7"/>
  <c r="N144" i="7"/>
  <c r="T382" i="7"/>
  <c r="N384" i="7"/>
  <c r="R288" i="7"/>
  <c r="V294" i="7"/>
  <c r="H325" i="7"/>
  <c r="J333" i="7"/>
  <c r="R229" i="7"/>
  <c r="V278" i="7"/>
  <c r="T79" i="7"/>
  <c r="L111" i="7"/>
  <c r="P286" i="7"/>
  <c r="V167" i="7"/>
  <c r="L141" i="7"/>
  <c r="I39" i="7"/>
  <c r="V193" i="7"/>
  <c r="J422" i="7"/>
  <c r="V253" i="7"/>
  <c r="H237" i="7"/>
  <c r="R298" i="7"/>
  <c r="P161" i="7"/>
  <c r="P121" i="7"/>
  <c r="G82" i="7"/>
  <c r="O84" i="7"/>
  <c r="T20" i="7"/>
  <c r="S77" i="7"/>
  <c r="V61" i="6" l="1"/>
  <c r="U61" i="6" l="1"/>
  <c r="V105" i="7"/>
  <c r="P28" i="6"/>
  <c r="V28" i="6"/>
  <c r="U104" i="7" s="1"/>
  <c r="U28" i="6"/>
  <c r="V39" i="6"/>
  <c r="U39" i="6"/>
  <c r="U158" i="7" l="1"/>
  <c r="U102" i="7"/>
  <c r="AS85" i="5"/>
  <c r="AR85" i="5"/>
  <c r="AQ85" i="5"/>
  <c r="AP85" i="5"/>
  <c r="AO85" i="5"/>
  <c r="AN85" i="5"/>
  <c r="AM85" i="5"/>
  <c r="AL85" i="5"/>
  <c r="AK85" i="5"/>
  <c r="AJ85" i="5"/>
  <c r="AI85" i="5"/>
  <c r="AH85" i="5"/>
  <c r="AG85" i="5"/>
  <c r="AF85" i="5"/>
  <c r="AE85" i="5"/>
  <c r="AD85" i="5"/>
  <c r="AC85" i="5"/>
  <c r="AB85" i="5"/>
  <c r="AA85" i="5"/>
  <c r="Z85" i="5"/>
  <c r="Y85" i="5"/>
  <c r="X85" i="5"/>
  <c r="W85" i="5"/>
  <c r="V85" i="5"/>
  <c r="U85" i="5"/>
  <c r="T85" i="5"/>
  <c r="S85" i="5"/>
  <c r="R85" i="5"/>
  <c r="Q85" i="5"/>
  <c r="P85" i="5"/>
  <c r="O85" i="5"/>
  <c r="N85" i="5"/>
  <c r="M85" i="5"/>
  <c r="L85" i="5"/>
  <c r="K85" i="5"/>
  <c r="J85" i="5"/>
  <c r="I85" i="5"/>
  <c r="H85" i="5"/>
  <c r="G85" i="5"/>
  <c r="F85" i="5"/>
  <c r="E85" i="5"/>
  <c r="D85" i="5"/>
  <c r="C85" i="5"/>
  <c r="B85" i="5"/>
  <c r="D83" i="5"/>
  <c r="C83" i="5"/>
  <c r="BA82" i="5"/>
  <c r="AZ82" i="5"/>
  <c r="BA81" i="5"/>
  <c r="AZ81" i="5"/>
  <c r="BA80" i="5"/>
  <c r="AZ80" i="5"/>
  <c r="BA79" i="5"/>
  <c r="AZ79" i="5"/>
  <c r="BA78" i="5"/>
  <c r="AZ78" i="5"/>
  <c r="BA77" i="5"/>
  <c r="AZ77" i="5"/>
  <c r="D68" i="5"/>
  <c r="C68" i="5"/>
  <c r="B67" i="5"/>
  <c r="BC67" i="5" s="1"/>
  <c r="B66" i="5"/>
  <c r="BC66" i="5" s="1"/>
  <c r="BA65" i="5"/>
  <c r="AV65" i="5"/>
  <c r="D50" i="5"/>
  <c r="C50" i="5"/>
  <c r="B49" i="5"/>
  <c r="BC49" i="5" s="1"/>
  <c r="B48" i="5"/>
  <c r="BC48" i="5" s="1"/>
  <c r="BA47" i="5"/>
  <c r="AV47" i="5"/>
  <c r="D32" i="5"/>
  <c r="C32" i="5"/>
  <c r="B31" i="5"/>
  <c r="BC31" i="5" s="1"/>
  <c r="B30" i="5"/>
  <c r="BC30" i="5" s="1"/>
  <c r="BA29" i="5"/>
  <c r="AV29" i="5"/>
  <c r="BC28" i="5"/>
  <c r="BA28" i="5"/>
  <c r="BC27" i="5"/>
  <c r="BA27" i="5"/>
  <c r="BC26" i="5"/>
  <c r="BA26" i="5"/>
  <c r="BC25" i="5"/>
  <c r="BA25" i="5"/>
  <c r="BC24" i="5"/>
  <c r="BA24" i="5"/>
  <c r="BC23" i="5"/>
  <c r="BA23" i="5"/>
  <c r="BC22" i="5"/>
  <c r="BA22" i="5"/>
  <c r="BC21" i="5"/>
  <c r="BA21" i="5"/>
  <c r="BC20" i="5"/>
  <c r="BA20" i="5"/>
  <c r="BC19" i="5"/>
  <c r="BA19" i="5"/>
  <c r="B15" i="5"/>
  <c r="BC15" i="5" s="1"/>
  <c r="B14" i="5"/>
  <c r="BA13" i="5"/>
  <c r="AV13" i="5"/>
  <c r="BC12" i="5"/>
  <c r="BB12" i="5"/>
  <c r="BA12" i="5"/>
  <c r="AZ12" i="5"/>
  <c r="AS89" i="4"/>
  <c r="AR89" i="4"/>
  <c r="AQ89" i="4"/>
  <c r="AP89" i="4"/>
  <c r="AO89" i="4"/>
  <c r="AN89" i="4"/>
  <c r="AM89" i="4"/>
  <c r="AL89" i="4"/>
  <c r="AK89" i="4"/>
  <c r="AJ89" i="4"/>
  <c r="AI89" i="4"/>
  <c r="AH89" i="4"/>
  <c r="AG89" i="4"/>
  <c r="AF89" i="4"/>
  <c r="AE89" i="4"/>
  <c r="AD89" i="4"/>
  <c r="AC89" i="4"/>
  <c r="AB89" i="4"/>
  <c r="AA89" i="4"/>
  <c r="Z89" i="4"/>
  <c r="Y89" i="4"/>
  <c r="X89" i="4"/>
  <c r="W89" i="4"/>
  <c r="V89" i="4"/>
  <c r="U89" i="4"/>
  <c r="T89" i="4"/>
  <c r="S89" i="4"/>
  <c r="R89" i="4"/>
  <c r="Q89" i="4"/>
  <c r="P89" i="4"/>
  <c r="O89" i="4"/>
  <c r="N89" i="4"/>
  <c r="M89" i="4"/>
  <c r="L89" i="4"/>
  <c r="K89" i="4"/>
  <c r="J89" i="4"/>
  <c r="I89" i="4"/>
  <c r="H89" i="4"/>
  <c r="G89" i="4"/>
  <c r="F89" i="4"/>
  <c r="E89" i="4"/>
  <c r="D89" i="4"/>
  <c r="C89" i="4"/>
  <c r="B89" i="4"/>
  <c r="D84" i="4"/>
  <c r="C84" i="4"/>
  <c r="D83" i="4"/>
  <c r="C83" i="4"/>
  <c r="BA82" i="4"/>
  <c r="AZ82" i="4"/>
  <c r="BA81" i="4"/>
  <c r="AZ81" i="4"/>
  <c r="BA80" i="4"/>
  <c r="AZ80" i="4"/>
  <c r="BA79" i="4"/>
  <c r="AZ79" i="4"/>
  <c r="BA78" i="4"/>
  <c r="AZ78" i="4"/>
  <c r="BA77" i="4"/>
  <c r="AZ77" i="4"/>
  <c r="D68" i="4"/>
  <c r="C68" i="4"/>
  <c r="B67" i="4"/>
  <c r="BC67" i="4" s="1"/>
  <c r="B66" i="4"/>
  <c r="BC66" i="4" s="1"/>
  <c r="BA65" i="4"/>
  <c r="AV65" i="4"/>
  <c r="D50" i="4"/>
  <c r="C50" i="4"/>
  <c r="B49" i="4"/>
  <c r="BC49" i="4" s="1"/>
  <c r="B48" i="4"/>
  <c r="BC48" i="4" s="1"/>
  <c r="BA47" i="4"/>
  <c r="AV47" i="4"/>
  <c r="D32" i="4"/>
  <c r="C32" i="4"/>
  <c r="B31" i="4"/>
  <c r="B30" i="4"/>
  <c r="BA29" i="4"/>
  <c r="AV29" i="4"/>
  <c r="BC28" i="4"/>
  <c r="BA28" i="4"/>
  <c r="BC27" i="4"/>
  <c r="BA27" i="4"/>
  <c r="BC26" i="4"/>
  <c r="BA26" i="4"/>
  <c r="BC25" i="4"/>
  <c r="BA25" i="4"/>
  <c r="BC24" i="4"/>
  <c r="BA24" i="4"/>
  <c r="BC23" i="4"/>
  <c r="BA23" i="4"/>
  <c r="BC22" i="4"/>
  <c r="BA22" i="4"/>
  <c r="BC21" i="4"/>
  <c r="BA21" i="4"/>
  <c r="BC20" i="4"/>
  <c r="BA20" i="4"/>
  <c r="BC19" i="4"/>
  <c r="BA19" i="4"/>
  <c r="BC13" i="4"/>
  <c r="BB13" i="4"/>
  <c r="BA13" i="4"/>
  <c r="AZ13" i="4"/>
  <c r="BC12" i="4"/>
  <c r="BB12" i="4"/>
  <c r="BA12" i="4"/>
  <c r="AZ12" i="4"/>
  <c r="BC10" i="4"/>
  <c r="BA10" i="4"/>
  <c r="BC9" i="4"/>
  <c r="BA9" i="4"/>
  <c r="BC8" i="4"/>
  <c r="BA8" i="4"/>
  <c r="G180" i="3"/>
  <c r="F180" i="3"/>
  <c r="E180" i="3"/>
  <c r="D180" i="3"/>
  <c r="G179" i="3"/>
  <c r="F179" i="3"/>
  <c r="H179" i="3" s="1"/>
  <c r="E179" i="3"/>
  <c r="D179" i="3"/>
  <c r="G178" i="3"/>
  <c r="F178" i="3"/>
  <c r="H178" i="3" s="1"/>
  <c r="E178" i="3"/>
  <c r="D178" i="3"/>
  <c r="G177" i="3"/>
  <c r="F177" i="3"/>
  <c r="E177" i="3"/>
  <c r="D177" i="3"/>
  <c r="G176" i="3"/>
  <c r="F176" i="3"/>
  <c r="H176" i="3" s="1"/>
  <c r="E176" i="3"/>
  <c r="D176" i="3"/>
  <c r="G175" i="3"/>
  <c r="F175" i="3"/>
  <c r="H175" i="3" s="1"/>
  <c r="E175" i="3"/>
  <c r="D175" i="3"/>
  <c r="G174" i="3"/>
  <c r="F174" i="3"/>
  <c r="E174" i="3"/>
  <c r="D174" i="3"/>
  <c r="G173" i="3"/>
  <c r="F173" i="3"/>
  <c r="H173" i="3" s="1"/>
  <c r="E173" i="3"/>
  <c r="D173" i="3"/>
  <c r="G172" i="3"/>
  <c r="F172" i="3"/>
  <c r="H172" i="3" s="1"/>
  <c r="E172" i="3"/>
  <c r="D172" i="3"/>
  <c r="C168" i="3"/>
  <c r="G167" i="3"/>
  <c r="H167" i="3" s="1"/>
  <c r="F167" i="3"/>
  <c r="E167" i="3"/>
  <c r="D167" i="3"/>
  <c r="G166" i="3"/>
  <c r="H166" i="3" s="1"/>
  <c r="F166" i="3"/>
  <c r="D167" i="15" s="1"/>
  <c r="X171" i="15" s="1"/>
  <c r="E166" i="3"/>
  <c r="D166" i="3"/>
  <c r="G165" i="3"/>
  <c r="H165" i="3" s="1"/>
  <c r="F165" i="3"/>
  <c r="D162" i="15" s="1"/>
  <c r="X166" i="15" s="1"/>
  <c r="E165" i="3"/>
  <c r="D165" i="3"/>
  <c r="B162" i="15" s="1"/>
  <c r="G164" i="3"/>
  <c r="H164" i="3" s="1"/>
  <c r="F164" i="3"/>
  <c r="D157" i="15" s="1"/>
  <c r="X161" i="15" s="1"/>
  <c r="E164" i="3"/>
  <c r="D164" i="3"/>
  <c r="B157" i="15" s="1"/>
  <c r="G163" i="3"/>
  <c r="H163" i="3" s="1"/>
  <c r="F163" i="3"/>
  <c r="D152" i="15" s="1"/>
  <c r="X156" i="15" s="1"/>
  <c r="E163" i="3"/>
  <c r="D163" i="3"/>
  <c r="G162" i="3"/>
  <c r="H162" i="3" s="1"/>
  <c r="F162" i="3"/>
  <c r="E162" i="3"/>
  <c r="D485" i="7" s="1"/>
  <c r="D162" i="3"/>
  <c r="C483" i="7" s="1"/>
  <c r="G161" i="3"/>
  <c r="H161" i="3" s="1"/>
  <c r="C14" i="9" s="1"/>
  <c r="F161" i="3"/>
  <c r="D42" i="7" s="1"/>
  <c r="E161" i="3"/>
  <c r="D44" i="7" s="1"/>
  <c r="D161" i="3"/>
  <c r="G160" i="3"/>
  <c r="H160" i="3" s="1"/>
  <c r="F160" i="3"/>
  <c r="E160" i="3"/>
  <c r="D160" i="3"/>
  <c r="G159" i="3"/>
  <c r="H159" i="3" s="1"/>
  <c r="F159" i="3"/>
  <c r="E159" i="3"/>
  <c r="D159" i="3"/>
  <c r="G158" i="3"/>
  <c r="H158" i="3" s="1"/>
  <c r="B63" i="16" s="1"/>
  <c r="F158" i="3"/>
  <c r="C63" i="16" s="1"/>
  <c r="E158" i="3"/>
  <c r="D158" i="3"/>
  <c r="G157" i="3"/>
  <c r="H157" i="3" s="1"/>
  <c r="F157" i="3"/>
  <c r="E157" i="3"/>
  <c r="D157" i="3"/>
  <c r="G156" i="3"/>
  <c r="H156" i="3" s="1"/>
  <c r="B62" i="16" s="1"/>
  <c r="F156" i="3"/>
  <c r="C62" i="16" s="1"/>
  <c r="E156" i="3"/>
  <c r="D156" i="3"/>
  <c r="G155" i="3"/>
  <c r="H155" i="3" s="1"/>
  <c r="F155" i="3"/>
  <c r="E155" i="3"/>
  <c r="D155" i="3"/>
  <c r="G154" i="3"/>
  <c r="H154" i="3" s="1"/>
  <c r="F154" i="3"/>
  <c r="E154" i="3"/>
  <c r="D154" i="3"/>
  <c r="G153" i="3"/>
  <c r="H153" i="3" s="1"/>
  <c r="F153" i="3"/>
  <c r="E153" i="3"/>
  <c r="D153" i="3"/>
  <c r="G152" i="3"/>
  <c r="H152" i="3" s="1"/>
  <c r="F152" i="3"/>
  <c r="E152" i="3"/>
  <c r="D152" i="3"/>
  <c r="G151" i="3"/>
  <c r="H151" i="3" s="1"/>
  <c r="F151" i="3"/>
  <c r="E151" i="3"/>
  <c r="D151" i="3"/>
  <c r="G150" i="3"/>
  <c r="H150" i="3" s="1"/>
  <c r="F150" i="3"/>
  <c r="E150" i="3"/>
  <c r="D150" i="3"/>
  <c r="G149" i="3"/>
  <c r="H149" i="3" s="1"/>
  <c r="F149" i="3"/>
  <c r="E149" i="3"/>
  <c r="D305" i="7" s="1"/>
  <c r="D149" i="3"/>
  <c r="G148" i="3"/>
  <c r="H148" i="3" s="1"/>
  <c r="F148" i="3"/>
  <c r="E148" i="3"/>
  <c r="D148" i="3"/>
  <c r="R55" i="3" s="1"/>
  <c r="G147" i="3"/>
  <c r="H147" i="3" s="1"/>
  <c r="B59" i="16" s="1"/>
  <c r="F147" i="3"/>
  <c r="C59" i="16" s="1"/>
  <c r="E147" i="3"/>
  <c r="D147" i="3"/>
  <c r="G146" i="3"/>
  <c r="H146" i="3" s="1"/>
  <c r="B58" i="16" s="1"/>
  <c r="F146" i="3"/>
  <c r="C58" i="16" s="1"/>
  <c r="E146" i="3"/>
  <c r="D146" i="3"/>
  <c r="G145" i="3"/>
  <c r="H145" i="3" s="1"/>
  <c r="B57" i="16" s="1"/>
  <c r="F145" i="3"/>
  <c r="C57" i="16" s="1"/>
  <c r="E145" i="3"/>
  <c r="D145" i="3"/>
  <c r="G144" i="3"/>
  <c r="H144" i="3" s="1"/>
  <c r="F144" i="3"/>
  <c r="E144" i="3"/>
  <c r="D144" i="3"/>
  <c r="G143" i="3"/>
  <c r="F143" i="3"/>
  <c r="E143" i="3"/>
  <c r="D143" i="3"/>
  <c r="G142" i="3"/>
  <c r="F142" i="3"/>
  <c r="E142" i="3"/>
  <c r="D142" i="3"/>
  <c r="G141" i="3"/>
  <c r="H141" i="3" s="1"/>
  <c r="F141" i="3"/>
  <c r="E141" i="3"/>
  <c r="D141" i="3"/>
  <c r="G140" i="3"/>
  <c r="F140" i="3"/>
  <c r="E140" i="3"/>
  <c r="D140" i="3"/>
  <c r="G139" i="3"/>
  <c r="F139" i="3"/>
  <c r="E139" i="3"/>
  <c r="D139" i="3"/>
  <c r="G138" i="3"/>
  <c r="H138" i="3" s="1"/>
  <c r="F138" i="3"/>
  <c r="E138" i="3"/>
  <c r="D138" i="3"/>
  <c r="G137" i="3"/>
  <c r="H137" i="3" s="1"/>
  <c r="F137" i="3"/>
  <c r="E137" i="3"/>
  <c r="D137" i="3"/>
  <c r="G136" i="3"/>
  <c r="H136" i="3" s="1"/>
  <c r="F136" i="3"/>
  <c r="E136" i="3"/>
  <c r="D136" i="3"/>
  <c r="I614" i="6" s="1"/>
  <c r="G135" i="3"/>
  <c r="F135" i="3"/>
  <c r="D27" i="7" s="1"/>
  <c r="E135" i="3"/>
  <c r="D29" i="7" s="1"/>
  <c r="D135" i="3"/>
  <c r="G134" i="3"/>
  <c r="H134" i="3" s="1"/>
  <c r="F134" i="3"/>
  <c r="E134" i="3"/>
  <c r="D134" i="3"/>
  <c r="G133" i="3"/>
  <c r="H133" i="3" s="1"/>
  <c r="F133" i="3"/>
  <c r="E133" i="3"/>
  <c r="D133" i="3"/>
  <c r="G132" i="3"/>
  <c r="F132" i="3"/>
  <c r="D69" i="7" s="1"/>
  <c r="E132" i="3"/>
  <c r="D71" i="7" s="1"/>
  <c r="D132" i="3"/>
  <c r="G131" i="3"/>
  <c r="H131" i="3" s="1"/>
  <c r="F131" i="3"/>
  <c r="E131" i="3"/>
  <c r="D131" i="3"/>
  <c r="G130" i="3"/>
  <c r="H130" i="3" s="1"/>
  <c r="F130" i="3"/>
  <c r="E130" i="3"/>
  <c r="D130" i="3"/>
  <c r="I548" i="6" s="1"/>
  <c r="G129" i="3"/>
  <c r="H129" i="3" s="1"/>
  <c r="F129" i="3"/>
  <c r="E129" i="3"/>
  <c r="D129" i="3"/>
  <c r="I537" i="6" s="1"/>
  <c r="G128" i="3"/>
  <c r="H128" i="3" s="1"/>
  <c r="F128" i="3"/>
  <c r="G526" i="6" s="1"/>
  <c r="H526" i="6" s="1"/>
  <c r="E128" i="3"/>
  <c r="D128" i="3"/>
  <c r="I526" i="6" s="1"/>
  <c r="G127" i="3"/>
  <c r="H127" i="3" s="1"/>
  <c r="F127" i="3"/>
  <c r="E127" i="3"/>
  <c r="D127" i="3"/>
  <c r="I515" i="6" s="1"/>
  <c r="G126" i="3"/>
  <c r="H126" i="3" s="1"/>
  <c r="F126" i="3"/>
  <c r="E126" i="3"/>
  <c r="D126" i="3"/>
  <c r="G125" i="3"/>
  <c r="F125" i="3"/>
  <c r="E125" i="3"/>
  <c r="D125" i="3"/>
  <c r="G124" i="3"/>
  <c r="H124" i="3" s="1"/>
  <c r="F124" i="3"/>
  <c r="D90" i="15" s="1"/>
  <c r="X91" i="15" s="1"/>
  <c r="E124" i="3"/>
  <c r="D124" i="3"/>
  <c r="G123" i="3"/>
  <c r="H123" i="3" s="1"/>
  <c r="F123" i="3"/>
  <c r="E123" i="3"/>
  <c r="D123" i="3"/>
  <c r="G122" i="3"/>
  <c r="H122" i="3" s="1"/>
  <c r="F122" i="3"/>
  <c r="D84" i="15" s="1"/>
  <c r="X85" i="15" s="1"/>
  <c r="E122" i="3"/>
  <c r="D122" i="3"/>
  <c r="G121" i="3"/>
  <c r="H121" i="3" s="1"/>
  <c r="F121" i="3"/>
  <c r="E121" i="3"/>
  <c r="D121" i="3"/>
  <c r="G120" i="3"/>
  <c r="H120" i="3" s="1"/>
  <c r="F120" i="3"/>
  <c r="E120" i="3"/>
  <c r="D120" i="3"/>
  <c r="G119" i="3"/>
  <c r="H119" i="3" s="1"/>
  <c r="F119" i="3"/>
  <c r="E119" i="3"/>
  <c r="D119" i="3"/>
  <c r="G118" i="3"/>
  <c r="H118" i="3" s="1"/>
  <c r="F118" i="3"/>
  <c r="E118" i="3"/>
  <c r="D118" i="3"/>
  <c r="G117" i="3"/>
  <c r="H117" i="3" s="1"/>
  <c r="F117" i="3"/>
  <c r="E117" i="3"/>
  <c r="D117" i="3"/>
  <c r="G116" i="3"/>
  <c r="H116" i="3" s="1"/>
  <c r="F116" i="3"/>
  <c r="E116" i="3"/>
  <c r="D116" i="3"/>
  <c r="G115" i="3"/>
  <c r="F115" i="3"/>
  <c r="E115" i="3"/>
  <c r="D115" i="3"/>
  <c r="B75" i="15" s="1"/>
  <c r="G114" i="3"/>
  <c r="F114" i="3"/>
  <c r="E114" i="3"/>
  <c r="D114" i="3"/>
  <c r="B72" i="15" s="1"/>
  <c r="G113" i="3"/>
  <c r="H113" i="3" s="1"/>
  <c r="F113" i="3"/>
  <c r="E113" i="3"/>
  <c r="D113" i="3"/>
  <c r="G112" i="3"/>
  <c r="H112" i="3" s="1"/>
  <c r="F112" i="3"/>
  <c r="D66" i="15" s="1"/>
  <c r="X67" i="15" s="1"/>
  <c r="E112" i="3"/>
  <c r="D112" i="3"/>
  <c r="B66" i="15" s="1"/>
  <c r="G111" i="3"/>
  <c r="F111" i="3"/>
  <c r="E111" i="3"/>
  <c r="D111" i="3"/>
  <c r="G110" i="3"/>
  <c r="F110" i="3"/>
  <c r="E110" i="3"/>
  <c r="D59" i="7" s="1"/>
  <c r="D110" i="3"/>
  <c r="G109" i="3"/>
  <c r="H109" i="3" s="1"/>
  <c r="F109" i="3"/>
  <c r="D63" i="15" s="1"/>
  <c r="X64" i="15" s="1"/>
  <c r="E109" i="3"/>
  <c r="D109" i="3"/>
  <c r="G108" i="3"/>
  <c r="H108" i="3" s="1"/>
  <c r="F108" i="3"/>
  <c r="D60" i="15" s="1"/>
  <c r="X61" i="15" s="1"/>
  <c r="E108" i="3"/>
  <c r="D108" i="3"/>
  <c r="G107" i="3"/>
  <c r="H107" i="3" s="1"/>
  <c r="F107" i="3"/>
  <c r="E107" i="3"/>
  <c r="D289" i="7" s="1"/>
  <c r="D107" i="3"/>
  <c r="G106" i="3"/>
  <c r="H106" i="3" s="1"/>
  <c r="F106" i="3"/>
  <c r="D54" i="15" s="1"/>
  <c r="X55" i="15" s="1"/>
  <c r="E106" i="3"/>
  <c r="D166" i="7" s="1"/>
  <c r="D106" i="3"/>
  <c r="G105" i="3"/>
  <c r="H105" i="3" s="1"/>
  <c r="F105" i="3"/>
  <c r="C38" i="16" s="1"/>
  <c r="E105" i="3"/>
  <c r="D116" i="7" s="1"/>
  <c r="D105" i="3"/>
  <c r="G104" i="3"/>
  <c r="H104" i="3" s="1"/>
  <c r="F104" i="3"/>
  <c r="E104" i="3"/>
  <c r="D334" i="7" s="1"/>
  <c r="D104" i="3"/>
  <c r="G103" i="3"/>
  <c r="H103" i="3" s="1"/>
  <c r="F103" i="3"/>
  <c r="E103" i="3"/>
  <c r="D224" i="7" s="1"/>
  <c r="D103" i="3"/>
  <c r="G102" i="3"/>
  <c r="F102" i="3"/>
  <c r="E102" i="3"/>
  <c r="D285" i="7" s="1"/>
  <c r="D102" i="3"/>
  <c r="G101" i="3"/>
  <c r="H101" i="3" s="1"/>
  <c r="F101" i="3"/>
  <c r="E101" i="3"/>
  <c r="D220" i="7" s="1"/>
  <c r="D101" i="3"/>
  <c r="G100" i="3"/>
  <c r="H100" i="3" s="1"/>
  <c r="F100" i="3"/>
  <c r="D48" i="15" s="1"/>
  <c r="X49" i="15" s="1"/>
  <c r="E100" i="3"/>
  <c r="D391" i="7" s="1"/>
  <c r="D100" i="3"/>
  <c r="G99" i="3"/>
  <c r="H99" i="3" s="1"/>
  <c r="F99" i="3"/>
  <c r="D45" i="15" s="1"/>
  <c r="X46" i="15" s="1"/>
  <c r="E99" i="3"/>
  <c r="D330" i="7" s="1"/>
  <c r="D99" i="3"/>
  <c r="G98" i="3"/>
  <c r="H98" i="3" s="1"/>
  <c r="F98" i="3"/>
  <c r="E98" i="3"/>
  <c r="D281" i="7" s="1"/>
  <c r="D98" i="3"/>
  <c r="G97" i="3"/>
  <c r="H97" i="3" s="1"/>
  <c r="F97" i="3"/>
  <c r="E97" i="3"/>
  <c r="D97" i="3"/>
  <c r="G96" i="3"/>
  <c r="H96" i="3" s="1"/>
  <c r="F96" i="3"/>
  <c r="D42" i="15" s="1"/>
  <c r="X43" i="15" s="1"/>
  <c r="E96" i="3"/>
  <c r="D96" i="3"/>
  <c r="G95" i="3"/>
  <c r="F95" i="3"/>
  <c r="D39" i="15" s="1"/>
  <c r="X40" i="15" s="1"/>
  <c r="E95" i="3"/>
  <c r="D95" i="3"/>
  <c r="B39" i="15" s="1"/>
  <c r="G94" i="3"/>
  <c r="H94" i="3" s="1"/>
  <c r="F94" i="3"/>
  <c r="E94" i="3"/>
  <c r="D94" i="3"/>
  <c r="G93" i="3"/>
  <c r="H93" i="3" s="1"/>
  <c r="F93" i="3"/>
  <c r="E93" i="3"/>
  <c r="D93" i="3"/>
  <c r="G92" i="3"/>
  <c r="H92" i="3" s="1"/>
  <c r="F92" i="3"/>
  <c r="E92" i="3"/>
  <c r="D92" i="3"/>
  <c r="G91" i="3"/>
  <c r="H91" i="3" s="1"/>
  <c r="F91" i="3"/>
  <c r="D36" i="15" s="1"/>
  <c r="X37" i="15" s="1"/>
  <c r="E91" i="3"/>
  <c r="D387" i="7" s="1"/>
  <c r="D91" i="3"/>
  <c r="B36" i="15" s="1"/>
  <c r="G90" i="3"/>
  <c r="H90" i="3" s="1"/>
  <c r="F90" i="3"/>
  <c r="E90" i="3"/>
  <c r="D90" i="3"/>
  <c r="B33" i="15" s="1"/>
  <c r="G89" i="3"/>
  <c r="H89" i="3" s="1"/>
  <c r="F89" i="3"/>
  <c r="D30" i="15" s="1"/>
  <c r="X31" i="15" s="1"/>
  <c r="E89" i="3"/>
  <c r="D89" i="3"/>
  <c r="B30" i="15" s="1"/>
  <c r="G88" i="3"/>
  <c r="H88" i="3" s="1"/>
  <c r="F88" i="3"/>
  <c r="E88" i="3"/>
  <c r="D88" i="3"/>
  <c r="G87" i="3"/>
  <c r="H87" i="3" s="1"/>
  <c r="F87" i="3"/>
  <c r="E87" i="3"/>
  <c r="D87" i="3"/>
  <c r="G86" i="3"/>
  <c r="H86" i="3" s="1"/>
  <c r="F86" i="3"/>
  <c r="E86" i="3"/>
  <c r="D86" i="3"/>
  <c r="G85" i="3"/>
  <c r="H85" i="3" s="1"/>
  <c r="F85" i="3"/>
  <c r="D27" i="15" s="1"/>
  <c r="X28" i="15" s="1"/>
  <c r="E85" i="3"/>
  <c r="D85" i="3"/>
  <c r="G84" i="3"/>
  <c r="F84" i="3"/>
  <c r="E84" i="3"/>
  <c r="D84" i="3"/>
  <c r="B24" i="15" s="1"/>
  <c r="G83" i="3"/>
  <c r="F83" i="3"/>
  <c r="D21" i="15" s="1"/>
  <c r="X22" i="15" s="1"/>
  <c r="E83" i="3"/>
  <c r="D83" i="3"/>
  <c r="B21" i="15" s="1"/>
  <c r="G82" i="3"/>
  <c r="F82" i="3"/>
  <c r="E82" i="3"/>
  <c r="D82" i="3"/>
  <c r="G81" i="3"/>
  <c r="G80" i="3"/>
  <c r="W67" i="3"/>
  <c r="V67" i="3"/>
  <c r="S67" i="3"/>
  <c r="R67" i="3"/>
  <c r="G43" i="2"/>
  <c r="G14" i="2" s="1"/>
  <c r="F43" i="2"/>
  <c r="E14" i="2" s="1"/>
  <c r="D43" i="2"/>
  <c r="H42" i="2"/>
  <c r="G42" i="2"/>
  <c r="F42" i="2"/>
  <c r="E42" i="2"/>
  <c r="D42" i="2"/>
  <c r="C42" i="2"/>
  <c r="W19" i="1"/>
  <c r="P19" i="1"/>
  <c r="W18" i="1"/>
  <c r="P18" i="1"/>
  <c r="P17" i="1"/>
  <c r="I17" i="1"/>
  <c r="W6" i="1"/>
  <c r="W7" i="1" s="1"/>
  <c r="W8" i="1" s="1"/>
  <c r="W9" i="1" s="1"/>
  <c r="W10" i="1" s="1"/>
  <c r="W11" i="1" s="1"/>
  <c r="W12" i="1" s="1"/>
  <c r="W13" i="1" s="1"/>
  <c r="W14" i="1" s="1"/>
  <c r="P6" i="1"/>
  <c r="I6" i="1"/>
  <c r="I7" i="1" s="1"/>
  <c r="I8" i="1" s="1"/>
  <c r="I9" i="1" s="1"/>
  <c r="I10" i="1" s="1"/>
  <c r="I11" i="1" s="1"/>
  <c r="I12" i="1" s="1"/>
  <c r="I13" i="1" s="1"/>
  <c r="I14" i="1" s="1"/>
  <c r="B6" i="1"/>
  <c r="B7" i="1" s="1"/>
  <c r="B8" i="1" s="1"/>
  <c r="B9" i="1" s="1"/>
  <c r="B10" i="1" s="1"/>
  <c r="B11" i="1" s="1"/>
  <c r="B12" i="1" s="1"/>
  <c r="B13" i="1" s="1"/>
  <c r="B152" i="15" l="1"/>
  <c r="H132" i="3"/>
  <c r="C94" i="9" s="1"/>
  <c r="F71" i="7"/>
  <c r="B69" i="15"/>
  <c r="B78" i="15"/>
  <c r="B93" i="15"/>
  <c r="C42" i="7"/>
  <c r="B14" i="9"/>
  <c r="B81" i="15"/>
  <c r="B94" i="9"/>
  <c r="C70" i="7"/>
  <c r="B13" i="9"/>
  <c r="C28" i="7"/>
  <c r="H135" i="3"/>
  <c r="C13" i="9" s="1"/>
  <c r="F29" i="7"/>
  <c r="D236" i="7"/>
  <c r="D147" i="15"/>
  <c r="X151" i="15" s="1"/>
  <c r="D483" i="7"/>
  <c r="F482" i="7" s="1"/>
  <c r="V38" i="3"/>
  <c r="C44" i="16"/>
  <c r="BA30" i="5"/>
  <c r="C33" i="16"/>
  <c r="C162" i="15"/>
  <c r="C30" i="15"/>
  <c r="C57" i="15"/>
  <c r="D526" i="6"/>
  <c r="C157" i="15"/>
  <c r="C147" i="15"/>
  <c r="B38" i="16"/>
  <c r="C87" i="15"/>
  <c r="C36" i="15"/>
  <c r="D614" i="6"/>
  <c r="C152" i="15"/>
  <c r="C167" i="15"/>
  <c r="D17" i="7"/>
  <c r="D120" i="7"/>
  <c r="D212" i="7"/>
  <c r="D273" i="7"/>
  <c r="D338" i="7"/>
  <c r="D326" i="7"/>
  <c r="D55" i="7"/>
  <c r="D21" i="7"/>
  <c r="D13" i="7"/>
  <c r="D415" i="7"/>
  <c r="D395" i="7"/>
  <c r="E14" i="11"/>
  <c r="D174" i="7"/>
  <c r="D190" i="7"/>
  <c r="B33" i="16"/>
  <c r="F29" i="11"/>
  <c r="C31" i="16"/>
  <c r="E29" i="11"/>
  <c r="D293" i="7"/>
  <c r="D232" i="7"/>
  <c r="C30" i="16"/>
  <c r="E41" i="11"/>
  <c r="B117" i="15"/>
  <c r="D403" i="7"/>
  <c r="D240" i="7"/>
  <c r="C26" i="16"/>
  <c r="D117" i="15"/>
  <c r="X118" i="15" s="1"/>
  <c r="AE118" i="15" s="1"/>
  <c r="D178" i="7"/>
  <c r="BA48" i="5"/>
  <c r="R50" i="3"/>
  <c r="BA66" i="5"/>
  <c r="E13" i="2"/>
  <c r="F42" i="11"/>
  <c r="F64" i="11"/>
  <c r="F78" i="11"/>
  <c r="F30" i="11"/>
  <c r="E30" i="11"/>
  <c r="E42" i="11"/>
  <c r="E17" i="11"/>
  <c r="E64" i="11"/>
  <c r="E78" i="11"/>
  <c r="C48" i="16"/>
  <c r="C53" i="16"/>
  <c r="C52" i="16"/>
  <c r="D105" i="15"/>
  <c r="X106" i="15" s="1"/>
  <c r="AC107" i="15" s="1"/>
  <c r="D108" i="15"/>
  <c r="X109" i="15" s="1"/>
  <c r="AE109" i="15" s="1"/>
  <c r="D111" i="15"/>
  <c r="X112" i="15" s="1"/>
  <c r="AA112" i="15" s="1"/>
  <c r="D114" i="15"/>
  <c r="X115" i="15" s="1"/>
  <c r="AB115" i="15" s="1"/>
  <c r="B96" i="15"/>
  <c r="B102" i="15"/>
  <c r="B108" i="15"/>
  <c r="B114" i="15"/>
  <c r="B120" i="15"/>
  <c r="B129" i="15"/>
  <c r="B138" i="15"/>
  <c r="B141" i="15"/>
  <c r="D123" i="15"/>
  <c r="X124" i="15" s="1"/>
  <c r="AF125" i="15" s="1"/>
  <c r="D126" i="15"/>
  <c r="X127" i="15" s="1"/>
  <c r="AA128" i="15" s="1"/>
  <c r="D129" i="15"/>
  <c r="X130" i="15" s="1"/>
  <c r="AF131" i="15" s="1"/>
  <c r="D132" i="15"/>
  <c r="X133" i="15" s="1"/>
  <c r="AF134" i="15" s="1"/>
  <c r="D135" i="15"/>
  <c r="X136" i="15" s="1"/>
  <c r="AA136" i="15" s="1"/>
  <c r="D144" i="15"/>
  <c r="X145" i="15" s="1"/>
  <c r="AE145" i="15" s="1"/>
  <c r="C13" i="2"/>
  <c r="D350" i="7"/>
  <c r="D67" i="7"/>
  <c r="D346" i="7"/>
  <c r="D297" i="7"/>
  <c r="D407" i="7"/>
  <c r="D411" i="7"/>
  <c r="D301" i="7"/>
  <c r="D99" i="15"/>
  <c r="X100" i="15" s="1"/>
  <c r="AC100" i="15" s="1"/>
  <c r="G614" i="6"/>
  <c r="H614" i="6" s="1"/>
  <c r="D186" i="7"/>
  <c r="D419" i="7"/>
  <c r="D132" i="7"/>
  <c r="D248" i="7"/>
  <c r="D358" i="7"/>
  <c r="D136" i="7"/>
  <c r="D362" i="7"/>
  <c r="D252" i="7"/>
  <c r="D140" i="7"/>
  <c r="D366" i="7"/>
  <c r="D28" i="2"/>
  <c r="AA17" i="14" s="1"/>
  <c r="D30" i="2"/>
  <c r="D29" i="2"/>
  <c r="C12" i="2"/>
  <c r="D269" i="7"/>
  <c r="D277" i="7"/>
  <c r="D112" i="7"/>
  <c r="D216" i="7"/>
  <c r="D170" i="7"/>
  <c r="V15" i="3"/>
  <c r="B52" i="16"/>
  <c r="B53" i="16"/>
  <c r="D162" i="7"/>
  <c r="D399" i="7"/>
  <c r="D63" i="7"/>
  <c r="E89" i="11"/>
  <c r="B135" i="15"/>
  <c r="E91" i="11"/>
  <c r="B144" i="15"/>
  <c r="V43" i="3"/>
  <c r="B172" i="15"/>
  <c r="C24" i="16"/>
  <c r="D24" i="15"/>
  <c r="X25" i="15" s="1"/>
  <c r="Y25" i="15" s="1"/>
  <c r="C28" i="16"/>
  <c r="D33" i="15"/>
  <c r="X34" i="15" s="1"/>
  <c r="AD41" i="15"/>
  <c r="AE40" i="15"/>
  <c r="AC40" i="15"/>
  <c r="Z41" i="15"/>
  <c r="AD40" i="15"/>
  <c r="AB41" i="15"/>
  <c r="AA41" i="15"/>
  <c r="AB40" i="15"/>
  <c r="Y40" i="15"/>
  <c r="Y41" i="15"/>
  <c r="AC41" i="15"/>
  <c r="AF41" i="15"/>
  <c r="AF40" i="15"/>
  <c r="AE41" i="15"/>
  <c r="AA40" i="15"/>
  <c r="Z40" i="15"/>
  <c r="C39" i="16"/>
  <c r="D57" i="15"/>
  <c r="X58" i="15" s="1"/>
  <c r="AC59" i="15" s="1"/>
  <c r="AE68" i="15"/>
  <c r="AD68" i="15"/>
  <c r="AD67" i="15"/>
  <c r="Y68" i="15"/>
  <c r="AA68" i="15"/>
  <c r="Z68" i="15"/>
  <c r="AC68" i="15"/>
  <c r="Y67" i="15"/>
  <c r="AB67" i="15"/>
  <c r="AB68" i="15"/>
  <c r="AF67" i="15"/>
  <c r="AE67" i="15"/>
  <c r="AF68" i="15"/>
  <c r="Z67" i="15"/>
  <c r="AC67" i="15"/>
  <c r="AA67" i="15"/>
  <c r="C42" i="16"/>
  <c r="D72" i="15"/>
  <c r="X73" i="15" s="1"/>
  <c r="C47" i="16"/>
  <c r="D81" i="15"/>
  <c r="X82" i="15" s="1"/>
  <c r="AC83" i="15" s="1"/>
  <c r="C54" i="16"/>
  <c r="D96" i="15"/>
  <c r="X97" i="15" s="1"/>
  <c r="AC98" i="15" s="1"/>
  <c r="C33" i="15"/>
  <c r="E10" i="11"/>
  <c r="B27" i="15"/>
  <c r="E23" i="11"/>
  <c r="E36" i="11"/>
  <c r="E11" i="11"/>
  <c r="E57" i="11"/>
  <c r="E25" i="11"/>
  <c r="E58" i="11"/>
  <c r="B42" i="15"/>
  <c r="E69" i="11"/>
  <c r="E82" i="11"/>
  <c r="B45" i="15"/>
  <c r="E38" i="11"/>
  <c r="B48" i="15"/>
  <c r="E70" i="11"/>
  <c r="B51" i="15"/>
  <c r="E12" i="11"/>
  <c r="B54" i="15"/>
  <c r="E28" i="11"/>
  <c r="B57" i="15"/>
  <c r="E84" i="11"/>
  <c r="B60" i="15"/>
  <c r="E39" i="11"/>
  <c r="B63" i="15"/>
  <c r="E60" i="11"/>
  <c r="B84" i="15"/>
  <c r="E73" i="11"/>
  <c r="B87" i="15"/>
  <c r="E86" i="11"/>
  <c r="B90" i="15"/>
  <c r="E75" i="11"/>
  <c r="B99" i="15"/>
  <c r="B55" i="16"/>
  <c r="C102" i="15"/>
  <c r="F87" i="11"/>
  <c r="C105" i="15"/>
  <c r="B60" i="16"/>
  <c r="C120" i="15"/>
  <c r="F32" i="11"/>
  <c r="C123" i="15"/>
  <c r="F45" i="11"/>
  <c r="C126" i="15"/>
  <c r="C129" i="15"/>
  <c r="F77" i="11"/>
  <c r="C132" i="15"/>
  <c r="C135" i="15"/>
  <c r="B64" i="16"/>
  <c r="C138" i="15"/>
  <c r="B65" i="16"/>
  <c r="C141" i="15"/>
  <c r="F91" i="11"/>
  <c r="C144" i="15"/>
  <c r="D342" i="7"/>
  <c r="D124" i="7"/>
  <c r="E87" i="11"/>
  <c r="B105" i="15"/>
  <c r="R15" i="3"/>
  <c r="B111" i="15"/>
  <c r="E32" i="11"/>
  <c r="B123" i="15"/>
  <c r="E77" i="11"/>
  <c r="B132" i="15"/>
  <c r="V29" i="3"/>
  <c r="B167" i="15"/>
  <c r="C34" i="16"/>
  <c r="D51" i="15"/>
  <c r="X52" i="15" s="1"/>
  <c r="AA52" i="15" s="1"/>
  <c r="C41" i="16"/>
  <c r="D69" i="15"/>
  <c r="X70" i="15" s="1"/>
  <c r="C43" i="16"/>
  <c r="D75" i="15"/>
  <c r="X76" i="15" s="1"/>
  <c r="C49" i="16"/>
  <c r="D87" i="15"/>
  <c r="X88" i="15" s="1"/>
  <c r="C50" i="16"/>
  <c r="D93" i="15"/>
  <c r="X94" i="15" s="1"/>
  <c r="Y95" i="15" s="1"/>
  <c r="D25" i="7"/>
  <c r="D128" i="7"/>
  <c r="D244" i="7"/>
  <c r="D354" i="7"/>
  <c r="D423" i="7"/>
  <c r="D309" i="7"/>
  <c r="D194" i="7"/>
  <c r="D158" i="7"/>
  <c r="D383" i="7"/>
  <c r="D108" i="7"/>
  <c r="D228" i="7"/>
  <c r="D182" i="7"/>
  <c r="E45" i="11"/>
  <c r="B126" i="15"/>
  <c r="R16" i="3"/>
  <c r="B147" i="15"/>
  <c r="C46" i="16"/>
  <c r="D78" i="15"/>
  <c r="X79" i="15" s="1"/>
  <c r="C55" i="16"/>
  <c r="D102" i="15"/>
  <c r="X103" i="15" s="1"/>
  <c r="AB104" i="15" s="1"/>
  <c r="C27" i="15"/>
  <c r="F11" i="11"/>
  <c r="C42" i="15"/>
  <c r="F69" i="11"/>
  <c r="F82" i="11"/>
  <c r="C45" i="15"/>
  <c r="F38" i="11"/>
  <c r="C48" i="15"/>
  <c r="F12" i="11"/>
  <c r="C54" i="15"/>
  <c r="F84" i="11"/>
  <c r="C60" i="15"/>
  <c r="B41" i="16"/>
  <c r="C78" i="15"/>
  <c r="C84" i="15"/>
  <c r="B54" i="16"/>
  <c r="F75" i="11"/>
  <c r="C99" i="15"/>
  <c r="C60" i="16"/>
  <c r="D120" i="15"/>
  <c r="X121" i="15" s="1"/>
  <c r="AE121" i="15" s="1"/>
  <c r="C64" i="16"/>
  <c r="D138" i="15"/>
  <c r="X139" i="15" s="1"/>
  <c r="C65" i="16"/>
  <c r="D141" i="15"/>
  <c r="X142" i="15" s="1"/>
  <c r="D172" i="15"/>
  <c r="X176" i="15" s="1"/>
  <c r="AU527" i="6"/>
  <c r="AT527" i="6"/>
  <c r="G22" i="2"/>
  <c r="G28" i="2"/>
  <c r="C9" i="14"/>
  <c r="S7" i="14"/>
  <c r="B10" i="12"/>
  <c r="E56" i="11"/>
  <c r="C11" i="13"/>
  <c r="B13" i="12"/>
  <c r="E68" i="11"/>
  <c r="C13" i="13"/>
  <c r="B15" i="12"/>
  <c r="E24" i="11"/>
  <c r="C16" i="13"/>
  <c r="B20" i="12"/>
  <c r="E27" i="11"/>
  <c r="C19" i="13"/>
  <c r="B24" i="12"/>
  <c r="E59" i="11"/>
  <c r="G13" i="2"/>
  <c r="F25" i="2"/>
  <c r="F27" i="2"/>
  <c r="F29" i="2"/>
  <c r="H28" i="2"/>
  <c r="G12" i="2"/>
  <c r="G23" i="2"/>
  <c r="G25" i="2"/>
  <c r="G27" i="2"/>
  <c r="G29" i="2"/>
  <c r="E27" i="2"/>
  <c r="AG3" i="4" s="1"/>
  <c r="AG13" i="4" s="1"/>
  <c r="C14" i="2"/>
  <c r="R23" i="3"/>
  <c r="C22" i="16"/>
  <c r="F9" i="14"/>
  <c r="L4" i="14"/>
  <c r="M4" i="14" s="1"/>
  <c r="E10" i="12"/>
  <c r="C23" i="16"/>
  <c r="F9" i="13"/>
  <c r="E11" i="12"/>
  <c r="E12" i="12"/>
  <c r="F10" i="13"/>
  <c r="F11" i="13"/>
  <c r="E13" i="12"/>
  <c r="C27" i="16"/>
  <c r="F12" i="13"/>
  <c r="E14" i="12"/>
  <c r="F13" i="13"/>
  <c r="E15" i="12"/>
  <c r="C29" i="16"/>
  <c r="F14" i="13"/>
  <c r="E16" i="12"/>
  <c r="X16" i="12" s="1"/>
  <c r="C32" i="16"/>
  <c r="F15" i="13"/>
  <c r="E18" i="12"/>
  <c r="F10" i="14"/>
  <c r="E19" i="12"/>
  <c r="C35" i="16"/>
  <c r="F16" i="13"/>
  <c r="E20" i="12"/>
  <c r="C36" i="16"/>
  <c r="F17" i="13"/>
  <c r="E21" i="12"/>
  <c r="C37" i="16"/>
  <c r="F18" i="13"/>
  <c r="E23" i="12"/>
  <c r="F19" i="13"/>
  <c r="E24" i="12"/>
  <c r="C40" i="16"/>
  <c r="F11" i="14"/>
  <c r="E25" i="12"/>
  <c r="F20" i="13"/>
  <c r="E26" i="12"/>
  <c r="C45" i="16"/>
  <c r="F21" i="13"/>
  <c r="E27" i="12"/>
  <c r="F22" i="13"/>
  <c r="E29" i="12"/>
  <c r="F23" i="13"/>
  <c r="E30" i="12"/>
  <c r="F24" i="13"/>
  <c r="E31" i="12"/>
  <c r="C51" i="16"/>
  <c r="F12" i="14"/>
  <c r="E32" i="12"/>
  <c r="G515" i="6"/>
  <c r="H515" i="6" s="1"/>
  <c r="G522" i="6" s="1"/>
  <c r="C56" i="16"/>
  <c r="G537" i="6"/>
  <c r="H537" i="6" s="1"/>
  <c r="H545" i="6" s="1"/>
  <c r="C61" i="16"/>
  <c r="G548" i="6"/>
  <c r="H548" i="6" s="1"/>
  <c r="G552" i="6" s="1"/>
  <c r="C25" i="16"/>
  <c r="F25" i="13"/>
  <c r="E34" i="12"/>
  <c r="X28" i="12" s="1"/>
  <c r="F26" i="13"/>
  <c r="E35" i="12"/>
  <c r="F27" i="13"/>
  <c r="E36" i="12"/>
  <c r="F28" i="13"/>
  <c r="E37" i="12"/>
  <c r="BA67" i="4"/>
  <c r="F22" i="2"/>
  <c r="F24" i="2"/>
  <c r="F26" i="2"/>
  <c r="F28" i="2"/>
  <c r="G30" i="2"/>
  <c r="F30" i="2"/>
  <c r="D11" i="13"/>
  <c r="C13" i="12"/>
  <c r="F68" i="11"/>
  <c r="B26" i="16"/>
  <c r="F36" i="11"/>
  <c r="B27" i="16"/>
  <c r="D12" i="13"/>
  <c r="C14" i="12"/>
  <c r="F81" i="11"/>
  <c r="D13" i="13"/>
  <c r="F24" i="11"/>
  <c r="B29" i="16"/>
  <c r="C16" i="12"/>
  <c r="W16" i="12" s="1"/>
  <c r="B30" i="16"/>
  <c r="F57" i="11"/>
  <c r="F25" i="11"/>
  <c r="D10" i="14"/>
  <c r="C19" i="12"/>
  <c r="F26" i="11"/>
  <c r="B34" i="16"/>
  <c r="D17" i="13"/>
  <c r="C21" i="12"/>
  <c r="F71" i="11"/>
  <c r="B37" i="16"/>
  <c r="D18" i="13"/>
  <c r="F83" i="11"/>
  <c r="D19" i="13"/>
  <c r="C24" i="12"/>
  <c r="F59" i="11"/>
  <c r="B39" i="16"/>
  <c r="F28" i="11"/>
  <c r="B40" i="16"/>
  <c r="C25" i="12"/>
  <c r="C26" i="12"/>
  <c r="B44" i="16"/>
  <c r="F14" i="11"/>
  <c r="B45" i="16"/>
  <c r="D21" i="13"/>
  <c r="C27" i="12"/>
  <c r="D22" i="13"/>
  <c r="C29" i="12"/>
  <c r="F15" i="11"/>
  <c r="D23" i="13"/>
  <c r="C30" i="12"/>
  <c r="F72" i="11"/>
  <c r="F41" i="11"/>
  <c r="B51" i="16"/>
  <c r="D12" i="14"/>
  <c r="C32" i="12"/>
  <c r="D515" i="6"/>
  <c r="B56" i="16"/>
  <c r="D537" i="6"/>
  <c r="B61" i="16"/>
  <c r="D548" i="6"/>
  <c r="B25" i="16"/>
  <c r="D25" i="13"/>
  <c r="F61" i="11"/>
  <c r="D26" i="13"/>
  <c r="D27" i="13"/>
  <c r="F31" i="11"/>
  <c r="F13" i="14"/>
  <c r="E38" i="12"/>
  <c r="X32" i="12" s="1"/>
  <c r="F29" i="13"/>
  <c r="E40" i="12"/>
  <c r="F30" i="13"/>
  <c r="E41" i="12"/>
  <c r="R28" i="12" s="1"/>
  <c r="F31" i="13"/>
  <c r="E42" i="12"/>
  <c r="P32" i="12" s="1"/>
  <c r="F32" i="13"/>
  <c r="E9" i="12"/>
  <c r="F14" i="14"/>
  <c r="E17" i="12"/>
  <c r="F33" i="13"/>
  <c r="E22" i="12"/>
  <c r="N32" i="12" s="1"/>
  <c r="F34" i="13"/>
  <c r="E28" i="12"/>
  <c r="F35" i="13"/>
  <c r="E33" i="12"/>
  <c r="F36" i="13"/>
  <c r="E39" i="12"/>
  <c r="R32" i="12" s="1"/>
  <c r="BC14" i="5"/>
  <c r="AA49" i="15"/>
  <c r="AA29" i="15"/>
  <c r="AA55" i="15"/>
  <c r="AB28" i="15"/>
  <c r="AC86" i="15"/>
  <c r="Z64" i="15"/>
  <c r="AB56" i="15"/>
  <c r="AE49" i="15"/>
  <c r="AE22" i="15"/>
  <c r="AB32" i="15"/>
  <c r="AC22" i="15"/>
  <c r="Y28" i="15"/>
  <c r="AA32" i="15"/>
  <c r="AF31" i="15"/>
  <c r="AD29" i="15"/>
  <c r="AF22" i="15"/>
  <c r="Z32" i="15"/>
  <c r="AE55" i="15"/>
  <c r="AD50" i="15"/>
  <c r="AD85" i="15"/>
  <c r="AB65" i="15"/>
  <c r="AE28" i="15"/>
  <c r="Z38" i="15"/>
  <c r="AC31" i="15"/>
  <c r="Y22" i="15"/>
  <c r="AF29" i="15"/>
  <c r="AF28" i="15"/>
  <c r="AD23" i="15"/>
  <c r="AA38" i="15"/>
  <c r="AF50" i="15"/>
  <c r="AF65" i="15"/>
  <c r="AA23" i="15"/>
  <c r="AF56" i="15"/>
  <c r="AC50" i="15"/>
  <c r="AE32" i="15"/>
  <c r="AA31" i="15"/>
  <c r="Y31" i="15"/>
  <c r="AF23" i="15"/>
  <c r="AE23" i="15"/>
  <c r="AB29" i="15"/>
  <c r="AE29" i="15"/>
  <c r="Y64" i="15"/>
  <c r="AB22" i="15"/>
  <c r="Z50" i="15"/>
  <c r="Y65" i="15"/>
  <c r="AE38" i="15"/>
  <c r="AC23" i="15"/>
  <c r="AC29" i="15"/>
  <c r="AA37" i="15"/>
  <c r="AF32" i="15"/>
  <c r="AF37" i="15"/>
  <c r="AB23" i="15"/>
  <c r="AC28" i="15"/>
  <c r="AB37" i="15"/>
  <c r="AC37" i="15"/>
  <c r="Z23" i="15"/>
  <c r="AC32" i="15"/>
  <c r="AD32" i="15"/>
  <c r="AC38" i="15"/>
  <c r="AD38" i="15"/>
  <c r="AB55" i="15"/>
  <c r="AB50" i="15"/>
  <c r="Y55" i="15"/>
  <c r="AC85" i="15"/>
  <c r="AF85" i="15"/>
  <c r="AE85" i="15"/>
  <c r="AD28" i="15"/>
  <c r="Y32" i="15"/>
  <c r="Z37" i="15"/>
  <c r="Z49" i="15"/>
  <c r="AD56" i="15"/>
  <c r="Y56" i="15"/>
  <c r="AA65" i="15"/>
  <c r="Z65" i="15"/>
  <c r="Y86" i="15"/>
  <c r="AB31" i="15"/>
  <c r="Y37" i="15"/>
  <c r="AA50" i="15"/>
  <c r="AF55" i="15"/>
  <c r="AC55" i="15"/>
  <c r="AC64" i="15"/>
  <c r="Y85" i="15"/>
  <c r="AB85" i="15"/>
  <c r="AA85" i="15"/>
  <c r="Z22" i="15"/>
  <c r="Y29" i="15"/>
  <c r="AD37" i="15"/>
  <c r="AD49" i="15"/>
  <c r="Z56" i="15"/>
  <c r="AF64" i="15"/>
  <c r="AE64" i="15"/>
  <c r="AC65" i="15"/>
  <c r="AF38" i="15"/>
  <c r="AA22" i="15"/>
  <c r="AA28" i="15"/>
  <c r="AE31" i="15"/>
  <c r="AE37" i="15"/>
  <c r="AB49" i="15"/>
  <c r="AE50" i="15"/>
  <c r="Y49" i="15"/>
  <c r="AF86" i="15"/>
  <c r="AE86" i="15"/>
  <c r="AD86" i="15"/>
  <c r="AD22" i="15"/>
  <c r="Z31" i="15"/>
  <c r="Y38" i="15"/>
  <c r="Y50" i="15"/>
  <c r="AE56" i="15"/>
  <c r="Z55" i="15"/>
  <c r="AB64" i="15"/>
  <c r="AA64" i="15"/>
  <c r="AB38" i="15"/>
  <c r="Z29" i="15"/>
  <c r="AF49" i="15"/>
  <c r="AC56" i="15"/>
  <c r="AC49" i="15"/>
  <c r="AB86" i="15"/>
  <c r="AA86" i="15"/>
  <c r="Z86" i="15"/>
  <c r="Y23" i="15"/>
  <c r="Z28" i="15"/>
  <c r="AD31" i="15"/>
  <c r="AA56" i="15"/>
  <c r="AD55" i="15"/>
  <c r="AE65" i="15"/>
  <c r="AD65" i="15"/>
  <c r="AD64" i="15"/>
  <c r="Z85" i="15"/>
  <c r="G26" i="2"/>
  <c r="B12" i="12"/>
  <c r="C10" i="13"/>
  <c r="C14" i="13"/>
  <c r="B16" i="12"/>
  <c r="X15" i="12" s="1"/>
  <c r="E37" i="11"/>
  <c r="C17" i="13"/>
  <c r="B21" i="12"/>
  <c r="E71" i="11"/>
  <c r="C11" i="14"/>
  <c r="B25" i="12"/>
  <c r="E13" i="11"/>
  <c r="C20" i="13"/>
  <c r="B26" i="12"/>
  <c r="E85" i="11"/>
  <c r="C21" i="13"/>
  <c r="B27" i="12"/>
  <c r="E40" i="11"/>
  <c r="C22" i="13"/>
  <c r="B29" i="12"/>
  <c r="E15" i="11"/>
  <c r="C23" i="13"/>
  <c r="B30" i="12"/>
  <c r="E72" i="11"/>
  <c r="C24" i="13"/>
  <c r="B31" i="12"/>
  <c r="C12" i="14"/>
  <c r="B32" i="12"/>
  <c r="E74" i="11"/>
  <c r="C25" i="13"/>
  <c r="B34" i="12"/>
  <c r="E61" i="11"/>
  <c r="C26" i="13"/>
  <c r="B35" i="12"/>
  <c r="E43" i="11"/>
  <c r="C27" i="13"/>
  <c r="B36" i="12"/>
  <c r="E31" i="11"/>
  <c r="C28" i="13"/>
  <c r="B37" i="12"/>
  <c r="E16" i="11"/>
  <c r="D28" i="13"/>
  <c r="F16" i="11"/>
  <c r="C38" i="12"/>
  <c r="W32" i="12" s="1"/>
  <c r="C40" i="12"/>
  <c r="F62" i="11"/>
  <c r="C41" i="12"/>
  <c r="F18" i="11"/>
  <c r="C42" i="12"/>
  <c r="O32" i="12" s="1"/>
  <c r="D14" i="14"/>
  <c r="C17" i="12"/>
  <c r="F90" i="11"/>
  <c r="D33" i="13"/>
  <c r="F46" i="11"/>
  <c r="D34" i="13"/>
  <c r="C28" i="12"/>
  <c r="F33" i="11"/>
  <c r="D35" i="13"/>
  <c r="F65" i="11"/>
  <c r="D36" i="13"/>
  <c r="C39" i="12"/>
  <c r="Q32" i="12" s="1"/>
  <c r="F19" i="11"/>
  <c r="AB62" i="15"/>
  <c r="AA46" i="15"/>
  <c r="Z47" i="15"/>
  <c r="AC91" i="15"/>
  <c r="AF91" i="15"/>
  <c r="AE91" i="15"/>
  <c r="Y92" i="15"/>
  <c r="AC44" i="15"/>
  <c r="AF44" i="15"/>
  <c r="AD47" i="15"/>
  <c r="Y91" i="15"/>
  <c r="AB91" i="15"/>
  <c r="AF47" i="15"/>
  <c r="Z44" i="15"/>
  <c r="AD44" i="15"/>
  <c r="AA43" i="15"/>
  <c r="AE46" i="15"/>
  <c r="AE43" i="15"/>
  <c r="AC47" i="15"/>
  <c r="AC61" i="15"/>
  <c r="AE92" i="15"/>
  <c r="AA91" i="15"/>
  <c r="AF43" i="15"/>
  <c r="AB46" i="15"/>
  <c r="AA47" i="15"/>
  <c r="AE62" i="15"/>
  <c r="AD62" i="15"/>
  <c r="AD61" i="15"/>
  <c r="Y43" i="15"/>
  <c r="AC46" i="15"/>
  <c r="AF62" i="15"/>
  <c r="Y44" i="15"/>
  <c r="Z61" i="15"/>
  <c r="AA92" i="15"/>
  <c r="AC92" i="15"/>
  <c r="AF46" i="15"/>
  <c r="AE47" i="15"/>
  <c r="AA62" i="15"/>
  <c r="Z62" i="15"/>
  <c r="AC62" i="15"/>
  <c r="AC43" i="15"/>
  <c r="AB47" i="15"/>
  <c r="Z46" i="15"/>
  <c r="AF92" i="15"/>
  <c r="AD92" i="15"/>
  <c r="AD91" i="15"/>
  <c r="AA44" i="15"/>
  <c r="AF61" i="15"/>
  <c r="AE61" i="15"/>
  <c r="AB44" i="15"/>
  <c r="Z43" i="15"/>
  <c r="AD46" i="15"/>
  <c r="Y62" i="15"/>
  <c r="AB92" i="15"/>
  <c r="Z92" i="15"/>
  <c r="Z91" i="15"/>
  <c r="AB43" i="15"/>
  <c r="AE44" i="15"/>
  <c r="AB61" i="15"/>
  <c r="AA61" i="15"/>
  <c r="Y46" i="15"/>
  <c r="Y61" i="15"/>
  <c r="AD43" i="15"/>
  <c r="Y47" i="15"/>
  <c r="G24" i="2"/>
  <c r="B11" i="12"/>
  <c r="C9" i="13"/>
  <c r="P7" i="13"/>
  <c r="C12" i="13"/>
  <c r="B14" i="12"/>
  <c r="E81" i="11"/>
  <c r="C15" i="13"/>
  <c r="B18" i="12"/>
  <c r="R35" i="3"/>
  <c r="C10" i="14"/>
  <c r="B19" i="12"/>
  <c r="E26" i="11"/>
  <c r="C18" i="13"/>
  <c r="B23" i="12"/>
  <c r="E83" i="11"/>
  <c r="E12" i="2"/>
  <c r="F23" i="2"/>
  <c r="R22" i="3"/>
  <c r="C13" i="14"/>
  <c r="B38" i="12"/>
  <c r="X31" i="12" s="1"/>
  <c r="E44" i="11"/>
  <c r="C29" i="13"/>
  <c r="B40" i="12"/>
  <c r="E62" i="11"/>
  <c r="R27" i="3"/>
  <c r="C30" i="13"/>
  <c r="B41" i="12"/>
  <c r="E18" i="11"/>
  <c r="C31" i="13"/>
  <c r="B42" i="12"/>
  <c r="P31" i="12" s="1"/>
  <c r="E76" i="11"/>
  <c r="C32" i="13"/>
  <c r="B9" i="12"/>
  <c r="E88" i="11"/>
  <c r="V26" i="3"/>
  <c r="E63" i="11"/>
  <c r="C14" i="14"/>
  <c r="B17" i="12"/>
  <c r="E90" i="11"/>
  <c r="C33" i="13"/>
  <c r="B22" i="12"/>
  <c r="E46" i="11"/>
  <c r="R42" i="3"/>
  <c r="C34" i="13"/>
  <c r="B28" i="12"/>
  <c r="E33" i="11"/>
  <c r="V28" i="3"/>
  <c r="C35" i="13"/>
  <c r="B33" i="12"/>
  <c r="E65" i="11"/>
  <c r="R28" i="3"/>
  <c r="C36" i="13"/>
  <c r="B39" i="12"/>
  <c r="R31" i="12" s="1"/>
  <c r="E19" i="11"/>
  <c r="W22" i="3"/>
  <c r="C34" i="9"/>
  <c r="D273" i="6"/>
  <c r="D53" i="7"/>
  <c r="G42" i="6"/>
  <c r="H42" i="6" s="1"/>
  <c r="D381" i="7"/>
  <c r="G86" i="6"/>
  <c r="H86" i="6" s="1"/>
  <c r="D160" i="7"/>
  <c r="G130" i="6"/>
  <c r="H130" i="6" s="1"/>
  <c r="D110" i="7"/>
  <c r="G174" i="6"/>
  <c r="H174" i="6" s="1"/>
  <c r="D389" i="7"/>
  <c r="G218" i="6"/>
  <c r="H218" i="6" s="1"/>
  <c r="D332" i="7"/>
  <c r="G262" i="6"/>
  <c r="H262" i="6" s="1"/>
  <c r="D114" i="7"/>
  <c r="G273" i="6"/>
  <c r="H273" i="6" s="1"/>
  <c r="C60" i="4"/>
  <c r="B70" i="9"/>
  <c r="C349" i="7"/>
  <c r="I636" i="6"/>
  <c r="R14" i="3"/>
  <c r="B93" i="9"/>
  <c r="C66" i="7"/>
  <c r="I647" i="6"/>
  <c r="C12" i="5"/>
  <c r="B96" i="9"/>
  <c r="I658" i="6"/>
  <c r="R54" i="3"/>
  <c r="B165" i="9"/>
  <c r="C414" i="7"/>
  <c r="I669" i="6"/>
  <c r="V14" i="3"/>
  <c r="B12" i="9"/>
  <c r="C24" i="7"/>
  <c r="I680" i="6"/>
  <c r="C13" i="4"/>
  <c r="I691" i="6"/>
  <c r="C26" i="5"/>
  <c r="B109" i="9"/>
  <c r="C185" i="7"/>
  <c r="I702" i="6"/>
  <c r="V25" i="3"/>
  <c r="B36" i="9"/>
  <c r="C127" i="7"/>
  <c r="I713" i="6"/>
  <c r="C27" i="5"/>
  <c r="B119" i="9"/>
  <c r="C189" i="7"/>
  <c r="I724" i="6"/>
  <c r="V40" i="3"/>
  <c r="B60" i="9"/>
  <c r="C243" i="7"/>
  <c r="I735" i="6"/>
  <c r="V53" i="3"/>
  <c r="B82" i="9"/>
  <c r="C353" i="7"/>
  <c r="I746" i="6"/>
  <c r="R41" i="3"/>
  <c r="B132" i="9"/>
  <c r="C304" i="7"/>
  <c r="I757" i="6"/>
  <c r="C63" i="5"/>
  <c r="B155" i="9"/>
  <c r="I768" i="6"/>
  <c r="C418" i="7"/>
  <c r="C26" i="4"/>
  <c r="B25" i="9"/>
  <c r="I779" i="6"/>
  <c r="C131" i="7"/>
  <c r="C45" i="4"/>
  <c r="B48" i="9"/>
  <c r="C247" i="7"/>
  <c r="I790" i="6"/>
  <c r="V54" i="3"/>
  <c r="B71" i="9"/>
  <c r="I801" i="6"/>
  <c r="C357" i="7"/>
  <c r="V27" i="3"/>
  <c r="B26" i="9"/>
  <c r="I812" i="6"/>
  <c r="C135" i="7"/>
  <c r="V55" i="3"/>
  <c r="B83" i="9"/>
  <c r="C361" i="7"/>
  <c r="I823" i="6"/>
  <c r="R56" i="3"/>
  <c r="B166" i="9"/>
  <c r="I834" i="6"/>
  <c r="C422" i="7"/>
  <c r="V42" i="3"/>
  <c r="B49" i="9"/>
  <c r="I845" i="6"/>
  <c r="C251" i="7"/>
  <c r="C46" i="5"/>
  <c r="B142" i="9"/>
  <c r="C308" i="7"/>
  <c r="I856" i="6"/>
  <c r="C28" i="4"/>
  <c r="B37" i="9"/>
  <c r="I867" i="6"/>
  <c r="C139" i="7"/>
  <c r="C28" i="5"/>
  <c r="B120" i="9"/>
  <c r="C193" i="7"/>
  <c r="I878" i="6"/>
  <c r="V56" i="3"/>
  <c r="B72" i="9"/>
  <c r="I889" i="6"/>
  <c r="C365" i="7"/>
  <c r="V16" i="3"/>
  <c r="B97" i="9"/>
  <c r="C478" i="7"/>
  <c r="I900" i="6"/>
  <c r="C91" i="7"/>
  <c r="R29" i="3"/>
  <c r="B112" i="9"/>
  <c r="I911" i="6"/>
  <c r="C488" i="7"/>
  <c r="C198" i="7"/>
  <c r="R43" i="3"/>
  <c r="B134" i="9"/>
  <c r="I922" i="6"/>
  <c r="C493" i="7"/>
  <c r="C312" i="7"/>
  <c r="R57" i="3"/>
  <c r="B158" i="9"/>
  <c r="C498" i="7"/>
  <c r="C426" i="7"/>
  <c r="I933" i="6"/>
  <c r="C29" i="4"/>
  <c r="B29" i="9"/>
  <c r="I944" i="6"/>
  <c r="C503" i="7"/>
  <c r="C144" i="7"/>
  <c r="C47" i="4"/>
  <c r="B52" i="9"/>
  <c r="I955" i="6"/>
  <c r="C508" i="7"/>
  <c r="C255" i="7"/>
  <c r="G168" i="3"/>
  <c r="H168" i="3" s="1"/>
  <c r="C172" i="15" s="1"/>
  <c r="D102" i="7"/>
  <c r="G20" i="6"/>
  <c r="H20" i="6" s="1"/>
  <c r="D156" i="7"/>
  <c r="G53" i="6"/>
  <c r="H53" i="6" s="1"/>
  <c r="D271" i="7"/>
  <c r="G108" i="6"/>
  <c r="H108" i="6" s="1"/>
  <c r="D275" i="7"/>
  <c r="G152" i="6"/>
  <c r="H152" i="6" s="1"/>
  <c r="D214" i="7"/>
  <c r="G185" i="6"/>
  <c r="H185" i="6" s="1"/>
  <c r="D283" i="7"/>
  <c r="G240" i="6"/>
  <c r="H240" i="6" s="1"/>
  <c r="H83" i="3"/>
  <c r="F13" i="7"/>
  <c r="D53" i="6"/>
  <c r="S46" i="3"/>
  <c r="C150" i="9"/>
  <c r="D86" i="6"/>
  <c r="D119" i="6"/>
  <c r="S34" i="3"/>
  <c r="C128" i="9"/>
  <c r="H95" i="3"/>
  <c r="F58" i="11" s="1"/>
  <c r="F17" i="7"/>
  <c r="D174" i="6"/>
  <c r="C44" i="9"/>
  <c r="D185" i="6"/>
  <c r="S35" i="3"/>
  <c r="C139" i="9"/>
  <c r="D196" i="6"/>
  <c r="W47" i="3"/>
  <c r="C67" i="9"/>
  <c r="D207" i="6"/>
  <c r="H102" i="3"/>
  <c r="D40" i="5" s="1"/>
  <c r="F285" i="7"/>
  <c r="F283" i="7"/>
  <c r="W35" i="3"/>
  <c r="C57" i="9"/>
  <c r="D251" i="6"/>
  <c r="W48" i="3"/>
  <c r="C80" i="9"/>
  <c r="D262" i="6"/>
  <c r="D164" i="7"/>
  <c r="G284" i="6"/>
  <c r="H284" i="6" s="1"/>
  <c r="D287" i="7"/>
  <c r="G295" i="6"/>
  <c r="H295" i="6" s="1"/>
  <c r="D336" i="7"/>
  <c r="G306" i="6"/>
  <c r="H306" i="6" s="1"/>
  <c r="D393" i="7"/>
  <c r="G317" i="6"/>
  <c r="H317" i="6" s="1"/>
  <c r="D57" i="7"/>
  <c r="G328" i="6"/>
  <c r="H328" i="6" s="1"/>
  <c r="G339" i="6"/>
  <c r="H339" i="6" s="1"/>
  <c r="D168" i="7"/>
  <c r="G350" i="6"/>
  <c r="H350" i="6" s="1"/>
  <c r="D340" i="7"/>
  <c r="G361" i="6"/>
  <c r="H361" i="6" s="1"/>
  <c r="D19" i="7"/>
  <c r="G372" i="6"/>
  <c r="H372" i="6" s="1"/>
  <c r="G383" i="6"/>
  <c r="H383" i="6" s="1"/>
  <c r="D172" i="7"/>
  <c r="G394" i="6"/>
  <c r="H394" i="6" s="1"/>
  <c r="D291" i="7"/>
  <c r="G405" i="6"/>
  <c r="H405" i="6" s="1"/>
  <c r="D397" i="7"/>
  <c r="G416" i="6"/>
  <c r="H416" i="6" s="1"/>
  <c r="D176" i="7"/>
  <c r="G427" i="6"/>
  <c r="H427" i="6" s="1"/>
  <c r="D226" i="7"/>
  <c r="G438" i="6"/>
  <c r="H438" i="6" s="1"/>
  <c r="D401" i="7"/>
  <c r="G449" i="6"/>
  <c r="H449" i="6" s="1"/>
  <c r="D118" i="7"/>
  <c r="G460" i="6"/>
  <c r="H460" i="6" s="1"/>
  <c r="D230" i="7"/>
  <c r="G471" i="6"/>
  <c r="H471" i="6" s="1"/>
  <c r="D344" i="7"/>
  <c r="G482" i="6"/>
  <c r="H482" i="6" s="1"/>
  <c r="D61" i="7"/>
  <c r="G493" i="6"/>
  <c r="H493" i="6" s="1"/>
  <c r="D234" i="7"/>
  <c r="G504" i="6"/>
  <c r="H504" i="6" s="1"/>
  <c r="G532" i="6"/>
  <c r="F533" i="6"/>
  <c r="O528" i="6" s="1"/>
  <c r="I528" i="6"/>
  <c r="F528" i="6"/>
  <c r="I531" i="6"/>
  <c r="H534" i="6"/>
  <c r="I530" i="6"/>
  <c r="H530" i="6"/>
  <c r="G531" i="6"/>
  <c r="F532" i="6"/>
  <c r="O531" i="6" s="1"/>
  <c r="I527" i="6"/>
  <c r="I534" i="6"/>
  <c r="H529" i="6"/>
  <c r="H533" i="6"/>
  <c r="G529" i="6"/>
  <c r="F527" i="6"/>
  <c r="O530" i="6" s="1"/>
  <c r="G534" i="6"/>
  <c r="G530" i="6"/>
  <c r="F530" i="6"/>
  <c r="O529" i="6" s="1"/>
  <c r="F531" i="6"/>
  <c r="O533" i="6" s="1"/>
  <c r="I533" i="6"/>
  <c r="H528" i="6"/>
  <c r="H532" i="6"/>
  <c r="G528" i="6"/>
  <c r="G533" i="6"/>
  <c r="F534" i="6"/>
  <c r="O532" i="6" s="1"/>
  <c r="I529" i="6"/>
  <c r="F529" i="6"/>
  <c r="O527" i="6" s="1"/>
  <c r="I532" i="6"/>
  <c r="H527" i="6"/>
  <c r="H531" i="6"/>
  <c r="G527" i="6"/>
  <c r="D295" i="7"/>
  <c r="G559" i="6"/>
  <c r="H559" i="6" s="1"/>
  <c r="D405" i="7"/>
  <c r="G570" i="6"/>
  <c r="H570" i="6" s="1"/>
  <c r="D122" i="7"/>
  <c r="G581" i="6"/>
  <c r="H581" i="6" s="1"/>
  <c r="D409" i="7"/>
  <c r="G592" i="6"/>
  <c r="H592" i="6" s="1"/>
  <c r="D299" i="7"/>
  <c r="G603" i="6"/>
  <c r="H603" i="6" s="1"/>
  <c r="D238" i="7"/>
  <c r="D180" i="7"/>
  <c r="G625" i="6"/>
  <c r="H625" i="6" s="1"/>
  <c r="D480" i="7"/>
  <c r="D93" i="7"/>
  <c r="D490" i="7"/>
  <c r="D200" i="7"/>
  <c r="D495" i="7"/>
  <c r="D314" i="7"/>
  <c r="D428" i="7"/>
  <c r="D500" i="7"/>
  <c r="D505" i="7"/>
  <c r="D146" i="7"/>
  <c r="D510" i="7"/>
  <c r="D257" i="7"/>
  <c r="D168" i="3"/>
  <c r="V57" i="3" s="1"/>
  <c r="D11" i="7"/>
  <c r="G31" i="6"/>
  <c r="H31" i="6" s="1"/>
  <c r="D267" i="7"/>
  <c r="G64" i="6"/>
  <c r="H64" i="6" s="1"/>
  <c r="D324" i="7"/>
  <c r="G97" i="6"/>
  <c r="H97" i="6" s="1"/>
  <c r="D106" i="7"/>
  <c r="G141" i="6"/>
  <c r="H141" i="6" s="1"/>
  <c r="D279" i="7"/>
  <c r="G196" i="6"/>
  <c r="H196" i="6" s="1"/>
  <c r="D218" i="7"/>
  <c r="G229" i="6"/>
  <c r="H229" i="6" s="1"/>
  <c r="F87" i="7"/>
  <c r="F78" i="7"/>
  <c r="F39" i="7"/>
  <c r="F84" i="7"/>
  <c r="F81" i="7"/>
  <c r="H84" i="3"/>
  <c r="D36" i="5" s="1"/>
  <c r="F55" i="7"/>
  <c r="D64" i="6"/>
  <c r="S33" i="3"/>
  <c r="C138" i="9"/>
  <c r="D108" i="6"/>
  <c r="W20" i="3"/>
  <c r="C22" i="9"/>
  <c r="D141" i="6"/>
  <c r="V19" i="3"/>
  <c r="B33" i="9"/>
  <c r="C103" i="7"/>
  <c r="I20" i="6"/>
  <c r="V10" i="3"/>
  <c r="B9" i="9"/>
  <c r="C12" i="7"/>
  <c r="I31" i="6"/>
  <c r="R10" i="3"/>
  <c r="B90" i="9"/>
  <c r="C54" i="7"/>
  <c r="I42" i="6"/>
  <c r="R19" i="3"/>
  <c r="B105" i="9"/>
  <c r="C157" i="7"/>
  <c r="I53" i="6"/>
  <c r="C36" i="5"/>
  <c r="B127" i="9"/>
  <c r="C268" i="7"/>
  <c r="I64" i="6"/>
  <c r="V32" i="3"/>
  <c r="B56" i="9"/>
  <c r="C211" i="7"/>
  <c r="I75" i="6"/>
  <c r="R46" i="3"/>
  <c r="B150" i="9"/>
  <c r="C382" i="7"/>
  <c r="I86" i="6"/>
  <c r="V46" i="3"/>
  <c r="B79" i="9"/>
  <c r="C325" i="7"/>
  <c r="I97" i="6"/>
  <c r="R33" i="3"/>
  <c r="B138" i="9"/>
  <c r="C272" i="7"/>
  <c r="I108" i="6"/>
  <c r="R47" i="3"/>
  <c r="B162" i="9"/>
  <c r="C386" i="7"/>
  <c r="I119" i="6"/>
  <c r="C20" i="5"/>
  <c r="B106" i="9"/>
  <c r="C161" i="7"/>
  <c r="I130" i="6"/>
  <c r="V20" i="3"/>
  <c r="B22" i="9"/>
  <c r="C107" i="7"/>
  <c r="I141" i="6"/>
  <c r="C38" i="5"/>
  <c r="B128" i="9"/>
  <c r="C276" i="7"/>
  <c r="I152" i="6"/>
  <c r="C9" i="4"/>
  <c r="B10" i="9"/>
  <c r="C16" i="7"/>
  <c r="I163" i="6"/>
  <c r="C21" i="4"/>
  <c r="B23" i="9"/>
  <c r="C111" i="7"/>
  <c r="I174" i="6"/>
  <c r="V33" i="3"/>
  <c r="B44" i="9"/>
  <c r="C215" i="7"/>
  <c r="I185" i="6"/>
  <c r="C39" i="5"/>
  <c r="B139" i="9"/>
  <c r="C280" i="7"/>
  <c r="I196" i="6"/>
  <c r="V47" i="3"/>
  <c r="B67" i="9"/>
  <c r="C329" i="7"/>
  <c r="I207" i="6"/>
  <c r="R48" i="3"/>
  <c r="B151" i="9"/>
  <c r="C390" i="7"/>
  <c r="I218" i="6"/>
  <c r="V34" i="3"/>
  <c r="B45" i="9"/>
  <c r="C219" i="7"/>
  <c r="I229" i="6"/>
  <c r="C40" i="5"/>
  <c r="B140" i="9"/>
  <c r="C284" i="7"/>
  <c r="I240" i="6"/>
  <c r="C39" i="4"/>
  <c r="B57" i="9"/>
  <c r="C223" i="7"/>
  <c r="I251" i="6"/>
  <c r="V48" i="3"/>
  <c r="B80" i="9"/>
  <c r="C333" i="7"/>
  <c r="I262" i="6"/>
  <c r="V22" i="3"/>
  <c r="B34" i="9"/>
  <c r="C115" i="7"/>
  <c r="I273" i="6"/>
  <c r="S21" i="3"/>
  <c r="C107" i="9"/>
  <c r="D284" i="6"/>
  <c r="C129" i="9"/>
  <c r="D295" i="6"/>
  <c r="H110" i="3"/>
  <c r="W49" i="3" s="1"/>
  <c r="F59" i="7"/>
  <c r="H111" i="3"/>
  <c r="C152" i="9" s="1"/>
  <c r="H114" i="3"/>
  <c r="C69" i="15" s="1"/>
  <c r="F21" i="7"/>
  <c r="H115" i="3"/>
  <c r="C81" i="15" s="1"/>
  <c r="S23" i="3"/>
  <c r="C108" i="9"/>
  <c r="D394" i="6"/>
  <c r="S38" i="3"/>
  <c r="C130" i="9"/>
  <c r="D405" i="6"/>
  <c r="C163" i="9"/>
  <c r="D416" i="6"/>
  <c r="S24" i="3"/>
  <c r="C117" i="9"/>
  <c r="D427" i="6"/>
  <c r="W36" i="3"/>
  <c r="C58" i="9"/>
  <c r="D438" i="6"/>
  <c r="D59" i="5"/>
  <c r="D449" i="6"/>
  <c r="D460" i="6"/>
  <c r="H125" i="3"/>
  <c r="W51" i="3" s="1"/>
  <c r="F63" i="7"/>
  <c r="C59" i="9"/>
  <c r="D504" i="6"/>
  <c r="C131" i="9"/>
  <c r="D559" i="6"/>
  <c r="S52" i="3"/>
  <c r="C154" i="9"/>
  <c r="D570" i="6"/>
  <c r="W24" i="3"/>
  <c r="C35" i="9"/>
  <c r="D581" i="6"/>
  <c r="C164" i="9"/>
  <c r="D592" i="6"/>
  <c r="S40" i="3"/>
  <c r="C141" i="9"/>
  <c r="D603" i="6"/>
  <c r="W39" i="3"/>
  <c r="D348" i="7"/>
  <c r="G636" i="6"/>
  <c r="H636" i="6" s="1"/>
  <c r="D65" i="7"/>
  <c r="G647" i="6"/>
  <c r="H647" i="6" s="1"/>
  <c r="G658" i="6"/>
  <c r="H658" i="6" s="1"/>
  <c r="D413" i="7"/>
  <c r="G669" i="6"/>
  <c r="H669" i="6" s="1"/>
  <c r="D23" i="7"/>
  <c r="G680" i="6"/>
  <c r="H680" i="6" s="1"/>
  <c r="G691" i="6"/>
  <c r="H691" i="6" s="1"/>
  <c r="D184" i="7"/>
  <c r="G702" i="6"/>
  <c r="H702" i="6" s="1"/>
  <c r="D126" i="7"/>
  <c r="G713" i="6"/>
  <c r="H713" i="6" s="1"/>
  <c r="D188" i="7"/>
  <c r="G724" i="6"/>
  <c r="H724" i="6" s="1"/>
  <c r="D242" i="7"/>
  <c r="G735" i="6"/>
  <c r="H735" i="6" s="1"/>
  <c r="D352" i="7"/>
  <c r="G746" i="6"/>
  <c r="H746" i="6" s="1"/>
  <c r="D303" i="7"/>
  <c r="G757" i="6"/>
  <c r="H757" i="6" s="1"/>
  <c r="G768" i="6"/>
  <c r="H768" i="6" s="1"/>
  <c r="D417" i="7"/>
  <c r="G779" i="6"/>
  <c r="H779" i="6" s="1"/>
  <c r="D130" i="7"/>
  <c r="G790" i="6"/>
  <c r="H790" i="6" s="1"/>
  <c r="D246" i="7"/>
  <c r="D356" i="7"/>
  <c r="G801" i="6"/>
  <c r="H801" i="6" s="1"/>
  <c r="G812" i="6"/>
  <c r="H812" i="6" s="1"/>
  <c r="D134" i="7"/>
  <c r="G823" i="6"/>
  <c r="H823" i="6" s="1"/>
  <c r="D360" i="7"/>
  <c r="D421" i="7"/>
  <c r="G834" i="6"/>
  <c r="H834" i="6" s="1"/>
  <c r="G845" i="6"/>
  <c r="H845" i="6" s="1"/>
  <c r="D250" i="7"/>
  <c r="G856" i="6"/>
  <c r="H856" i="6" s="1"/>
  <c r="D307" i="7"/>
  <c r="G867" i="6"/>
  <c r="H867" i="6" s="1"/>
  <c r="D138" i="7"/>
  <c r="G878" i="6"/>
  <c r="H878" i="6" s="1"/>
  <c r="D192" i="7"/>
  <c r="G889" i="6"/>
  <c r="H889" i="6" s="1"/>
  <c r="D364" i="7"/>
  <c r="G900" i="6"/>
  <c r="H900" i="6" s="1"/>
  <c r="D478" i="7"/>
  <c r="F477" i="7" s="1"/>
  <c r="D91" i="7"/>
  <c r="D488" i="7"/>
  <c r="F487" i="7" s="1"/>
  <c r="G911" i="6"/>
  <c r="H911" i="6" s="1"/>
  <c r="D198" i="7"/>
  <c r="D493" i="7"/>
  <c r="F492" i="7" s="1"/>
  <c r="D312" i="7"/>
  <c r="G922" i="6"/>
  <c r="H922" i="6" s="1"/>
  <c r="G933" i="6"/>
  <c r="H933" i="6" s="1"/>
  <c r="D426" i="7"/>
  <c r="D498" i="7"/>
  <c r="F497" i="7" s="1"/>
  <c r="D503" i="7"/>
  <c r="F502" i="7" s="1"/>
  <c r="G944" i="6"/>
  <c r="H944" i="6" s="1"/>
  <c r="D144" i="7"/>
  <c r="G955" i="6"/>
  <c r="H955" i="6" s="1"/>
  <c r="D508" i="7"/>
  <c r="F507" i="7" s="1"/>
  <c r="D255" i="7"/>
  <c r="E168" i="3"/>
  <c r="D515" i="7" s="1"/>
  <c r="D210" i="7"/>
  <c r="G75" i="6"/>
  <c r="H75" i="6" s="1"/>
  <c r="D385" i="7"/>
  <c r="G119" i="6"/>
  <c r="H119" i="6" s="1"/>
  <c r="D15" i="7"/>
  <c r="G163" i="6"/>
  <c r="H163" i="6" s="1"/>
  <c r="D328" i="7"/>
  <c r="G207" i="6"/>
  <c r="H207" i="6" s="1"/>
  <c r="D222" i="7"/>
  <c r="G251" i="6"/>
  <c r="H251" i="6" s="1"/>
  <c r="H82" i="3"/>
  <c r="W32" i="3"/>
  <c r="C56" i="9"/>
  <c r="D75" i="6"/>
  <c r="W46" i="3"/>
  <c r="C79" i="9"/>
  <c r="D97" i="6"/>
  <c r="S20" i="3"/>
  <c r="C106" i="9"/>
  <c r="D130" i="6"/>
  <c r="D104" i="7"/>
  <c r="R21" i="3"/>
  <c r="B107" i="9"/>
  <c r="C165" i="7"/>
  <c r="I284" i="6"/>
  <c r="R37" i="3"/>
  <c r="B129" i="9"/>
  <c r="C288" i="7"/>
  <c r="I295" i="6"/>
  <c r="V49" i="3"/>
  <c r="B68" i="9"/>
  <c r="C337" i="7"/>
  <c r="I306" i="6"/>
  <c r="R49" i="3"/>
  <c r="B152" i="9"/>
  <c r="C394" i="7"/>
  <c r="I317" i="6"/>
  <c r="C9" i="5"/>
  <c r="B91" i="9"/>
  <c r="C58" i="7"/>
  <c r="I328" i="6"/>
  <c r="B95" i="9"/>
  <c r="I339" i="6"/>
  <c r="C22" i="5"/>
  <c r="B116" i="9"/>
  <c r="C169" i="7"/>
  <c r="I350" i="6"/>
  <c r="V50" i="3"/>
  <c r="B81" i="9"/>
  <c r="C341" i="7"/>
  <c r="I361" i="6"/>
  <c r="V12" i="3"/>
  <c r="B11" i="9"/>
  <c r="C20" i="7"/>
  <c r="I372" i="6"/>
  <c r="V13" i="3"/>
  <c r="I383" i="6"/>
  <c r="C23" i="5"/>
  <c r="B108" i="9"/>
  <c r="C173" i="7"/>
  <c r="I394" i="6"/>
  <c r="R38" i="3"/>
  <c r="B130" i="9"/>
  <c r="C292" i="7"/>
  <c r="I405" i="6"/>
  <c r="C58" i="5"/>
  <c r="B163" i="9"/>
  <c r="C398" i="7"/>
  <c r="I416" i="6"/>
  <c r="C24" i="5"/>
  <c r="B117" i="9"/>
  <c r="C177" i="7"/>
  <c r="I427" i="6"/>
  <c r="V36" i="3"/>
  <c r="B58" i="9"/>
  <c r="C227" i="7"/>
  <c r="I438" i="6"/>
  <c r="R51" i="3"/>
  <c r="B153" i="9"/>
  <c r="C402" i="7"/>
  <c r="I449" i="6"/>
  <c r="V23" i="3"/>
  <c r="B24" i="9"/>
  <c r="C119" i="7"/>
  <c r="I460" i="6"/>
  <c r="V37" i="3"/>
  <c r="B46" i="9"/>
  <c r="C231" i="7"/>
  <c r="I471" i="6"/>
  <c r="V51" i="3"/>
  <c r="B69" i="9"/>
  <c r="C345" i="7"/>
  <c r="I482" i="6"/>
  <c r="R13" i="3"/>
  <c r="B92" i="9"/>
  <c r="C62" i="7"/>
  <c r="I493" i="6"/>
  <c r="C42" i="4"/>
  <c r="B59" i="9"/>
  <c r="C235" i="7"/>
  <c r="I504" i="6"/>
  <c r="R39" i="3"/>
  <c r="B131" i="9"/>
  <c r="C296" i="7"/>
  <c r="I559" i="6"/>
  <c r="R52" i="3"/>
  <c r="B154" i="9"/>
  <c r="C406" i="7"/>
  <c r="I570" i="6"/>
  <c r="V24" i="3"/>
  <c r="B35" i="9"/>
  <c r="C123" i="7"/>
  <c r="I581" i="6"/>
  <c r="C61" i="5"/>
  <c r="B164" i="9"/>
  <c r="C410" i="7"/>
  <c r="I592" i="6"/>
  <c r="C44" i="5"/>
  <c r="B141" i="9"/>
  <c r="C300" i="7"/>
  <c r="I603" i="6"/>
  <c r="C43" i="4"/>
  <c r="B47" i="9"/>
  <c r="C239" i="7"/>
  <c r="R25" i="3"/>
  <c r="B118" i="9"/>
  <c r="C181" i="7"/>
  <c r="I625" i="6"/>
  <c r="H139" i="3"/>
  <c r="D61" i="5" s="1"/>
  <c r="F67" i="7"/>
  <c r="H140" i="3"/>
  <c r="C119" i="9" s="1"/>
  <c r="H142" i="3"/>
  <c r="W40" i="3" s="1"/>
  <c r="F25" i="7"/>
  <c r="H143" i="3"/>
  <c r="C114" i="15" s="1"/>
  <c r="C109" i="9"/>
  <c r="D702" i="6"/>
  <c r="D713" i="6"/>
  <c r="S27" i="3"/>
  <c r="D724" i="6"/>
  <c r="D735" i="6"/>
  <c r="D746" i="6"/>
  <c r="S41" i="3"/>
  <c r="C132" i="9"/>
  <c r="D757" i="6"/>
  <c r="S55" i="3"/>
  <c r="C155" i="9"/>
  <c r="D768" i="6"/>
  <c r="C25" i="9"/>
  <c r="D779" i="6"/>
  <c r="W41" i="3"/>
  <c r="C48" i="9"/>
  <c r="D790" i="6"/>
  <c r="D801" i="6"/>
  <c r="W27" i="3"/>
  <c r="C26" i="9"/>
  <c r="D812" i="6"/>
  <c r="C83" i="9"/>
  <c r="D823" i="6"/>
  <c r="S56" i="3"/>
  <c r="C166" i="9"/>
  <c r="D834" i="6"/>
  <c r="W42" i="3"/>
  <c r="C49" i="9"/>
  <c r="D845" i="6"/>
  <c r="S42" i="3"/>
  <c r="C142" i="9"/>
  <c r="D856" i="6"/>
  <c r="W28" i="3"/>
  <c r="C37" i="9"/>
  <c r="D867" i="6"/>
  <c r="S28" i="3"/>
  <c r="C120" i="9"/>
  <c r="D878" i="6"/>
  <c r="C72" i="9"/>
  <c r="D889" i="6"/>
  <c r="D13" i="5"/>
  <c r="C97" i="9"/>
  <c r="D900" i="6"/>
  <c r="C112" i="9"/>
  <c r="D911" i="6"/>
  <c r="S43" i="3"/>
  <c r="C134" i="9"/>
  <c r="D922" i="6"/>
  <c r="S57" i="3"/>
  <c r="C158" i="9"/>
  <c r="D933" i="6"/>
  <c r="C29" i="9"/>
  <c r="F168" i="3"/>
  <c r="D513" i="7" s="1"/>
  <c r="F512" i="7" s="1"/>
  <c r="C20" i="4"/>
  <c r="C23" i="4"/>
  <c r="C63" i="4"/>
  <c r="C13" i="5"/>
  <c r="V11" i="3"/>
  <c r="R20" i="3"/>
  <c r="C8" i="4"/>
  <c r="C27" i="4"/>
  <c r="C11" i="5"/>
  <c r="D28" i="5"/>
  <c r="D63" i="5"/>
  <c r="R12" i="3"/>
  <c r="V21" i="3"/>
  <c r="R34" i="3"/>
  <c r="D65" i="5"/>
  <c r="C59" i="4"/>
  <c r="S29" i="3"/>
  <c r="D29" i="5"/>
  <c r="D43" i="5"/>
  <c r="S39" i="3"/>
  <c r="D24" i="5"/>
  <c r="D42" i="5"/>
  <c r="C10" i="4"/>
  <c r="C11" i="4"/>
  <c r="C19" i="4"/>
  <c r="C25" i="4"/>
  <c r="D29" i="4"/>
  <c r="C44" i="4"/>
  <c r="C55" i="4"/>
  <c r="D20" i="5"/>
  <c r="D23" i="5"/>
  <c r="D44" i="5"/>
  <c r="D57" i="5"/>
  <c r="C12" i="4"/>
  <c r="D27" i="5"/>
  <c r="R11" i="3"/>
  <c r="R26" i="3"/>
  <c r="V35" i="3"/>
  <c r="C46" i="4"/>
  <c r="C57" i="4"/>
  <c r="D38" i="5"/>
  <c r="D46" i="5"/>
  <c r="W25" i="3"/>
  <c r="D25" i="4"/>
  <c r="S37" i="3"/>
  <c r="D41" i="5"/>
  <c r="W33" i="3"/>
  <c r="D37" i="4"/>
  <c r="W55" i="3"/>
  <c r="D63" i="4"/>
  <c r="W56" i="3"/>
  <c r="D64" i="4"/>
  <c r="C40" i="4"/>
  <c r="R32" i="3"/>
  <c r="V41" i="3"/>
  <c r="S51" i="3"/>
  <c r="D20" i="4"/>
  <c r="D22" i="4"/>
  <c r="D24" i="4"/>
  <c r="D27" i="4"/>
  <c r="D28" i="4"/>
  <c r="D36" i="4"/>
  <c r="D40" i="4"/>
  <c r="D46" i="4"/>
  <c r="D55" i="4"/>
  <c r="C37" i="5"/>
  <c r="C41" i="5"/>
  <c r="C43" i="5"/>
  <c r="C45" i="5"/>
  <c r="C47" i="5"/>
  <c r="C54" i="5"/>
  <c r="C56" i="5"/>
  <c r="C60" i="5"/>
  <c r="C62" i="5"/>
  <c r="C64" i="5"/>
  <c r="C22" i="4"/>
  <c r="C24" i="4"/>
  <c r="C36" i="4"/>
  <c r="C61" i="4"/>
  <c r="D21" i="5"/>
  <c r="R24" i="3"/>
  <c r="R36" i="3"/>
  <c r="V39" i="3"/>
  <c r="V52" i="3"/>
  <c r="C37" i="4"/>
  <c r="C41" i="4"/>
  <c r="C54" i="4"/>
  <c r="C56" i="4"/>
  <c r="C58" i="4"/>
  <c r="C62" i="4"/>
  <c r="C64" i="4"/>
  <c r="C8" i="5"/>
  <c r="C10" i="5"/>
  <c r="D37" i="5"/>
  <c r="D39" i="5"/>
  <c r="D45" i="5"/>
  <c r="D47" i="5"/>
  <c r="D54" i="5"/>
  <c r="D56" i="5"/>
  <c r="D60" i="5"/>
  <c r="D64" i="5"/>
  <c r="C38" i="4"/>
  <c r="R40" i="3"/>
  <c r="R53" i="3"/>
  <c r="D39" i="4"/>
  <c r="D43" i="4"/>
  <c r="D45" i="4"/>
  <c r="D54" i="4"/>
  <c r="D56" i="4"/>
  <c r="C19" i="5"/>
  <c r="C21" i="5"/>
  <c r="C25" i="5"/>
  <c r="C29" i="5"/>
  <c r="C42" i="5"/>
  <c r="C55" i="5"/>
  <c r="C57" i="5"/>
  <c r="C59" i="5"/>
  <c r="C65" i="5"/>
  <c r="BA31" i="5"/>
  <c r="BA49" i="5"/>
  <c r="BA67" i="5"/>
  <c r="BA49" i="4"/>
  <c r="BA48" i="4"/>
  <c r="BA66" i="4"/>
  <c r="C169" i="3"/>
  <c r="E169" i="3" s="1"/>
  <c r="W16" i="3"/>
  <c r="S16" i="3"/>
  <c r="H25" i="2"/>
  <c r="F893" i="6" s="1"/>
  <c r="H29" i="2"/>
  <c r="F897" i="6" s="1"/>
  <c r="E24" i="2"/>
  <c r="E25" i="2"/>
  <c r="E28" i="2"/>
  <c r="E29" i="2"/>
  <c r="AB18" i="14" s="1"/>
  <c r="D25" i="2"/>
  <c r="H22" i="2"/>
  <c r="F890" i="6" s="1"/>
  <c r="H30" i="2"/>
  <c r="E22" i="2"/>
  <c r="H23" i="2"/>
  <c r="F891" i="6" s="1"/>
  <c r="D27" i="2"/>
  <c r="D22" i="2"/>
  <c r="D26" i="2"/>
  <c r="H26" i="2"/>
  <c r="F894" i="6" s="1"/>
  <c r="D23" i="2"/>
  <c r="E26" i="2"/>
  <c r="H27" i="2"/>
  <c r="F895" i="6" s="1"/>
  <c r="E30" i="2"/>
  <c r="E23" i="2"/>
  <c r="D24" i="2"/>
  <c r="H24" i="2"/>
  <c r="F892" i="6" s="1"/>
  <c r="P7" i="1"/>
  <c r="P8" i="1" s="1"/>
  <c r="P9" i="1" s="1"/>
  <c r="P10" i="1" s="1"/>
  <c r="P11" i="1" s="1"/>
  <c r="P12" i="1" s="1"/>
  <c r="P13" i="1" s="1"/>
  <c r="P14" i="1" s="1"/>
  <c r="C153" i="9" l="1"/>
  <c r="C96" i="15"/>
  <c r="C66" i="15"/>
  <c r="F40" i="11"/>
  <c r="F74" i="11"/>
  <c r="U486" i="7"/>
  <c r="U484" i="7"/>
  <c r="O485" i="7"/>
  <c r="G485" i="7"/>
  <c r="U94" i="7" s="1"/>
  <c r="M484" i="7"/>
  <c r="Q485" i="7"/>
  <c r="S486" i="7"/>
  <c r="I483" i="7"/>
  <c r="K485" i="7"/>
  <c r="U485" i="7"/>
  <c r="I484" i="7"/>
  <c r="S484" i="7"/>
  <c r="K484" i="7"/>
  <c r="Q484" i="7"/>
  <c r="G483" i="7"/>
  <c r="U92" i="7" s="1"/>
  <c r="O486" i="7"/>
  <c r="I485" i="7"/>
  <c r="K483" i="7"/>
  <c r="Q486" i="7"/>
  <c r="S485" i="7"/>
  <c r="M483" i="7"/>
  <c r="Q483" i="7"/>
  <c r="G484" i="7"/>
  <c r="U93" i="7" s="1"/>
  <c r="I486" i="7"/>
  <c r="M486" i="7"/>
  <c r="O483" i="7"/>
  <c r="O484" i="7"/>
  <c r="G486" i="7"/>
  <c r="U95" i="7" s="1"/>
  <c r="M485" i="7"/>
  <c r="K486" i="7"/>
  <c r="S483" i="7"/>
  <c r="U483" i="7"/>
  <c r="C47" i="9"/>
  <c r="AG38" i="8"/>
  <c r="F896" i="6"/>
  <c r="W38" i="3"/>
  <c r="S50" i="3"/>
  <c r="D58" i="5"/>
  <c r="D42" i="4"/>
  <c r="D9" i="5"/>
  <c r="D23" i="4"/>
  <c r="D55" i="5"/>
  <c r="S47" i="3"/>
  <c r="C9" i="12"/>
  <c r="D38" i="4"/>
  <c r="C162" i="9"/>
  <c r="D57" i="4"/>
  <c r="F60" i="11"/>
  <c r="D482" i="6"/>
  <c r="D669" i="6"/>
  <c r="W23" i="3"/>
  <c r="C60" i="9"/>
  <c r="F70" i="11"/>
  <c r="D44" i="4"/>
  <c r="D152" i="6"/>
  <c r="C37" i="12"/>
  <c r="C24" i="9"/>
  <c r="C15" i="12"/>
  <c r="C36" i="12"/>
  <c r="C63" i="15"/>
  <c r="F39" i="11"/>
  <c r="C36" i="9"/>
  <c r="D229" i="6"/>
  <c r="D19" i="5"/>
  <c r="F43" i="11"/>
  <c r="C45" i="9"/>
  <c r="F76" i="11"/>
  <c r="B28" i="16"/>
  <c r="C51" i="15"/>
  <c r="W34" i="3"/>
  <c r="B49" i="16"/>
  <c r="F37" i="11"/>
  <c r="S53" i="3"/>
  <c r="D31" i="13"/>
  <c r="C90" i="15"/>
  <c r="D14" i="13"/>
  <c r="Z128" i="15"/>
  <c r="AD128" i="15"/>
  <c r="W12" i="12"/>
  <c r="X12" i="12"/>
  <c r="Z79" i="15"/>
  <c r="Z80" i="15"/>
  <c r="E17" i="2"/>
  <c r="P3" i="6" s="1"/>
  <c r="X11" i="12"/>
  <c r="C180" i="6"/>
  <c r="AD180" i="6" s="1"/>
  <c r="Y80" i="15"/>
  <c r="K16" i="12"/>
  <c r="X24" i="12"/>
  <c r="L16" i="12"/>
  <c r="AD118" i="15"/>
  <c r="AA119" i="15"/>
  <c r="X23" i="12"/>
  <c r="Z119" i="15"/>
  <c r="W24" i="12"/>
  <c r="AB118" i="15"/>
  <c r="AB119" i="15"/>
  <c r="AA118" i="15"/>
  <c r="AF119" i="15"/>
  <c r="AD119" i="15"/>
  <c r="L15" i="12"/>
  <c r="Z118" i="15"/>
  <c r="AF118" i="15"/>
  <c r="AC119" i="15"/>
  <c r="AE119" i="15"/>
  <c r="J28" i="12"/>
  <c r="AC118" i="15"/>
  <c r="Y119" i="15"/>
  <c r="Y118" i="15"/>
  <c r="T11" i="12"/>
  <c r="Z134" i="15"/>
  <c r="Z107" i="15"/>
  <c r="AF107" i="15"/>
  <c r="AB134" i="15"/>
  <c r="AD107" i="15"/>
  <c r="AF80" i="15"/>
  <c r="AC133" i="15"/>
  <c r="Z100" i="15"/>
  <c r="AB79" i="15"/>
  <c r="AC79" i="15"/>
  <c r="AD146" i="15"/>
  <c r="Z146" i="15"/>
  <c r="Q24" i="12"/>
  <c r="R24" i="12"/>
  <c r="P12" i="12"/>
  <c r="T31" i="12"/>
  <c r="P15" i="12"/>
  <c r="AF145" i="15"/>
  <c r="AC145" i="15"/>
  <c r="AE146" i="15"/>
  <c r="AF127" i="15"/>
  <c r="M24" i="12"/>
  <c r="AD145" i="15"/>
  <c r="AB146" i="15"/>
  <c r="R23" i="12"/>
  <c r="N23" i="12"/>
  <c r="Y128" i="15"/>
  <c r="N24" i="12"/>
  <c r="R12" i="12"/>
  <c r="AA146" i="15"/>
  <c r="AA145" i="15"/>
  <c r="Y146" i="15"/>
  <c r="AF146" i="15"/>
  <c r="AB145" i="15"/>
  <c r="AC128" i="15"/>
  <c r="AE128" i="15"/>
  <c r="T32" i="12"/>
  <c r="P16" i="12"/>
  <c r="T12" i="12"/>
  <c r="J27" i="12"/>
  <c r="Y145" i="15"/>
  <c r="AC146" i="15"/>
  <c r="Z145" i="15"/>
  <c r="S32" i="12"/>
  <c r="AF128" i="15"/>
  <c r="AD80" i="15"/>
  <c r="Y79" i="15"/>
  <c r="AB100" i="15"/>
  <c r="AA133" i="15"/>
  <c r="Z133" i="15"/>
  <c r="AD79" i="15"/>
  <c r="AA79" i="15"/>
  <c r="AA97" i="15"/>
  <c r="AA80" i="15"/>
  <c r="AF133" i="15"/>
  <c r="AD101" i="15"/>
  <c r="AE80" i="15"/>
  <c r="Z101" i="15"/>
  <c r="AE79" i="15"/>
  <c r="AC80" i="15"/>
  <c r="Z97" i="15"/>
  <c r="AF79" i="15"/>
  <c r="AB80" i="15"/>
  <c r="AB136" i="15"/>
  <c r="K24" i="12"/>
  <c r="Z110" i="15"/>
  <c r="AE137" i="15"/>
  <c r="AB109" i="15"/>
  <c r="AD136" i="15"/>
  <c r="AF110" i="15"/>
  <c r="Z137" i="15"/>
  <c r="AF124" i="15"/>
  <c r="AC110" i="15"/>
  <c r="C202" i="6"/>
  <c r="AD202" i="6" s="1"/>
  <c r="C334" i="6"/>
  <c r="AD334" i="6" s="1"/>
  <c r="C213" i="6"/>
  <c r="AD213" i="6" s="1"/>
  <c r="C224" i="6"/>
  <c r="AD224" i="6" s="1"/>
  <c r="C257" i="6"/>
  <c r="AD257" i="6" s="1"/>
  <c r="C576" i="6"/>
  <c r="AD576" i="6" s="1"/>
  <c r="C609" i="6"/>
  <c r="AD609" i="6" s="1"/>
  <c r="C191" i="6"/>
  <c r="AD191" i="6" s="1"/>
  <c r="C983" i="6"/>
  <c r="AD983" i="6" s="1"/>
  <c r="C620" i="6"/>
  <c r="AD620" i="6" s="1"/>
  <c r="C653" i="6"/>
  <c r="AD653" i="6" s="1"/>
  <c r="C323" i="6"/>
  <c r="AD323" i="6" s="1"/>
  <c r="C906" i="6"/>
  <c r="AD906" i="6" s="1"/>
  <c r="C521" i="6"/>
  <c r="AD521" i="6" s="1"/>
  <c r="C598" i="6"/>
  <c r="AD598" i="6" s="1"/>
  <c r="C356" i="6"/>
  <c r="AD356" i="6" s="1"/>
  <c r="C752" i="6"/>
  <c r="AD752" i="6" s="1"/>
  <c r="C389" i="6"/>
  <c r="AD389" i="6" s="1"/>
  <c r="C37" i="6"/>
  <c r="AD37" i="6" s="1"/>
  <c r="C587" i="6"/>
  <c r="AD587" i="6" s="1"/>
  <c r="C873" i="6"/>
  <c r="AD873" i="6" s="1"/>
  <c r="C1038" i="6"/>
  <c r="AD1038" i="6" s="1"/>
  <c r="C48" i="6"/>
  <c r="AD48" i="6" s="1"/>
  <c r="C400" i="6"/>
  <c r="AD400" i="6" s="1"/>
  <c r="C81" i="6"/>
  <c r="AD81" i="6" s="1"/>
  <c r="C433" i="6"/>
  <c r="AD433" i="6" s="1"/>
  <c r="C70" i="6"/>
  <c r="AD70" i="6" s="1"/>
  <c r="C730" i="6"/>
  <c r="AD730" i="6" s="1"/>
  <c r="C719" i="6"/>
  <c r="AD719" i="6" s="1"/>
  <c r="C884" i="6"/>
  <c r="AD884" i="6" s="1"/>
  <c r="C1093" i="6"/>
  <c r="AD1093" i="6" s="1"/>
  <c r="C17" i="2"/>
  <c r="P4" i="6" s="1"/>
  <c r="C92" i="6"/>
  <c r="AD92" i="6" s="1"/>
  <c r="C268" i="6"/>
  <c r="AD268" i="6" s="1"/>
  <c r="C444" i="6"/>
  <c r="AD444" i="6" s="1"/>
  <c r="C664" i="6"/>
  <c r="AD664" i="6" s="1"/>
  <c r="C125" i="6"/>
  <c r="AD125" i="6" s="1"/>
  <c r="C301" i="6"/>
  <c r="AD301" i="6" s="1"/>
  <c r="C477" i="6"/>
  <c r="AD477" i="6" s="1"/>
  <c r="C697" i="6"/>
  <c r="AD697" i="6" s="1"/>
  <c r="C114" i="6"/>
  <c r="AD114" i="6" s="1"/>
  <c r="C378" i="6"/>
  <c r="AD378" i="6" s="1"/>
  <c r="C26" i="6"/>
  <c r="AD26" i="6" s="1"/>
  <c r="C367" i="6"/>
  <c r="AD367" i="6" s="1"/>
  <c r="C763" i="6"/>
  <c r="AD763" i="6" s="1"/>
  <c r="C774" i="6"/>
  <c r="AD774" i="6" s="1"/>
  <c r="C807" i="6"/>
  <c r="AD807" i="6" s="1"/>
  <c r="C961" i="6"/>
  <c r="AD961" i="6" s="1"/>
  <c r="Y11" i="8"/>
  <c r="Y24" i="8" s="1"/>
  <c r="AE24" i="8" s="1"/>
  <c r="C136" i="6"/>
  <c r="AD136" i="6" s="1"/>
  <c r="C312" i="6"/>
  <c r="AD312" i="6" s="1"/>
  <c r="C488" i="6"/>
  <c r="AD488" i="6" s="1"/>
  <c r="C708" i="6"/>
  <c r="AD708" i="6" s="1"/>
  <c r="C169" i="6"/>
  <c r="AD169" i="6" s="1"/>
  <c r="C345" i="6"/>
  <c r="AD345" i="6" s="1"/>
  <c r="C565" i="6"/>
  <c r="AD565" i="6" s="1"/>
  <c r="C741" i="6"/>
  <c r="AD741" i="6" s="1"/>
  <c r="C158" i="6"/>
  <c r="AD158" i="6" s="1"/>
  <c r="C510" i="6"/>
  <c r="AD510" i="6" s="1"/>
  <c r="C147" i="6"/>
  <c r="AD147" i="6" s="1"/>
  <c r="C499" i="6"/>
  <c r="AD499" i="6" s="1"/>
  <c r="C818" i="6"/>
  <c r="AD818" i="6" s="1"/>
  <c r="C1016" i="6"/>
  <c r="AD1016" i="6" s="1"/>
  <c r="C1071" i="6"/>
  <c r="AD1071" i="6" s="1"/>
  <c r="H9" i="10"/>
  <c r="C829" i="6"/>
  <c r="AD829" i="6" s="1"/>
  <c r="C972" i="6"/>
  <c r="AD972" i="6" s="1"/>
  <c r="C917" i="6"/>
  <c r="AD917" i="6" s="1"/>
  <c r="C1049" i="6"/>
  <c r="AD1049" i="6" s="1"/>
  <c r="Y127" i="15"/>
  <c r="Y112" i="15"/>
  <c r="Z112" i="15"/>
  <c r="AF113" i="15"/>
  <c r="AD112" i="15"/>
  <c r="AE103" i="15"/>
  <c r="AA127" i="15"/>
  <c r="Z127" i="15"/>
  <c r="AB127" i="15"/>
  <c r="AC127" i="15"/>
  <c r="AB128" i="15"/>
  <c r="AA113" i="15"/>
  <c r="Y113" i="15"/>
  <c r="AF112" i="15"/>
  <c r="AD113" i="15"/>
  <c r="AC112" i="15"/>
  <c r="AE113" i="15"/>
  <c r="AB112" i="15"/>
  <c r="AE112" i="15"/>
  <c r="AD127" i="15"/>
  <c r="AE127" i="15"/>
  <c r="Z113" i="15"/>
  <c r="AC113" i="15"/>
  <c r="AB113" i="15"/>
  <c r="L27" i="12"/>
  <c r="J16" i="12"/>
  <c r="N16" i="12"/>
  <c r="L28" i="12"/>
  <c r="V15" i="12"/>
  <c r="R11" i="12"/>
  <c r="I16" i="12"/>
  <c r="J15" i="12"/>
  <c r="N15" i="12"/>
  <c r="AB11" i="14"/>
  <c r="H3" i="5"/>
  <c r="AA13" i="14"/>
  <c r="Q3" i="5"/>
  <c r="Q3" i="4"/>
  <c r="AB15" i="14"/>
  <c r="AB3" i="5"/>
  <c r="AA11" i="14"/>
  <c r="G3" i="5"/>
  <c r="G3" i="4"/>
  <c r="AB17" i="14"/>
  <c r="AL3" i="5"/>
  <c r="AA18" i="14"/>
  <c r="AP3" i="5"/>
  <c r="AP3" i="4"/>
  <c r="AB12" i="14"/>
  <c r="M3" i="5"/>
  <c r="AA12" i="14"/>
  <c r="L3" i="4"/>
  <c r="L3" i="5"/>
  <c r="AA16" i="14"/>
  <c r="AF3" i="4"/>
  <c r="AF3" i="5"/>
  <c r="AB14" i="14"/>
  <c r="W3" i="5"/>
  <c r="AB16" i="14"/>
  <c r="AG3" i="5"/>
  <c r="AA15" i="14"/>
  <c r="AA3" i="5"/>
  <c r="AA3" i="4"/>
  <c r="AA14" i="14"/>
  <c r="V3" i="5"/>
  <c r="V3" i="4"/>
  <c r="AB13" i="14"/>
  <c r="R3" i="5"/>
  <c r="AK3" i="4"/>
  <c r="AK3" i="5"/>
  <c r="I556" i="6"/>
  <c r="P556" i="6" s="1"/>
  <c r="Y115" i="15"/>
  <c r="D26" i="5"/>
  <c r="F88" i="11"/>
  <c r="F89" i="11"/>
  <c r="F63" i="11"/>
  <c r="F73" i="11"/>
  <c r="F17" i="11"/>
  <c r="AF122" i="15"/>
  <c r="Z116" i="15"/>
  <c r="AB116" i="15"/>
  <c r="AF116" i="15"/>
  <c r="Y104" i="15"/>
  <c r="AD103" i="15"/>
  <c r="Y103" i="15"/>
  <c r="AA106" i="15"/>
  <c r="AB106" i="15"/>
  <c r="Y106" i="15"/>
  <c r="AE106" i="15"/>
  <c r="Y101" i="15"/>
  <c r="AE100" i="15"/>
  <c r="AD100" i="15"/>
  <c r="AA98" i="15"/>
  <c r="AB101" i="15"/>
  <c r="AF98" i="15"/>
  <c r="D26" i="4"/>
  <c r="I538" i="6"/>
  <c r="Y134" i="15"/>
  <c r="AC104" i="15"/>
  <c r="AA104" i="15"/>
  <c r="AC106" i="15"/>
  <c r="AE104" i="15"/>
  <c r="AC134" i="15"/>
  <c r="AB103" i="15"/>
  <c r="Z106" i="15"/>
  <c r="AF106" i="15"/>
  <c r="AA107" i="15"/>
  <c r="AE107" i="15"/>
  <c r="AF104" i="15"/>
  <c r="AE134" i="15"/>
  <c r="AD134" i="15"/>
  <c r="AF100" i="15"/>
  <c r="AA101" i="15"/>
  <c r="AF101" i="15"/>
  <c r="AF103" i="15"/>
  <c r="AE133" i="15"/>
  <c r="AD133" i="15"/>
  <c r="AB107" i="15"/>
  <c r="Y133" i="15"/>
  <c r="Z103" i="15"/>
  <c r="AB133" i="15"/>
  <c r="AD104" i="15"/>
  <c r="AA134" i="15"/>
  <c r="AC103" i="15"/>
  <c r="AD106" i="15"/>
  <c r="Y107" i="15"/>
  <c r="AA103" i="15"/>
  <c r="AC101" i="15"/>
  <c r="Y100" i="15"/>
  <c r="Y116" i="15"/>
  <c r="AD115" i="15"/>
  <c r="AC116" i="15"/>
  <c r="AC115" i="15"/>
  <c r="I518" i="6"/>
  <c r="AE116" i="15"/>
  <c r="AA116" i="15"/>
  <c r="AF115" i="15"/>
  <c r="Z115" i="15"/>
  <c r="G551" i="6"/>
  <c r="I520" i="6"/>
  <c r="AA121" i="15"/>
  <c r="AE131" i="15"/>
  <c r="AE115" i="15"/>
  <c r="AD116" i="15"/>
  <c r="AA115" i="15"/>
  <c r="D61" i="4"/>
  <c r="Z136" i="15"/>
  <c r="AC136" i="15"/>
  <c r="Y136" i="15"/>
  <c r="AD137" i="15"/>
  <c r="AF137" i="15"/>
  <c r="Z125" i="15"/>
  <c r="AC124" i="15"/>
  <c r="Z124" i="15"/>
  <c r="AA124" i="15"/>
  <c r="AB125" i="15"/>
  <c r="AA125" i="15"/>
  <c r="AA110" i="15"/>
  <c r="AC109" i="15"/>
  <c r="Y110" i="15"/>
  <c r="AD110" i="15"/>
  <c r="AC137" i="15"/>
  <c r="AA137" i="15"/>
  <c r="AD124" i="15"/>
  <c r="AE124" i="15"/>
  <c r="AC125" i="15"/>
  <c r="AD125" i="15"/>
  <c r="AB124" i="15"/>
  <c r="AB110" i="15"/>
  <c r="Y109" i="15"/>
  <c r="AD109" i="15"/>
  <c r="AA109" i="15"/>
  <c r="Y137" i="15"/>
  <c r="AB137" i="15"/>
  <c r="AE136" i="15"/>
  <c r="AF136" i="15"/>
  <c r="Y125" i="15"/>
  <c r="AE125" i="15"/>
  <c r="Y124" i="15"/>
  <c r="Z109" i="15"/>
  <c r="AF109" i="15"/>
  <c r="AE110" i="15"/>
  <c r="W54" i="3"/>
  <c r="AE52" i="15"/>
  <c r="AF130" i="15"/>
  <c r="Y53" i="15"/>
  <c r="AC131" i="15"/>
  <c r="D62" i="4"/>
  <c r="Z52" i="15"/>
  <c r="AB53" i="15"/>
  <c r="AE53" i="15"/>
  <c r="Z130" i="15"/>
  <c r="W53" i="3"/>
  <c r="I32" i="12"/>
  <c r="AB95" i="15"/>
  <c r="AC53" i="15"/>
  <c r="Z53" i="15"/>
  <c r="AC95" i="15"/>
  <c r="AD121" i="15"/>
  <c r="AA130" i="15"/>
  <c r="AC130" i="15"/>
  <c r="AB131" i="15"/>
  <c r="AD131" i="15"/>
  <c r="AF53" i="15"/>
  <c r="Y131" i="15"/>
  <c r="AE130" i="15"/>
  <c r="AD130" i="15"/>
  <c r="AA131" i="15"/>
  <c r="AA94" i="15"/>
  <c r="Y130" i="15"/>
  <c r="AB130" i="15"/>
  <c r="Z131" i="15"/>
  <c r="C71" i="9"/>
  <c r="W26" i="3"/>
  <c r="R19" i="12"/>
  <c r="D30" i="13"/>
  <c r="C35" i="12"/>
  <c r="R16" i="12"/>
  <c r="C82" i="9"/>
  <c r="D32" i="13"/>
  <c r="P23" i="12"/>
  <c r="X27" i="12"/>
  <c r="N28" i="12"/>
  <c r="B48" i="16"/>
  <c r="B177" i="15"/>
  <c r="D29" i="13"/>
  <c r="C34" i="12"/>
  <c r="W28" i="12" s="1"/>
  <c r="L12" i="12"/>
  <c r="V16" i="12"/>
  <c r="D177" i="15"/>
  <c r="X181" i="15" s="1"/>
  <c r="B47" i="16"/>
  <c r="AF143" i="15"/>
  <c r="AD143" i="15"/>
  <c r="Y143" i="15"/>
  <c r="AB143" i="15"/>
  <c r="AA143" i="15"/>
  <c r="AA122" i="15"/>
  <c r="Y122" i="15"/>
  <c r="AB121" i="15"/>
  <c r="Y121" i="15"/>
  <c r="AE101" i="15"/>
  <c r="AA100" i="15"/>
  <c r="S26" i="3"/>
  <c r="C246" i="6"/>
  <c r="AD246" i="6" s="1"/>
  <c r="C422" i="6"/>
  <c r="AD422" i="6" s="1"/>
  <c r="C642" i="6"/>
  <c r="AD642" i="6" s="1"/>
  <c r="C59" i="6"/>
  <c r="AD59" i="6" s="1"/>
  <c r="C235" i="6"/>
  <c r="AD235" i="6" s="1"/>
  <c r="C411" i="6"/>
  <c r="AD411" i="6" s="1"/>
  <c r="C631" i="6"/>
  <c r="AD631" i="6" s="1"/>
  <c r="C862" i="6"/>
  <c r="AD862" i="6" s="1"/>
  <c r="C796" i="6"/>
  <c r="AD796" i="6" s="1"/>
  <c r="C851" i="6"/>
  <c r="AD851" i="6" s="1"/>
  <c r="C895" i="6"/>
  <c r="AD895" i="6" s="1"/>
  <c r="C950" i="6"/>
  <c r="AD950" i="6" s="1"/>
  <c r="C1005" i="6"/>
  <c r="AD1005" i="6" s="1"/>
  <c r="C1082" i="6"/>
  <c r="AD1082" i="6" s="1"/>
  <c r="C1060" i="6"/>
  <c r="AD1060" i="6" s="1"/>
  <c r="C543" i="6"/>
  <c r="AD543" i="6" s="1"/>
  <c r="C554" i="6"/>
  <c r="AD554" i="6" s="1"/>
  <c r="C290" i="6"/>
  <c r="AD290" i="6" s="1"/>
  <c r="C466" i="6"/>
  <c r="AD466" i="6" s="1"/>
  <c r="C686" i="6"/>
  <c r="AD686" i="6" s="1"/>
  <c r="C103" i="6"/>
  <c r="AD103" i="6" s="1"/>
  <c r="C279" i="6"/>
  <c r="AD279" i="6" s="1"/>
  <c r="C455" i="6"/>
  <c r="AD455" i="6" s="1"/>
  <c r="C675" i="6"/>
  <c r="AD675" i="6" s="1"/>
  <c r="C785" i="6"/>
  <c r="AD785" i="6" s="1"/>
  <c r="C840" i="6"/>
  <c r="AD840" i="6" s="1"/>
  <c r="C928" i="6"/>
  <c r="AD928" i="6" s="1"/>
  <c r="C939" i="6"/>
  <c r="AD939" i="6" s="1"/>
  <c r="C994" i="6"/>
  <c r="AD994" i="6" s="1"/>
  <c r="C1027" i="6"/>
  <c r="AD1027" i="6" s="1"/>
  <c r="Y37" i="8"/>
  <c r="AE37" i="8" s="1"/>
  <c r="AK37" i="8" s="1"/>
  <c r="C1104" i="6"/>
  <c r="AD1104" i="6" s="1"/>
  <c r="C532" i="6"/>
  <c r="AD532" i="6" s="1"/>
  <c r="W9" i="11"/>
  <c r="AG29" i="4"/>
  <c r="AD171" i="15" s="1"/>
  <c r="AG65" i="4"/>
  <c r="AG47" i="4"/>
  <c r="G17" i="2"/>
  <c r="AA25" i="8"/>
  <c r="AM38" i="8"/>
  <c r="B104" i="6"/>
  <c r="AC104" i="6" s="1"/>
  <c r="AH104" i="6" s="1"/>
  <c r="B82" i="6"/>
  <c r="AC82" i="6" s="1"/>
  <c r="AE82" i="6" s="1"/>
  <c r="B49" i="6"/>
  <c r="AC49" i="6" s="1"/>
  <c r="AG49" i="6" s="1"/>
  <c r="B71" i="6"/>
  <c r="AC71" i="6" s="1"/>
  <c r="AE71" i="6" s="1"/>
  <c r="B280" i="6"/>
  <c r="AC280" i="6" s="1"/>
  <c r="AG280" i="6" s="1"/>
  <c r="B225" i="6"/>
  <c r="AC225" i="6" s="1"/>
  <c r="AE225" i="6" s="1"/>
  <c r="B258" i="6"/>
  <c r="AC258" i="6" s="1"/>
  <c r="AG258" i="6" s="1"/>
  <c r="B247" i="6"/>
  <c r="AC247" i="6" s="1"/>
  <c r="AF247" i="6" s="1"/>
  <c r="AA12" i="8"/>
  <c r="AH25" i="8"/>
  <c r="AA52" i="8"/>
  <c r="B456" i="6"/>
  <c r="AC456" i="6" s="1"/>
  <c r="AF456" i="6" s="1"/>
  <c r="B401" i="6"/>
  <c r="AC401" i="6" s="1"/>
  <c r="AH401" i="6" s="1"/>
  <c r="B434" i="6"/>
  <c r="AC434" i="6" s="1"/>
  <c r="AE434" i="6" s="1"/>
  <c r="B423" i="6"/>
  <c r="AC423" i="6" s="1"/>
  <c r="AG423" i="6" s="1"/>
  <c r="AG12" i="8"/>
  <c r="AA38" i="8"/>
  <c r="AH52" i="8"/>
  <c r="B676" i="6"/>
  <c r="AC676" i="6" s="1"/>
  <c r="AF676" i="6" s="1"/>
  <c r="B621" i="6"/>
  <c r="AC621" i="6" s="1"/>
  <c r="AH621" i="6" s="1"/>
  <c r="B654" i="6"/>
  <c r="AC654" i="6" s="1"/>
  <c r="AE654" i="6" s="1"/>
  <c r="B643" i="6"/>
  <c r="AC643" i="6" s="1"/>
  <c r="AE643" i="6" s="1"/>
  <c r="AM12" i="8"/>
  <c r="D58" i="4"/>
  <c r="R27" i="12"/>
  <c r="AA26" i="15"/>
  <c r="N11" i="12"/>
  <c r="AE95" i="15"/>
  <c r="Y94" i="15"/>
  <c r="AC52" i="15"/>
  <c r="AA53" i="15"/>
  <c r="AF94" i="15"/>
  <c r="Y52" i="15"/>
  <c r="Z95" i="15"/>
  <c r="AD52" i="15"/>
  <c r="AF52" i="15"/>
  <c r="AD53" i="15"/>
  <c r="Z94" i="15"/>
  <c r="AF97" i="15"/>
  <c r="Y98" i="15"/>
  <c r="AD98" i="15"/>
  <c r="Y97" i="15"/>
  <c r="AD97" i="15"/>
  <c r="L32" i="12"/>
  <c r="AF95" i="15"/>
  <c r="AC94" i="15"/>
  <c r="AA95" i="15"/>
  <c r="AD94" i="15"/>
  <c r="Q28" i="12"/>
  <c r="AC97" i="15"/>
  <c r="Z98" i="15"/>
  <c r="AE98" i="15"/>
  <c r="N31" i="12"/>
  <c r="J19" i="12"/>
  <c r="AD95" i="15"/>
  <c r="AB52" i="15"/>
  <c r="AB94" i="15"/>
  <c r="AE94" i="15"/>
  <c r="L23" i="12"/>
  <c r="AE97" i="15"/>
  <c r="AB98" i="15"/>
  <c r="AB97" i="15"/>
  <c r="AD82" i="15"/>
  <c r="D59" i="4"/>
  <c r="L31" i="12"/>
  <c r="Z143" i="15"/>
  <c r="AC143" i="15"/>
  <c r="AE143" i="15"/>
  <c r="Z104" i="15"/>
  <c r="Z122" i="15"/>
  <c r="AC122" i="15"/>
  <c r="Z121" i="15"/>
  <c r="AE122" i="15"/>
  <c r="Z26" i="15"/>
  <c r="D22" i="5"/>
  <c r="N27" i="12"/>
  <c r="AB122" i="15"/>
  <c r="AF121" i="15"/>
  <c r="AD122" i="15"/>
  <c r="AC121" i="15"/>
  <c r="N20" i="12"/>
  <c r="Y26" i="15"/>
  <c r="Z25" i="15"/>
  <c r="Z82" i="15"/>
  <c r="AF25" i="15"/>
  <c r="AA83" i="15"/>
  <c r="AE58" i="15"/>
  <c r="AA58" i="15"/>
  <c r="AD58" i="15"/>
  <c r="AC26" i="15"/>
  <c r="AE26" i="15"/>
  <c r="D21" i="4"/>
  <c r="T23" i="12"/>
  <c r="W21" i="3"/>
  <c r="AF58" i="15"/>
  <c r="AE83" i="15"/>
  <c r="Z59" i="15"/>
  <c r="AC58" i="15"/>
  <c r="AD59" i="15"/>
  <c r="AB58" i="15"/>
  <c r="AB82" i="15"/>
  <c r="AB26" i="15"/>
  <c r="AB59" i="15"/>
  <c r="Y83" i="15"/>
  <c r="AF26" i="15"/>
  <c r="AB83" i="15"/>
  <c r="W50" i="3"/>
  <c r="C69" i="9"/>
  <c r="AA59" i="15"/>
  <c r="AF83" i="15"/>
  <c r="AE59" i="15"/>
  <c r="AD83" i="15"/>
  <c r="AB25" i="15"/>
  <c r="AC25" i="15"/>
  <c r="Z58" i="15"/>
  <c r="Y82" i="15"/>
  <c r="AF82" i="15"/>
  <c r="AF59" i="15"/>
  <c r="AE82" i="15"/>
  <c r="Y58" i="15"/>
  <c r="Y59" i="15"/>
  <c r="AE25" i="15"/>
  <c r="AD25" i="15"/>
  <c r="AD26" i="15"/>
  <c r="Z83" i="15"/>
  <c r="AA25" i="15"/>
  <c r="AC82" i="15"/>
  <c r="AA82" i="15"/>
  <c r="L19" i="12"/>
  <c r="P20" i="12"/>
  <c r="N12" i="12"/>
  <c r="C23" i="9"/>
  <c r="C118" i="9"/>
  <c r="C108" i="15"/>
  <c r="B24" i="16"/>
  <c r="C24" i="15"/>
  <c r="D8" i="4"/>
  <c r="C21" i="15"/>
  <c r="F44" i="11"/>
  <c r="F13" i="11"/>
  <c r="B36" i="16"/>
  <c r="V20" i="12"/>
  <c r="J12" i="12"/>
  <c r="V19" i="12"/>
  <c r="D12" i="4"/>
  <c r="C75" i="15"/>
  <c r="C127" i="9"/>
  <c r="C105" i="9"/>
  <c r="J11" i="12"/>
  <c r="C33" i="12"/>
  <c r="O28" i="12" s="1"/>
  <c r="J23" i="12"/>
  <c r="N19" i="12"/>
  <c r="F85" i="11"/>
  <c r="L24" i="12"/>
  <c r="L20" i="12"/>
  <c r="B46" i="16"/>
  <c r="AC77" i="15"/>
  <c r="AF77" i="15"/>
  <c r="AE77" i="15"/>
  <c r="Z77" i="15"/>
  <c r="AD77" i="15"/>
  <c r="Y76" i="15"/>
  <c r="Z76" i="15"/>
  <c r="AD76" i="15"/>
  <c r="AB77" i="15"/>
  <c r="AA77" i="15"/>
  <c r="AA76" i="15"/>
  <c r="AE76" i="15"/>
  <c r="AC76" i="15"/>
  <c r="AF76" i="15"/>
  <c r="Y77" i="15"/>
  <c r="AB76" i="15"/>
  <c r="F23" i="11"/>
  <c r="D636" i="6"/>
  <c r="C111" i="15"/>
  <c r="B50" i="16"/>
  <c r="C93" i="15"/>
  <c r="S32" i="3"/>
  <c r="S19" i="3"/>
  <c r="P27" i="12"/>
  <c r="R15" i="12"/>
  <c r="D13" i="14"/>
  <c r="T28" i="12"/>
  <c r="P28" i="12"/>
  <c r="D11" i="14"/>
  <c r="C23" i="12"/>
  <c r="S20" i="12" s="1"/>
  <c r="T24" i="12"/>
  <c r="R20" i="12"/>
  <c r="AF139" i="15"/>
  <c r="AE140" i="15"/>
  <c r="AB140" i="15"/>
  <c r="AF140" i="15"/>
  <c r="Z139" i="15"/>
  <c r="AD139" i="15"/>
  <c r="AA139" i="15"/>
  <c r="Z140" i="15"/>
  <c r="AD140" i="15"/>
  <c r="AC139" i="15"/>
  <c r="Y139" i="15"/>
  <c r="AB139" i="15"/>
  <c r="AA140" i="15"/>
  <c r="Y140" i="15"/>
  <c r="AE139" i="15"/>
  <c r="AC140" i="15"/>
  <c r="Z74" i="15"/>
  <c r="AB74" i="15"/>
  <c r="AA74" i="15"/>
  <c r="AC74" i="15"/>
  <c r="AF74" i="15"/>
  <c r="AD74" i="15"/>
  <c r="AC73" i="15"/>
  <c r="AF73" i="15"/>
  <c r="AD73" i="15"/>
  <c r="Y74" i="15"/>
  <c r="AA73" i="15"/>
  <c r="Y73" i="15"/>
  <c r="AB73" i="15"/>
  <c r="AE73" i="15"/>
  <c r="Z73" i="15"/>
  <c r="AE74" i="15"/>
  <c r="AD35" i="15"/>
  <c r="AB34" i="15"/>
  <c r="AF35" i="15"/>
  <c r="AF34" i="15"/>
  <c r="AA34" i="15"/>
  <c r="Z34" i="15"/>
  <c r="AE34" i="15"/>
  <c r="AB35" i="15"/>
  <c r="AE35" i="15"/>
  <c r="Z35" i="15"/>
  <c r="AD34" i="15"/>
  <c r="AC34" i="15"/>
  <c r="Y35" i="15"/>
  <c r="AA35" i="15"/>
  <c r="AC35" i="15"/>
  <c r="Y34" i="15"/>
  <c r="D11" i="4"/>
  <c r="C117" i="15"/>
  <c r="D10" i="4"/>
  <c r="C72" i="15"/>
  <c r="D9" i="4"/>
  <c r="C39" i="15"/>
  <c r="T27" i="12"/>
  <c r="C22" i="12"/>
  <c r="D20" i="13"/>
  <c r="B31" i="16"/>
  <c r="P11" i="12"/>
  <c r="F86" i="11"/>
  <c r="F10" i="11"/>
  <c r="AB89" i="15"/>
  <c r="AA89" i="15"/>
  <c r="Z89" i="15"/>
  <c r="AD88" i="15"/>
  <c r="AF89" i="15"/>
  <c r="AC88" i="15"/>
  <c r="AF88" i="15"/>
  <c r="AE88" i="15"/>
  <c r="Z88" i="15"/>
  <c r="AC89" i="15"/>
  <c r="AD89" i="15"/>
  <c r="Y88" i="15"/>
  <c r="AB88" i="15"/>
  <c r="AA88" i="15"/>
  <c r="Y89" i="15"/>
  <c r="AE89" i="15"/>
  <c r="Z70" i="15"/>
  <c r="AD71" i="15"/>
  <c r="Y71" i="15"/>
  <c r="AF71" i="15"/>
  <c r="AE71" i="15"/>
  <c r="AA70" i="15"/>
  <c r="AD70" i="15"/>
  <c r="AB71" i="15"/>
  <c r="AA71" i="15"/>
  <c r="Z71" i="15"/>
  <c r="Y70" i="15"/>
  <c r="AE70" i="15"/>
  <c r="AC71" i="15"/>
  <c r="AC70" i="15"/>
  <c r="AF70" i="15"/>
  <c r="AB70" i="15"/>
  <c r="B885" i="6"/>
  <c r="AC885" i="6" s="1"/>
  <c r="AG885" i="6" s="1"/>
  <c r="F908" i="6"/>
  <c r="F919" i="6"/>
  <c r="F930" i="6"/>
  <c r="F941" i="6"/>
  <c r="F952" i="6"/>
  <c r="F963" i="6"/>
  <c r="F974" i="6"/>
  <c r="B995" i="6"/>
  <c r="AC995" i="6" s="1"/>
  <c r="AE995" i="6" s="1"/>
  <c r="F901" i="6"/>
  <c r="F912" i="6"/>
  <c r="F923" i="6"/>
  <c r="F934" i="6"/>
  <c r="F945" i="6"/>
  <c r="F956" i="6"/>
  <c r="F967" i="6"/>
  <c r="F904" i="6"/>
  <c r="F915" i="6"/>
  <c r="F926" i="6"/>
  <c r="F937" i="6"/>
  <c r="F948" i="6"/>
  <c r="F959" i="6"/>
  <c r="F970" i="6"/>
  <c r="B1072" i="6"/>
  <c r="AC1072" i="6" s="1"/>
  <c r="AE1072" i="6" s="1"/>
  <c r="F903" i="6"/>
  <c r="F914" i="6"/>
  <c r="F925" i="6"/>
  <c r="F936" i="6"/>
  <c r="F947" i="6"/>
  <c r="F958" i="6"/>
  <c r="F969" i="6"/>
  <c r="F906" i="6"/>
  <c r="F917" i="6"/>
  <c r="F928" i="6"/>
  <c r="F939" i="6"/>
  <c r="F950" i="6"/>
  <c r="F961" i="6"/>
  <c r="F972" i="6"/>
  <c r="F905" i="6"/>
  <c r="F916" i="6"/>
  <c r="F927" i="6"/>
  <c r="F938" i="6"/>
  <c r="F949" i="6"/>
  <c r="F960" i="6"/>
  <c r="F971" i="6"/>
  <c r="F902" i="6"/>
  <c r="F913" i="6"/>
  <c r="F924" i="6"/>
  <c r="F935" i="6"/>
  <c r="F946" i="6"/>
  <c r="F957" i="6"/>
  <c r="F968" i="6"/>
  <c r="B830" i="6"/>
  <c r="AC830" i="6" s="1"/>
  <c r="AG830" i="6" s="1"/>
  <c r="F907" i="6"/>
  <c r="F918" i="6"/>
  <c r="F929" i="6"/>
  <c r="F940" i="6"/>
  <c r="F951" i="6"/>
  <c r="F962" i="6"/>
  <c r="F973" i="6"/>
  <c r="S16" i="12"/>
  <c r="V11" i="12"/>
  <c r="U32" i="12"/>
  <c r="V32" i="12"/>
  <c r="U24" i="12"/>
  <c r="V31" i="12"/>
  <c r="T15" i="12"/>
  <c r="V23" i="12"/>
  <c r="V24" i="12"/>
  <c r="T16" i="12"/>
  <c r="V12" i="12"/>
  <c r="O20" i="12"/>
  <c r="J20" i="12"/>
  <c r="P19" i="12"/>
  <c r="M32" i="12"/>
  <c r="J31" i="12"/>
  <c r="J32" i="12"/>
  <c r="J24" i="12"/>
  <c r="P24" i="12"/>
  <c r="T20" i="12"/>
  <c r="T19" i="12"/>
  <c r="L11" i="12"/>
  <c r="F549" i="6"/>
  <c r="I549" i="6"/>
  <c r="I523" i="6"/>
  <c r="I521" i="6"/>
  <c r="I554" i="6"/>
  <c r="G555" i="6"/>
  <c r="G519" i="6"/>
  <c r="G521" i="6"/>
  <c r="H553" i="6"/>
  <c r="H516" i="6"/>
  <c r="I545" i="6"/>
  <c r="G545" i="6"/>
  <c r="I543" i="6"/>
  <c r="D8" i="5"/>
  <c r="F542" i="6"/>
  <c r="F541" i="6"/>
  <c r="F545" i="6"/>
  <c r="F544" i="6"/>
  <c r="D13" i="4"/>
  <c r="W10" i="3"/>
  <c r="I539" i="6"/>
  <c r="F543" i="6"/>
  <c r="H538" i="6"/>
  <c r="I541" i="6"/>
  <c r="I542" i="6"/>
  <c r="H539" i="6"/>
  <c r="I540" i="6"/>
  <c r="G540" i="6"/>
  <c r="I544" i="6"/>
  <c r="F539" i="6"/>
  <c r="G544" i="6"/>
  <c r="G542" i="6"/>
  <c r="G541" i="6"/>
  <c r="H540" i="6"/>
  <c r="G543" i="6"/>
  <c r="H541" i="6"/>
  <c r="F538" i="6"/>
  <c r="G538" i="6"/>
  <c r="H543" i="6"/>
  <c r="H542" i="6"/>
  <c r="G539" i="6"/>
  <c r="H544" i="6"/>
  <c r="F540" i="6"/>
  <c r="AT252" i="6"/>
  <c r="AU252" i="6"/>
  <c r="AU164" i="6"/>
  <c r="AT164" i="6"/>
  <c r="AU76" i="6"/>
  <c r="AT76" i="6"/>
  <c r="AU923" i="6"/>
  <c r="AT923" i="6"/>
  <c r="AT912" i="6"/>
  <c r="AU912" i="6"/>
  <c r="AU901" i="6"/>
  <c r="AT901" i="6"/>
  <c r="AT879" i="6"/>
  <c r="AU879" i="6"/>
  <c r="AU857" i="6"/>
  <c r="AT857" i="6"/>
  <c r="AU813" i="6"/>
  <c r="AT813" i="6"/>
  <c r="AT791" i="6"/>
  <c r="AU791" i="6"/>
  <c r="AU769" i="6"/>
  <c r="AT769" i="6"/>
  <c r="AT615" i="6"/>
  <c r="AU615" i="6"/>
  <c r="AU593" i="6"/>
  <c r="AT593" i="6"/>
  <c r="AU571" i="6"/>
  <c r="AT571" i="6"/>
  <c r="AU505" i="6"/>
  <c r="AT505" i="6"/>
  <c r="AU483" i="6"/>
  <c r="AT483" i="6"/>
  <c r="AU461" i="6"/>
  <c r="AT461" i="6"/>
  <c r="AU439" i="6"/>
  <c r="AT439" i="6"/>
  <c r="AU417" i="6"/>
  <c r="AT417" i="6"/>
  <c r="AU395" i="6"/>
  <c r="AT395" i="6"/>
  <c r="AU373" i="6"/>
  <c r="AT373" i="6"/>
  <c r="AU351" i="6"/>
  <c r="AT351" i="6"/>
  <c r="AU329" i="6"/>
  <c r="AT329" i="6"/>
  <c r="AU307" i="6"/>
  <c r="AT307" i="6"/>
  <c r="AT285" i="6"/>
  <c r="AU285" i="6"/>
  <c r="AU241" i="6"/>
  <c r="AT241" i="6"/>
  <c r="AU153" i="6"/>
  <c r="AT153" i="6"/>
  <c r="AU54" i="6"/>
  <c r="AT54" i="6"/>
  <c r="AU538" i="6"/>
  <c r="AT538" i="6"/>
  <c r="AT956" i="6"/>
  <c r="AU956" i="6"/>
  <c r="AU802" i="6"/>
  <c r="AT802" i="6"/>
  <c r="AU758" i="6"/>
  <c r="AT758" i="6"/>
  <c r="AT736" i="6"/>
  <c r="AU736" i="6"/>
  <c r="AU714" i="6"/>
  <c r="AT714" i="6"/>
  <c r="AT692" i="6"/>
  <c r="AU692" i="6"/>
  <c r="AU670" i="6"/>
  <c r="AT670" i="6"/>
  <c r="AT648" i="6"/>
  <c r="AU648" i="6"/>
  <c r="AT230" i="6"/>
  <c r="AU230" i="6"/>
  <c r="AT142" i="6"/>
  <c r="AU142" i="6"/>
  <c r="AT65" i="6"/>
  <c r="AU65" i="6"/>
  <c r="AU263" i="6"/>
  <c r="AT263" i="6"/>
  <c r="AU175" i="6"/>
  <c r="AT175" i="6"/>
  <c r="AU87" i="6"/>
  <c r="AT87" i="6"/>
  <c r="K4" i="13"/>
  <c r="AU208" i="6"/>
  <c r="AT208" i="6"/>
  <c r="AU120" i="6"/>
  <c r="AT120" i="6"/>
  <c r="AU890" i="6"/>
  <c r="AT890" i="6"/>
  <c r="AU868" i="6"/>
  <c r="AT868" i="6"/>
  <c r="AU846" i="6"/>
  <c r="AT846" i="6"/>
  <c r="AT824" i="6"/>
  <c r="AU824" i="6"/>
  <c r="AU780" i="6"/>
  <c r="AT780" i="6"/>
  <c r="AU626" i="6"/>
  <c r="AT626" i="6"/>
  <c r="AT604" i="6"/>
  <c r="AU604" i="6"/>
  <c r="AT582" i="6"/>
  <c r="AU582" i="6"/>
  <c r="AU560" i="6"/>
  <c r="AT560" i="6"/>
  <c r="AU494" i="6"/>
  <c r="AT494" i="6"/>
  <c r="AT472" i="6"/>
  <c r="AU472" i="6"/>
  <c r="AU450" i="6"/>
  <c r="AT450" i="6"/>
  <c r="AT428" i="6"/>
  <c r="AU428" i="6"/>
  <c r="AU406" i="6"/>
  <c r="AT406" i="6"/>
  <c r="AT384" i="6"/>
  <c r="AU384" i="6"/>
  <c r="AU362" i="6"/>
  <c r="AT362" i="6"/>
  <c r="AT340" i="6"/>
  <c r="AU340" i="6"/>
  <c r="AU318" i="6"/>
  <c r="AT318" i="6"/>
  <c r="AU296" i="6"/>
  <c r="AT296" i="6"/>
  <c r="AU186" i="6"/>
  <c r="AT186" i="6"/>
  <c r="AT109" i="6"/>
  <c r="AU109" i="6"/>
  <c r="AT21" i="6"/>
  <c r="AU21" i="6"/>
  <c r="H549" i="6"/>
  <c r="O554" i="6" s="1"/>
  <c r="AU549" i="6"/>
  <c r="AT549" i="6"/>
  <c r="I517" i="6"/>
  <c r="AT516" i="6"/>
  <c r="AU516" i="6"/>
  <c r="AT945" i="6"/>
  <c r="AU945" i="6"/>
  <c r="AU934" i="6"/>
  <c r="AT934" i="6"/>
  <c r="AT835" i="6"/>
  <c r="AU835" i="6"/>
  <c r="AT747" i="6"/>
  <c r="AU747" i="6"/>
  <c r="AU725" i="6"/>
  <c r="AT725" i="6"/>
  <c r="AT703" i="6"/>
  <c r="AU703" i="6"/>
  <c r="AU681" i="6"/>
  <c r="AT681" i="6"/>
  <c r="AU659" i="6"/>
  <c r="AT659" i="6"/>
  <c r="AU637" i="6"/>
  <c r="AT637" i="6"/>
  <c r="AT197" i="6"/>
  <c r="AU197" i="6"/>
  <c r="AU98" i="6"/>
  <c r="AT98" i="6"/>
  <c r="AU32" i="6"/>
  <c r="AT32" i="6"/>
  <c r="AU274" i="6"/>
  <c r="AT274" i="6"/>
  <c r="AU219" i="6"/>
  <c r="AT219" i="6"/>
  <c r="AT131" i="6"/>
  <c r="AU131" i="6"/>
  <c r="AU43" i="6"/>
  <c r="AT43" i="6"/>
  <c r="B929" i="6"/>
  <c r="AC929" i="6" s="1"/>
  <c r="AF929" i="6" s="1"/>
  <c r="B1094" i="6"/>
  <c r="AC1094" i="6" s="1"/>
  <c r="AG1094" i="6" s="1"/>
  <c r="B775" i="6"/>
  <c r="AC775" i="6" s="1"/>
  <c r="AF775" i="6" s="1"/>
  <c r="B940" i="6"/>
  <c r="AC940" i="6" s="1"/>
  <c r="AH940" i="6" s="1"/>
  <c r="B555" i="6"/>
  <c r="AC555" i="6" s="1"/>
  <c r="AF555" i="6" s="1"/>
  <c r="L4" i="13"/>
  <c r="M4" i="13" s="1"/>
  <c r="Y12" i="13" s="1"/>
  <c r="G10" i="15"/>
  <c r="W16" i="13"/>
  <c r="E11" i="15"/>
  <c r="Q14" i="9"/>
  <c r="AC10" i="7"/>
  <c r="G7" i="15"/>
  <c r="W12" i="13"/>
  <c r="E7" i="15"/>
  <c r="Q10" i="9"/>
  <c r="Y10" i="7"/>
  <c r="X10" i="13"/>
  <c r="F5" i="15"/>
  <c r="I8" i="12"/>
  <c r="W8" i="7"/>
  <c r="G12" i="15"/>
  <c r="B478" i="6"/>
  <c r="AC478" i="6" s="1"/>
  <c r="AH478" i="6" s="1"/>
  <c r="B22" i="16"/>
  <c r="K4" i="14"/>
  <c r="M7" i="14" s="1"/>
  <c r="D9" i="14"/>
  <c r="C10" i="12"/>
  <c r="U12" i="12" s="1"/>
  <c r="F56" i="11"/>
  <c r="C116" i="9"/>
  <c r="B42" i="16"/>
  <c r="F556" i="6"/>
  <c r="I550" i="6"/>
  <c r="F552" i="6"/>
  <c r="O552" i="6" s="1"/>
  <c r="F554" i="6"/>
  <c r="H554" i="6"/>
  <c r="O555" i="6" s="1"/>
  <c r="G549" i="6"/>
  <c r="I552" i="6"/>
  <c r="G556" i="6"/>
  <c r="G523" i="6"/>
  <c r="I522" i="6"/>
  <c r="H520" i="6"/>
  <c r="F518" i="6"/>
  <c r="O517" i="6" s="1"/>
  <c r="H517" i="6"/>
  <c r="F520" i="6"/>
  <c r="O516" i="6" s="1"/>
  <c r="H518" i="6"/>
  <c r="F516" i="6"/>
  <c r="O518" i="6" s="1"/>
  <c r="C151" i="9"/>
  <c r="B35" i="16"/>
  <c r="D16" i="13"/>
  <c r="C20" i="12"/>
  <c r="Q20" i="12" s="1"/>
  <c r="F27" i="11"/>
  <c r="B32" i="16"/>
  <c r="C18" i="12"/>
  <c r="M16" i="12" s="1"/>
  <c r="D15" i="13"/>
  <c r="B819" i="6"/>
  <c r="AC819" i="6" s="1"/>
  <c r="AH819" i="6" s="1"/>
  <c r="B874" i="6"/>
  <c r="AC874" i="6" s="1"/>
  <c r="AH874" i="6" s="1"/>
  <c r="B918" i="6"/>
  <c r="AC918" i="6" s="1"/>
  <c r="AF918" i="6" s="1"/>
  <c r="B973" i="6"/>
  <c r="AC973" i="6" s="1"/>
  <c r="AE973" i="6" s="1"/>
  <c r="B984" i="6"/>
  <c r="AC984" i="6" s="1"/>
  <c r="AF984" i="6" s="1"/>
  <c r="B1061" i="6"/>
  <c r="AC1061" i="6" s="1"/>
  <c r="AH1061" i="6" s="1"/>
  <c r="B1039" i="6"/>
  <c r="AC1039" i="6" s="1"/>
  <c r="AF1039" i="6" s="1"/>
  <c r="I11" i="10"/>
  <c r="B533" i="6"/>
  <c r="AC533" i="6" s="1"/>
  <c r="AF533" i="6" s="1"/>
  <c r="G11" i="15"/>
  <c r="G9" i="15"/>
  <c r="W13" i="13"/>
  <c r="E8" i="15"/>
  <c r="Q11" i="9"/>
  <c r="Z10" i="7"/>
  <c r="X14" i="13"/>
  <c r="F9" i="15"/>
  <c r="Q8" i="12"/>
  <c r="AA8" i="7"/>
  <c r="X17" i="13"/>
  <c r="F12" i="15"/>
  <c r="W8" i="12"/>
  <c r="AD8" i="7"/>
  <c r="AQ3" i="5"/>
  <c r="B148" i="6"/>
  <c r="AC148" i="6" s="1"/>
  <c r="AG148" i="6" s="1"/>
  <c r="B500" i="6"/>
  <c r="AC500" i="6" s="1"/>
  <c r="AH500" i="6" s="1"/>
  <c r="B93" i="6"/>
  <c r="AC93" i="6" s="1"/>
  <c r="AE93" i="6" s="1"/>
  <c r="B445" i="6"/>
  <c r="AC445" i="6" s="1"/>
  <c r="AE445" i="6" s="1"/>
  <c r="B665" i="6"/>
  <c r="AC665" i="6" s="1"/>
  <c r="AH665" i="6" s="1"/>
  <c r="B302" i="6"/>
  <c r="AC302" i="6" s="1"/>
  <c r="AE302" i="6" s="1"/>
  <c r="B698" i="6"/>
  <c r="AC698" i="6" s="1"/>
  <c r="AF698" i="6" s="1"/>
  <c r="B115" i="6"/>
  <c r="AC115" i="6" s="1"/>
  <c r="AH115" i="6" s="1"/>
  <c r="B291" i="6"/>
  <c r="AC291" i="6" s="1"/>
  <c r="AG291" i="6" s="1"/>
  <c r="B467" i="6"/>
  <c r="AC467" i="6" s="1"/>
  <c r="AH467" i="6" s="1"/>
  <c r="B687" i="6"/>
  <c r="AC687" i="6" s="1"/>
  <c r="AF687" i="6" s="1"/>
  <c r="X11" i="13"/>
  <c r="F6" i="15"/>
  <c r="K8" i="12"/>
  <c r="X8" i="7"/>
  <c r="W11" i="13"/>
  <c r="E6" i="15"/>
  <c r="Q9" i="9"/>
  <c r="X10" i="7"/>
  <c r="W10" i="13"/>
  <c r="E5" i="15"/>
  <c r="J11" i="14" s="1"/>
  <c r="J19" i="14" s="1"/>
  <c r="W10" i="7"/>
  <c r="Q8" i="9"/>
  <c r="X16" i="13"/>
  <c r="F11" i="15"/>
  <c r="U8" i="12"/>
  <c r="AC8" i="7"/>
  <c r="W17" i="13"/>
  <c r="E12" i="15"/>
  <c r="Q15" i="9"/>
  <c r="AD10" i="7"/>
  <c r="B192" i="6"/>
  <c r="AC192" i="6" s="1"/>
  <c r="AG192" i="6" s="1"/>
  <c r="B368" i="6"/>
  <c r="AC368" i="6" s="1"/>
  <c r="AE368" i="6" s="1"/>
  <c r="B588" i="6"/>
  <c r="AC588" i="6" s="1"/>
  <c r="AG588" i="6" s="1"/>
  <c r="B764" i="6"/>
  <c r="AC764" i="6" s="1"/>
  <c r="AG764" i="6" s="1"/>
  <c r="B137" i="6"/>
  <c r="AC137" i="6" s="1"/>
  <c r="AH137" i="6" s="1"/>
  <c r="B313" i="6"/>
  <c r="AC313" i="6" s="1"/>
  <c r="AG313" i="6" s="1"/>
  <c r="B489" i="6"/>
  <c r="AC489" i="6" s="1"/>
  <c r="AE489" i="6" s="1"/>
  <c r="B709" i="6"/>
  <c r="AC709" i="6" s="1"/>
  <c r="AF709" i="6" s="1"/>
  <c r="B170" i="6"/>
  <c r="AC170" i="6" s="1"/>
  <c r="AG170" i="6" s="1"/>
  <c r="B346" i="6"/>
  <c r="AC346" i="6" s="1"/>
  <c r="AH346" i="6" s="1"/>
  <c r="B566" i="6"/>
  <c r="AC566" i="6" s="1"/>
  <c r="AH566" i="6" s="1"/>
  <c r="B742" i="6"/>
  <c r="AC742" i="6" s="1"/>
  <c r="AH742" i="6" s="1"/>
  <c r="B159" i="6"/>
  <c r="AC159" i="6" s="1"/>
  <c r="AG159" i="6" s="1"/>
  <c r="B335" i="6"/>
  <c r="AC335" i="6" s="1"/>
  <c r="AE335" i="6" s="1"/>
  <c r="B511" i="6"/>
  <c r="AC511" i="6" s="1"/>
  <c r="AF511" i="6" s="1"/>
  <c r="B731" i="6"/>
  <c r="AC731" i="6" s="1"/>
  <c r="AE731" i="6" s="1"/>
  <c r="F4" i="6"/>
  <c r="F555" i="6"/>
  <c r="O551" i="6" s="1"/>
  <c r="H555" i="6"/>
  <c r="I555" i="6"/>
  <c r="F550" i="6"/>
  <c r="O549" i="6" s="1"/>
  <c r="H552" i="6"/>
  <c r="H551" i="6"/>
  <c r="H556" i="6"/>
  <c r="O556" i="6" s="1"/>
  <c r="G550" i="6"/>
  <c r="H519" i="6"/>
  <c r="F519" i="6"/>
  <c r="O519" i="6" s="1"/>
  <c r="G517" i="6"/>
  <c r="F523" i="6"/>
  <c r="H521" i="6"/>
  <c r="F522" i="6"/>
  <c r="H522" i="6"/>
  <c r="F517" i="6"/>
  <c r="B23" i="16"/>
  <c r="C11" i="12"/>
  <c r="I12" i="12" s="1"/>
  <c r="D9" i="13"/>
  <c r="B808" i="6"/>
  <c r="AC808" i="6" s="1"/>
  <c r="AH808" i="6" s="1"/>
  <c r="B863" i="6"/>
  <c r="AC863" i="6" s="1"/>
  <c r="AH863" i="6" s="1"/>
  <c r="B797" i="6"/>
  <c r="AC797" i="6" s="1"/>
  <c r="AF797" i="6" s="1"/>
  <c r="B962" i="6"/>
  <c r="AC962" i="6" s="1"/>
  <c r="AG962" i="6" s="1"/>
  <c r="B1017" i="6"/>
  <c r="AC1017" i="6" s="1"/>
  <c r="AF1017" i="6" s="1"/>
  <c r="B907" i="6"/>
  <c r="AC907" i="6" s="1"/>
  <c r="AE907" i="6" s="1"/>
  <c r="B1105" i="6"/>
  <c r="AC1105" i="6" s="1"/>
  <c r="AE1105" i="6" s="1"/>
  <c r="B1083" i="6"/>
  <c r="AC1083" i="6" s="1"/>
  <c r="AF1083" i="6" s="1"/>
  <c r="B522" i="6"/>
  <c r="AC522" i="6" s="1"/>
  <c r="AH522" i="6" s="1"/>
  <c r="V10" i="11"/>
  <c r="AD17" i="14"/>
  <c r="AD15" i="14"/>
  <c r="AC11" i="14"/>
  <c r="AC13" i="14"/>
  <c r="AC16" i="14"/>
  <c r="AC14" i="14"/>
  <c r="AD18" i="14"/>
  <c r="AC18" i="14"/>
  <c r="AD13" i="14"/>
  <c r="AC15" i="14"/>
  <c r="AC17" i="14"/>
  <c r="AD11" i="14"/>
  <c r="AC12" i="14"/>
  <c r="AD12" i="14"/>
  <c r="AD14" i="14"/>
  <c r="AD16" i="14"/>
  <c r="G6" i="15"/>
  <c r="X12" i="13"/>
  <c r="F7" i="15"/>
  <c r="M8" i="12"/>
  <c r="Y8" i="7"/>
  <c r="D41" i="4"/>
  <c r="D24" i="13"/>
  <c r="C31" i="12"/>
  <c r="S24" i="12" s="1"/>
  <c r="W14" i="13"/>
  <c r="E9" i="15"/>
  <c r="AA10" i="7"/>
  <c r="Q12" i="9"/>
  <c r="B324" i="6"/>
  <c r="AC324" i="6" s="1"/>
  <c r="AE324" i="6" s="1"/>
  <c r="B720" i="6"/>
  <c r="AC720" i="6" s="1"/>
  <c r="AH720" i="6" s="1"/>
  <c r="B269" i="6"/>
  <c r="AC269" i="6" s="1"/>
  <c r="AG269" i="6" s="1"/>
  <c r="B126" i="6"/>
  <c r="AC126" i="6" s="1"/>
  <c r="AF126" i="6" s="1"/>
  <c r="W15" i="13"/>
  <c r="E10" i="15"/>
  <c r="Q13" i="9"/>
  <c r="AB10" i="7"/>
  <c r="G5" i="15"/>
  <c r="X13" i="13"/>
  <c r="F8" i="15"/>
  <c r="O8" i="12"/>
  <c r="Z8" i="7"/>
  <c r="G8" i="15"/>
  <c r="B60" i="6"/>
  <c r="AC60" i="6" s="1"/>
  <c r="AE60" i="6" s="1"/>
  <c r="B236" i="6"/>
  <c r="AC236" i="6" s="1"/>
  <c r="AF236" i="6" s="1"/>
  <c r="B412" i="6"/>
  <c r="AC412" i="6" s="1"/>
  <c r="AF412" i="6" s="1"/>
  <c r="B632" i="6"/>
  <c r="AC632" i="6" s="1"/>
  <c r="AG632" i="6" s="1"/>
  <c r="B27" i="6"/>
  <c r="AC27" i="6" s="1"/>
  <c r="AG27" i="6" s="1"/>
  <c r="B181" i="6"/>
  <c r="AC181" i="6" s="1"/>
  <c r="AE181" i="6" s="1"/>
  <c r="B357" i="6"/>
  <c r="AC357" i="6" s="1"/>
  <c r="AE357" i="6" s="1"/>
  <c r="B577" i="6"/>
  <c r="AC577" i="6" s="1"/>
  <c r="AG577" i="6" s="1"/>
  <c r="B753" i="6"/>
  <c r="AC753" i="6" s="1"/>
  <c r="AH753" i="6" s="1"/>
  <c r="B214" i="6"/>
  <c r="AC214" i="6" s="1"/>
  <c r="AF214" i="6" s="1"/>
  <c r="B390" i="6"/>
  <c r="AC390" i="6" s="1"/>
  <c r="AH390" i="6" s="1"/>
  <c r="B610" i="6"/>
  <c r="AC610" i="6" s="1"/>
  <c r="AG610" i="6" s="1"/>
  <c r="B38" i="6"/>
  <c r="AC38" i="6" s="1"/>
  <c r="AE38" i="6" s="1"/>
  <c r="B203" i="6"/>
  <c r="AC203" i="6" s="1"/>
  <c r="AF203" i="6" s="1"/>
  <c r="B379" i="6"/>
  <c r="AC379" i="6" s="1"/>
  <c r="AH379" i="6" s="1"/>
  <c r="B599" i="6"/>
  <c r="AC599" i="6" s="1"/>
  <c r="AG599" i="6" s="1"/>
  <c r="C81" i="9"/>
  <c r="B43" i="16"/>
  <c r="D10" i="13"/>
  <c r="C12" i="12"/>
  <c r="S12" i="12" s="1"/>
  <c r="G553" i="6"/>
  <c r="F551" i="6"/>
  <c r="O553" i="6" s="1"/>
  <c r="G554" i="6"/>
  <c r="I551" i="6"/>
  <c r="I553" i="6"/>
  <c r="H550" i="6"/>
  <c r="F553" i="6"/>
  <c r="O550" i="6" s="1"/>
  <c r="F521" i="6"/>
  <c r="O520" i="6" s="1"/>
  <c r="H523" i="6"/>
  <c r="G520" i="6"/>
  <c r="I519" i="6"/>
  <c r="G516" i="6"/>
  <c r="I516" i="6"/>
  <c r="G518" i="6"/>
  <c r="B852" i="6"/>
  <c r="AC852" i="6" s="1"/>
  <c r="AH852" i="6" s="1"/>
  <c r="B786" i="6"/>
  <c r="AC786" i="6" s="1"/>
  <c r="AF786" i="6" s="1"/>
  <c r="B841" i="6"/>
  <c r="AC841" i="6" s="1"/>
  <c r="AE841" i="6" s="1"/>
  <c r="B1006" i="6"/>
  <c r="AC1006" i="6" s="1"/>
  <c r="AH1006" i="6" s="1"/>
  <c r="B896" i="6"/>
  <c r="AC896" i="6" s="1"/>
  <c r="AE896" i="6" s="1"/>
  <c r="B951" i="6"/>
  <c r="AC951" i="6" s="1"/>
  <c r="AF951" i="6" s="1"/>
  <c r="B1028" i="6"/>
  <c r="AC1028" i="6" s="1"/>
  <c r="AF1028" i="6" s="1"/>
  <c r="B1050" i="6"/>
  <c r="AC1050" i="6" s="1"/>
  <c r="AF1050" i="6" s="1"/>
  <c r="B544" i="6"/>
  <c r="AC544" i="6" s="1"/>
  <c r="AE544" i="6" s="1"/>
  <c r="X15" i="13"/>
  <c r="F10" i="15"/>
  <c r="S8" i="12"/>
  <c r="AB8" i="7"/>
  <c r="V9" i="11"/>
  <c r="B543" i="6"/>
  <c r="AC543" i="6" s="1"/>
  <c r="B554" i="6"/>
  <c r="AC554" i="6" s="1"/>
  <c r="B521" i="6"/>
  <c r="AC521" i="6" s="1"/>
  <c r="B532" i="6"/>
  <c r="AC532" i="6" s="1"/>
  <c r="H11" i="10"/>
  <c r="B1071" i="6"/>
  <c r="AC1071" i="6" s="1"/>
  <c r="B1027" i="6"/>
  <c r="AC1027" i="6" s="1"/>
  <c r="B1104" i="6"/>
  <c r="AC1104" i="6" s="1"/>
  <c r="B1060" i="6"/>
  <c r="AC1060" i="6" s="1"/>
  <c r="B1093" i="6"/>
  <c r="AC1093" i="6" s="1"/>
  <c r="B1049" i="6"/>
  <c r="AC1049" i="6" s="1"/>
  <c r="B1082" i="6"/>
  <c r="AC1082" i="6" s="1"/>
  <c r="B1038" i="6"/>
  <c r="AC1038" i="6" s="1"/>
  <c r="B1016" i="6"/>
  <c r="AC1016" i="6" s="1"/>
  <c r="B972" i="6"/>
  <c r="AC972" i="6" s="1"/>
  <c r="B928" i="6"/>
  <c r="AC928" i="6" s="1"/>
  <c r="B1005" i="6"/>
  <c r="AC1005" i="6" s="1"/>
  <c r="B961" i="6"/>
  <c r="AC961" i="6" s="1"/>
  <c r="B917" i="6"/>
  <c r="AC917" i="6" s="1"/>
  <c r="B994" i="6"/>
  <c r="AC994" i="6" s="1"/>
  <c r="B950" i="6"/>
  <c r="AC950" i="6" s="1"/>
  <c r="B906" i="6"/>
  <c r="AC906" i="6" s="1"/>
  <c r="B983" i="6"/>
  <c r="AC983" i="6" s="1"/>
  <c r="B939" i="6"/>
  <c r="AC939" i="6" s="1"/>
  <c r="B895" i="6"/>
  <c r="AC895" i="6" s="1"/>
  <c r="B862" i="6"/>
  <c r="AC862" i="6" s="1"/>
  <c r="B818" i="6"/>
  <c r="AC818" i="6" s="1"/>
  <c r="B774" i="6"/>
  <c r="AC774" i="6" s="1"/>
  <c r="B851" i="6"/>
  <c r="AC851" i="6" s="1"/>
  <c r="B807" i="6"/>
  <c r="AC807" i="6" s="1"/>
  <c r="B884" i="6"/>
  <c r="AC884" i="6" s="1"/>
  <c r="B840" i="6"/>
  <c r="AC840" i="6" s="1"/>
  <c r="B796" i="6"/>
  <c r="AC796" i="6" s="1"/>
  <c r="B873" i="6"/>
  <c r="AC873" i="6" s="1"/>
  <c r="B829" i="6"/>
  <c r="AC829" i="6" s="1"/>
  <c r="B785" i="6"/>
  <c r="AC785" i="6" s="1"/>
  <c r="AH49" i="8"/>
  <c r="AA49" i="8"/>
  <c r="AM35" i="8"/>
  <c r="AG35" i="8"/>
  <c r="AA35" i="8"/>
  <c r="AH22" i="8"/>
  <c r="AA22" i="8"/>
  <c r="AM9" i="8"/>
  <c r="AG9" i="8"/>
  <c r="AA9" i="8"/>
  <c r="V8" i="11"/>
  <c r="B531" i="6"/>
  <c r="AC531" i="6" s="1"/>
  <c r="B553" i="6"/>
  <c r="AC553" i="6" s="1"/>
  <c r="B520" i="6"/>
  <c r="AC520" i="6" s="1"/>
  <c r="B542" i="6"/>
  <c r="AC542" i="6" s="1"/>
  <c r="G11" i="10"/>
  <c r="B1092" i="6"/>
  <c r="AC1092" i="6" s="1"/>
  <c r="B1048" i="6"/>
  <c r="AC1048" i="6" s="1"/>
  <c r="B1081" i="6"/>
  <c r="AC1081" i="6" s="1"/>
  <c r="B1037" i="6"/>
  <c r="AC1037" i="6" s="1"/>
  <c r="B1070" i="6"/>
  <c r="AC1070" i="6" s="1"/>
  <c r="B1026" i="6"/>
  <c r="AC1026" i="6" s="1"/>
  <c r="B1103" i="6"/>
  <c r="AC1103" i="6" s="1"/>
  <c r="B1059" i="6"/>
  <c r="AC1059" i="6" s="1"/>
  <c r="B993" i="6"/>
  <c r="AC993" i="6" s="1"/>
  <c r="B949" i="6"/>
  <c r="AC949" i="6" s="1"/>
  <c r="B905" i="6"/>
  <c r="AC905" i="6" s="1"/>
  <c r="B982" i="6"/>
  <c r="AC982" i="6" s="1"/>
  <c r="B938" i="6"/>
  <c r="AC938" i="6" s="1"/>
  <c r="B1015" i="6"/>
  <c r="AC1015" i="6" s="1"/>
  <c r="B971" i="6"/>
  <c r="AC971" i="6" s="1"/>
  <c r="B927" i="6"/>
  <c r="AC927" i="6" s="1"/>
  <c r="B1004" i="6"/>
  <c r="AC1004" i="6" s="1"/>
  <c r="B960" i="6"/>
  <c r="AC960" i="6" s="1"/>
  <c r="B916" i="6"/>
  <c r="AC916" i="6" s="1"/>
  <c r="B883" i="6"/>
  <c r="AC883" i="6" s="1"/>
  <c r="B839" i="6"/>
  <c r="AC839" i="6" s="1"/>
  <c r="B795" i="6"/>
  <c r="AC795" i="6" s="1"/>
  <c r="B872" i="6"/>
  <c r="AC872" i="6" s="1"/>
  <c r="B828" i="6"/>
  <c r="AC828" i="6" s="1"/>
  <c r="B784" i="6"/>
  <c r="AC784" i="6" s="1"/>
  <c r="B861" i="6"/>
  <c r="AC861" i="6" s="1"/>
  <c r="B817" i="6"/>
  <c r="AC817" i="6" s="1"/>
  <c r="B773" i="6"/>
  <c r="AC773" i="6" s="1"/>
  <c r="B894" i="6"/>
  <c r="AC894" i="6" s="1"/>
  <c r="B850" i="6"/>
  <c r="AC850" i="6" s="1"/>
  <c r="B806" i="6"/>
  <c r="AC806" i="6" s="1"/>
  <c r="V6" i="11"/>
  <c r="B518" i="6"/>
  <c r="AC518" i="6" s="1"/>
  <c r="B551" i="6"/>
  <c r="AC551" i="6" s="1"/>
  <c r="B529" i="6"/>
  <c r="AC529" i="6" s="1"/>
  <c r="B540" i="6"/>
  <c r="AC540" i="6" s="1"/>
  <c r="E11" i="10"/>
  <c r="B1090" i="6"/>
  <c r="AC1090" i="6" s="1"/>
  <c r="B1046" i="6"/>
  <c r="AC1046" i="6" s="1"/>
  <c r="B1079" i="6"/>
  <c r="AC1079" i="6" s="1"/>
  <c r="B1035" i="6"/>
  <c r="AC1035" i="6" s="1"/>
  <c r="B1068" i="6"/>
  <c r="AC1068" i="6" s="1"/>
  <c r="B1024" i="6"/>
  <c r="AC1024" i="6" s="1"/>
  <c r="B1101" i="6"/>
  <c r="AC1101" i="6" s="1"/>
  <c r="B1057" i="6"/>
  <c r="AC1057" i="6" s="1"/>
  <c r="B991" i="6"/>
  <c r="AC991" i="6" s="1"/>
  <c r="B947" i="6"/>
  <c r="AC947" i="6" s="1"/>
  <c r="B903" i="6"/>
  <c r="AC903" i="6" s="1"/>
  <c r="B980" i="6"/>
  <c r="AC980" i="6" s="1"/>
  <c r="B936" i="6"/>
  <c r="AC936" i="6" s="1"/>
  <c r="B1013" i="6"/>
  <c r="AC1013" i="6" s="1"/>
  <c r="B969" i="6"/>
  <c r="AC969" i="6" s="1"/>
  <c r="B925" i="6"/>
  <c r="AC925" i="6" s="1"/>
  <c r="B1002" i="6"/>
  <c r="AC1002" i="6" s="1"/>
  <c r="B958" i="6"/>
  <c r="AC958" i="6" s="1"/>
  <c r="B914" i="6"/>
  <c r="AC914" i="6" s="1"/>
  <c r="B881" i="6"/>
  <c r="AC881" i="6" s="1"/>
  <c r="B837" i="6"/>
  <c r="AC837" i="6" s="1"/>
  <c r="B793" i="6"/>
  <c r="AC793" i="6" s="1"/>
  <c r="B870" i="6"/>
  <c r="AC870" i="6" s="1"/>
  <c r="B826" i="6"/>
  <c r="AC826" i="6" s="1"/>
  <c r="B782" i="6"/>
  <c r="AC782" i="6" s="1"/>
  <c r="B859" i="6"/>
  <c r="AC859" i="6" s="1"/>
  <c r="B815" i="6"/>
  <c r="AC815" i="6" s="1"/>
  <c r="B771" i="6"/>
  <c r="AC771" i="6" s="1"/>
  <c r="B892" i="6"/>
  <c r="AC892" i="6" s="1"/>
  <c r="B848" i="6"/>
  <c r="AC848" i="6" s="1"/>
  <c r="B804" i="6"/>
  <c r="AC804" i="6" s="1"/>
  <c r="W8" i="11"/>
  <c r="C542" i="6"/>
  <c r="AD542" i="6" s="1"/>
  <c r="AB3" i="4"/>
  <c r="AB13" i="4" s="1"/>
  <c r="C553" i="6"/>
  <c r="AD553" i="6" s="1"/>
  <c r="C520" i="6"/>
  <c r="AD520" i="6" s="1"/>
  <c r="C531" i="6"/>
  <c r="AD531" i="6" s="1"/>
  <c r="G9" i="10"/>
  <c r="C1081" i="6"/>
  <c r="AD1081" i="6" s="1"/>
  <c r="C1037" i="6"/>
  <c r="AD1037" i="6" s="1"/>
  <c r="C1070" i="6"/>
  <c r="AD1070" i="6" s="1"/>
  <c r="C1026" i="6"/>
  <c r="AD1026" i="6" s="1"/>
  <c r="C1103" i="6"/>
  <c r="AD1103" i="6" s="1"/>
  <c r="C1059" i="6"/>
  <c r="AD1059" i="6" s="1"/>
  <c r="Y36" i="8"/>
  <c r="Y10" i="8"/>
  <c r="C1092" i="6"/>
  <c r="AD1092" i="6" s="1"/>
  <c r="C1048" i="6"/>
  <c r="AD1048" i="6" s="1"/>
  <c r="C982" i="6"/>
  <c r="AD982" i="6" s="1"/>
  <c r="C938" i="6"/>
  <c r="AD938" i="6" s="1"/>
  <c r="C1015" i="6"/>
  <c r="AD1015" i="6" s="1"/>
  <c r="C971" i="6"/>
  <c r="AD971" i="6" s="1"/>
  <c r="C927" i="6"/>
  <c r="AD927" i="6" s="1"/>
  <c r="C1004" i="6"/>
  <c r="AD1004" i="6" s="1"/>
  <c r="C960" i="6"/>
  <c r="AD960" i="6" s="1"/>
  <c r="C916" i="6"/>
  <c r="AD916" i="6" s="1"/>
  <c r="C993" i="6"/>
  <c r="AD993" i="6" s="1"/>
  <c r="C949" i="6"/>
  <c r="AD949" i="6" s="1"/>
  <c r="C905" i="6"/>
  <c r="AD905" i="6" s="1"/>
  <c r="C872" i="6"/>
  <c r="AD872" i="6" s="1"/>
  <c r="C828" i="6"/>
  <c r="AD828" i="6" s="1"/>
  <c r="C784" i="6"/>
  <c r="AD784" i="6" s="1"/>
  <c r="C861" i="6"/>
  <c r="AD861" i="6" s="1"/>
  <c r="C817" i="6"/>
  <c r="AD817" i="6" s="1"/>
  <c r="C773" i="6"/>
  <c r="AD773" i="6" s="1"/>
  <c r="C894" i="6"/>
  <c r="AD894" i="6" s="1"/>
  <c r="C850" i="6"/>
  <c r="AD850" i="6" s="1"/>
  <c r="C806" i="6"/>
  <c r="AD806" i="6" s="1"/>
  <c r="C883" i="6"/>
  <c r="AD883" i="6" s="1"/>
  <c r="C839" i="6"/>
  <c r="AD839" i="6" s="1"/>
  <c r="C795" i="6"/>
  <c r="AD795" i="6" s="1"/>
  <c r="W4" i="11"/>
  <c r="C549" i="6"/>
  <c r="AD549" i="6" s="1"/>
  <c r="C516" i="6"/>
  <c r="AD516" i="6" s="1"/>
  <c r="C527" i="6"/>
  <c r="AD527" i="6" s="1"/>
  <c r="H3" i="4"/>
  <c r="H13" i="4" s="1"/>
  <c r="C538" i="6"/>
  <c r="AD538" i="6" s="1"/>
  <c r="C9" i="10"/>
  <c r="C1077" i="6"/>
  <c r="AD1077" i="6" s="1"/>
  <c r="C1033" i="6"/>
  <c r="AD1033" i="6" s="1"/>
  <c r="C1066" i="6"/>
  <c r="AD1066" i="6" s="1"/>
  <c r="C1022" i="6"/>
  <c r="AD1022" i="6" s="1"/>
  <c r="C1099" i="6"/>
  <c r="AD1099" i="6" s="1"/>
  <c r="C1055" i="6"/>
  <c r="AD1055" i="6" s="1"/>
  <c r="Y32" i="8"/>
  <c r="Y6" i="8"/>
  <c r="C1088" i="6"/>
  <c r="AD1088" i="6" s="1"/>
  <c r="C1044" i="6"/>
  <c r="AD1044" i="6" s="1"/>
  <c r="C978" i="6"/>
  <c r="AD978" i="6" s="1"/>
  <c r="C934" i="6"/>
  <c r="AD934" i="6" s="1"/>
  <c r="C1011" i="6"/>
  <c r="AD1011" i="6" s="1"/>
  <c r="C967" i="6"/>
  <c r="AD967" i="6" s="1"/>
  <c r="C923" i="6"/>
  <c r="AD923" i="6" s="1"/>
  <c r="C1000" i="6"/>
  <c r="AD1000" i="6" s="1"/>
  <c r="C956" i="6"/>
  <c r="AD956" i="6" s="1"/>
  <c r="C912" i="6"/>
  <c r="AD912" i="6" s="1"/>
  <c r="C989" i="6"/>
  <c r="AD989" i="6" s="1"/>
  <c r="C945" i="6"/>
  <c r="AD945" i="6" s="1"/>
  <c r="C901" i="6"/>
  <c r="AD901" i="6" s="1"/>
  <c r="C868" i="6"/>
  <c r="AD868" i="6" s="1"/>
  <c r="C824" i="6"/>
  <c r="AD824" i="6" s="1"/>
  <c r="C780" i="6"/>
  <c r="AD780" i="6" s="1"/>
  <c r="C857" i="6"/>
  <c r="AD857" i="6" s="1"/>
  <c r="C813" i="6"/>
  <c r="AD813" i="6" s="1"/>
  <c r="C769" i="6"/>
  <c r="AD769" i="6" s="1"/>
  <c r="C890" i="6"/>
  <c r="AD890" i="6" s="1"/>
  <c r="C846" i="6"/>
  <c r="AD846" i="6" s="1"/>
  <c r="C802" i="6"/>
  <c r="AD802" i="6" s="1"/>
  <c r="C879" i="6"/>
  <c r="AD879" i="6" s="1"/>
  <c r="C835" i="6"/>
  <c r="AD835" i="6" s="1"/>
  <c r="C791" i="6"/>
  <c r="AD791" i="6" s="1"/>
  <c r="W11" i="11"/>
  <c r="C556" i="6"/>
  <c r="AD556" i="6" s="1"/>
  <c r="C523" i="6"/>
  <c r="AD523" i="6" s="1"/>
  <c r="C545" i="6"/>
  <c r="AD545" i="6" s="1"/>
  <c r="C534" i="6"/>
  <c r="AD534" i="6" s="1"/>
  <c r="AQ3" i="4"/>
  <c r="AQ13" i="4" s="1"/>
  <c r="J9" i="10"/>
  <c r="Y39" i="8"/>
  <c r="C1106" i="6"/>
  <c r="AD1106" i="6" s="1"/>
  <c r="C1062" i="6"/>
  <c r="AD1062" i="6" s="1"/>
  <c r="C1095" i="6"/>
  <c r="AD1095" i="6" s="1"/>
  <c r="C1051" i="6"/>
  <c r="AD1051" i="6" s="1"/>
  <c r="Y13" i="8"/>
  <c r="C1084" i="6"/>
  <c r="AD1084" i="6" s="1"/>
  <c r="C1040" i="6"/>
  <c r="AD1040" i="6" s="1"/>
  <c r="C1073" i="6"/>
  <c r="AD1073" i="6" s="1"/>
  <c r="C1029" i="6"/>
  <c r="AD1029" i="6" s="1"/>
  <c r="C1007" i="6"/>
  <c r="AD1007" i="6" s="1"/>
  <c r="C963" i="6"/>
  <c r="AD963" i="6" s="1"/>
  <c r="C919" i="6"/>
  <c r="AD919" i="6" s="1"/>
  <c r="C996" i="6"/>
  <c r="AD996" i="6" s="1"/>
  <c r="C952" i="6"/>
  <c r="AD952" i="6" s="1"/>
  <c r="C908" i="6"/>
  <c r="AD908" i="6" s="1"/>
  <c r="C985" i="6"/>
  <c r="AD985" i="6" s="1"/>
  <c r="C941" i="6"/>
  <c r="AD941" i="6" s="1"/>
  <c r="C897" i="6"/>
  <c r="AD897" i="6" s="1"/>
  <c r="C1018" i="6"/>
  <c r="AD1018" i="6" s="1"/>
  <c r="C974" i="6"/>
  <c r="AD974" i="6" s="1"/>
  <c r="C930" i="6"/>
  <c r="AD930" i="6" s="1"/>
  <c r="C853" i="6"/>
  <c r="AD853" i="6" s="1"/>
  <c r="C809" i="6"/>
  <c r="AD809" i="6" s="1"/>
  <c r="C886" i="6"/>
  <c r="AD886" i="6" s="1"/>
  <c r="C842" i="6"/>
  <c r="AD842" i="6" s="1"/>
  <c r="C798" i="6"/>
  <c r="AD798" i="6" s="1"/>
  <c r="C875" i="6"/>
  <c r="AD875" i="6" s="1"/>
  <c r="C831" i="6"/>
  <c r="AD831" i="6" s="1"/>
  <c r="C787" i="6"/>
  <c r="AD787" i="6" s="1"/>
  <c r="C864" i="6"/>
  <c r="AD864" i="6" s="1"/>
  <c r="C820" i="6"/>
  <c r="AD820" i="6" s="1"/>
  <c r="C776" i="6"/>
  <c r="AD776" i="6" s="1"/>
  <c r="AH53" i="8"/>
  <c r="AA53" i="8"/>
  <c r="AM39" i="8"/>
  <c r="AG39" i="8"/>
  <c r="AA39" i="8"/>
  <c r="AH26" i="8"/>
  <c r="AA26" i="8"/>
  <c r="AM13" i="8"/>
  <c r="AG13" i="8"/>
  <c r="AA13" i="8"/>
  <c r="W5" i="11"/>
  <c r="C539" i="6"/>
  <c r="AD539" i="6" s="1"/>
  <c r="M3" i="4"/>
  <c r="M13" i="4" s="1"/>
  <c r="C550" i="6"/>
  <c r="AD550" i="6" s="1"/>
  <c r="C528" i="6"/>
  <c r="AD528" i="6" s="1"/>
  <c r="C517" i="6"/>
  <c r="AD517" i="6" s="1"/>
  <c r="D9" i="10"/>
  <c r="Y7" i="8"/>
  <c r="C1100" i="6"/>
  <c r="AD1100" i="6" s="1"/>
  <c r="C1056" i="6"/>
  <c r="AD1056" i="6" s="1"/>
  <c r="C1089" i="6"/>
  <c r="AD1089" i="6" s="1"/>
  <c r="C1045" i="6"/>
  <c r="AD1045" i="6" s="1"/>
  <c r="Y33" i="8"/>
  <c r="C1078" i="6"/>
  <c r="AD1078" i="6" s="1"/>
  <c r="C1034" i="6"/>
  <c r="AD1034" i="6" s="1"/>
  <c r="C1067" i="6"/>
  <c r="AD1067" i="6" s="1"/>
  <c r="C1023" i="6"/>
  <c r="AD1023" i="6" s="1"/>
  <c r="C1001" i="6"/>
  <c r="AD1001" i="6" s="1"/>
  <c r="C957" i="6"/>
  <c r="AD957" i="6" s="1"/>
  <c r="C913" i="6"/>
  <c r="AD913" i="6" s="1"/>
  <c r="C990" i="6"/>
  <c r="AD990" i="6" s="1"/>
  <c r="C946" i="6"/>
  <c r="AD946" i="6" s="1"/>
  <c r="C902" i="6"/>
  <c r="AD902" i="6" s="1"/>
  <c r="C979" i="6"/>
  <c r="AD979" i="6" s="1"/>
  <c r="C935" i="6"/>
  <c r="AD935" i="6" s="1"/>
  <c r="C1012" i="6"/>
  <c r="AD1012" i="6" s="1"/>
  <c r="C968" i="6"/>
  <c r="AD968" i="6" s="1"/>
  <c r="C924" i="6"/>
  <c r="AD924" i="6" s="1"/>
  <c r="C891" i="6"/>
  <c r="AD891" i="6" s="1"/>
  <c r="C847" i="6"/>
  <c r="AD847" i="6" s="1"/>
  <c r="C803" i="6"/>
  <c r="AD803" i="6" s="1"/>
  <c r="C880" i="6"/>
  <c r="AD880" i="6" s="1"/>
  <c r="C836" i="6"/>
  <c r="AD836" i="6" s="1"/>
  <c r="C792" i="6"/>
  <c r="AD792" i="6" s="1"/>
  <c r="C869" i="6"/>
  <c r="AD869" i="6" s="1"/>
  <c r="C825" i="6"/>
  <c r="AD825" i="6" s="1"/>
  <c r="C781" i="6"/>
  <c r="AD781" i="6" s="1"/>
  <c r="C858" i="6"/>
  <c r="AD858" i="6" s="1"/>
  <c r="C814" i="6"/>
  <c r="AD814" i="6" s="1"/>
  <c r="C770" i="6"/>
  <c r="AD770" i="6" s="1"/>
  <c r="V5" i="11"/>
  <c r="B550" i="6"/>
  <c r="AC550" i="6" s="1"/>
  <c r="B539" i="6"/>
  <c r="AC539" i="6" s="1"/>
  <c r="B528" i="6"/>
  <c r="AC528" i="6" s="1"/>
  <c r="B517" i="6"/>
  <c r="AC517" i="6" s="1"/>
  <c r="D11" i="10"/>
  <c r="B1067" i="6"/>
  <c r="AC1067" i="6" s="1"/>
  <c r="B1023" i="6"/>
  <c r="AC1023" i="6" s="1"/>
  <c r="B1100" i="6"/>
  <c r="AC1100" i="6" s="1"/>
  <c r="B1056" i="6"/>
  <c r="AC1056" i="6" s="1"/>
  <c r="B1089" i="6"/>
  <c r="AC1089" i="6" s="1"/>
  <c r="B1045" i="6"/>
  <c r="AC1045" i="6" s="1"/>
  <c r="B1078" i="6"/>
  <c r="AC1078" i="6" s="1"/>
  <c r="B1034" i="6"/>
  <c r="AC1034" i="6" s="1"/>
  <c r="B1012" i="6"/>
  <c r="AC1012" i="6" s="1"/>
  <c r="B968" i="6"/>
  <c r="AC968" i="6" s="1"/>
  <c r="B924" i="6"/>
  <c r="AC924" i="6" s="1"/>
  <c r="B1001" i="6"/>
  <c r="AC1001" i="6" s="1"/>
  <c r="B957" i="6"/>
  <c r="AC957" i="6" s="1"/>
  <c r="B913" i="6"/>
  <c r="AC913" i="6" s="1"/>
  <c r="B990" i="6"/>
  <c r="AC990" i="6" s="1"/>
  <c r="B946" i="6"/>
  <c r="AC946" i="6" s="1"/>
  <c r="B902" i="6"/>
  <c r="AC902" i="6" s="1"/>
  <c r="B979" i="6"/>
  <c r="AC979" i="6" s="1"/>
  <c r="B935" i="6"/>
  <c r="AC935" i="6" s="1"/>
  <c r="B858" i="6"/>
  <c r="AC858" i="6" s="1"/>
  <c r="B814" i="6"/>
  <c r="AC814" i="6" s="1"/>
  <c r="B770" i="6"/>
  <c r="AC770" i="6" s="1"/>
  <c r="B891" i="6"/>
  <c r="AC891" i="6" s="1"/>
  <c r="B847" i="6"/>
  <c r="AC847" i="6" s="1"/>
  <c r="B803" i="6"/>
  <c r="AC803" i="6" s="1"/>
  <c r="B880" i="6"/>
  <c r="AC880" i="6" s="1"/>
  <c r="B836" i="6"/>
  <c r="AC836" i="6" s="1"/>
  <c r="B792" i="6"/>
  <c r="AC792" i="6" s="1"/>
  <c r="B869" i="6"/>
  <c r="AC869" i="6" s="1"/>
  <c r="B825" i="6"/>
  <c r="AC825" i="6" s="1"/>
  <c r="B781" i="6"/>
  <c r="AC781" i="6" s="1"/>
  <c r="V4" i="11"/>
  <c r="AA554" i="6"/>
  <c r="AA551" i="6"/>
  <c r="AA549" i="6"/>
  <c r="Z543" i="6"/>
  <c r="Z541" i="6"/>
  <c r="AA539" i="6"/>
  <c r="Z533" i="6"/>
  <c r="Z531" i="6"/>
  <c r="AA529" i="6"/>
  <c r="AA521" i="6"/>
  <c r="AA519" i="6"/>
  <c r="Z518" i="6"/>
  <c r="AA516" i="6"/>
  <c r="Z555" i="6"/>
  <c r="AA543" i="6"/>
  <c r="Z540" i="6"/>
  <c r="Z530" i="6"/>
  <c r="AA518" i="6"/>
  <c r="Z554" i="6"/>
  <c r="AA552" i="6"/>
  <c r="Z551" i="6"/>
  <c r="Z549" i="6"/>
  <c r="B549" i="6"/>
  <c r="AC549" i="6" s="1"/>
  <c r="AA544" i="6"/>
  <c r="AA542" i="6"/>
  <c r="Z539" i="6"/>
  <c r="AA532" i="6"/>
  <c r="Z529" i="6"/>
  <c r="AA527" i="6"/>
  <c r="Z521" i="6"/>
  <c r="Z519" i="6"/>
  <c r="Z516" i="6"/>
  <c r="B516" i="6"/>
  <c r="AC516" i="6" s="1"/>
  <c r="Z553" i="6"/>
  <c r="AA541" i="6"/>
  <c r="B538" i="6"/>
  <c r="AC538" i="6" s="1"/>
  <c r="AA531" i="6"/>
  <c r="Z520" i="6"/>
  <c r="C3" i="9"/>
  <c r="AA555" i="6"/>
  <c r="AA553" i="6"/>
  <c r="Z552" i="6"/>
  <c r="AA550" i="6"/>
  <c r="Z544" i="6"/>
  <c r="Z542" i="6"/>
  <c r="AA540" i="6"/>
  <c r="AA538" i="6"/>
  <c r="Z532" i="6"/>
  <c r="AA530" i="6"/>
  <c r="AA528" i="6"/>
  <c r="Z527" i="6"/>
  <c r="B527" i="6"/>
  <c r="AC527" i="6" s="1"/>
  <c r="AA522" i="6"/>
  <c r="AA520" i="6"/>
  <c r="AA517" i="6"/>
  <c r="Z550" i="6"/>
  <c r="Z538" i="6"/>
  <c r="AA533" i="6"/>
  <c r="Z528" i="6"/>
  <c r="Z522" i="6"/>
  <c r="Z517" i="6"/>
  <c r="C11" i="10"/>
  <c r="Z1093" i="6"/>
  <c r="Z1091" i="6"/>
  <c r="Z1089" i="6"/>
  <c r="B1088" i="6"/>
  <c r="AC1088" i="6" s="1"/>
  <c r="AA1082" i="6"/>
  <c r="AA1080" i="6"/>
  <c r="AA1078" i="6"/>
  <c r="Z1072" i="6"/>
  <c r="Z1070" i="6"/>
  <c r="Z1068" i="6"/>
  <c r="Z1066" i="6"/>
  <c r="AA1061" i="6"/>
  <c r="AA1059" i="6"/>
  <c r="AA1057" i="6"/>
  <c r="AA1055" i="6"/>
  <c r="Z1049" i="6"/>
  <c r="Z1047" i="6"/>
  <c r="Z1045" i="6"/>
  <c r="B1044" i="6"/>
  <c r="AC1044" i="6" s="1"/>
  <c r="AA1038" i="6"/>
  <c r="AA1036" i="6"/>
  <c r="AA1034" i="6"/>
  <c r="Z1028" i="6"/>
  <c r="Z1026" i="6"/>
  <c r="Z1024" i="6"/>
  <c r="Z1022" i="6"/>
  <c r="AA1094" i="6"/>
  <c r="AA1092" i="6"/>
  <c r="AA1090" i="6"/>
  <c r="AA1088" i="6"/>
  <c r="Z1082" i="6"/>
  <c r="Z1080" i="6"/>
  <c r="Z1078" i="6"/>
  <c r="B1077" i="6"/>
  <c r="AC1077" i="6" s="1"/>
  <c r="AA1071" i="6"/>
  <c r="AA1069" i="6"/>
  <c r="AA1067" i="6"/>
  <c r="Z1061" i="6"/>
  <c r="Z1059" i="6"/>
  <c r="Z1057" i="6"/>
  <c r="Z1055" i="6"/>
  <c r="AA1050" i="6"/>
  <c r="AA1048" i="6"/>
  <c r="AA1046" i="6"/>
  <c r="AA1044" i="6"/>
  <c r="Z1038" i="6"/>
  <c r="Z1036" i="6"/>
  <c r="Z1034" i="6"/>
  <c r="B1033" i="6"/>
  <c r="AC1033" i="6" s="1"/>
  <c r="AA1027" i="6"/>
  <c r="AA1025" i="6"/>
  <c r="AA1023" i="6"/>
  <c r="Z1094" i="6"/>
  <c r="Z1092" i="6"/>
  <c r="Z1090" i="6"/>
  <c r="Z1088" i="6"/>
  <c r="AA1083" i="6"/>
  <c r="AA1081" i="6"/>
  <c r="AA1079" i="6"/>
  <c r="AA1077" i="6"/>
  <c r="Z1071" i="6"/>
  <c r="Z1069" i="6"/>
  <c r="Z1067" i="6"/>
  <c r="B1066" i="6"/>
  <c r="AC1066" i="6" s="1"/>
  <c r="AA1060" i="6"/>
  <c r="AA1058" i="6"/>
  <c r="AA1056" i="6"/>
  <c r="Z1050" i="6"/>
  <c r="Z1048" i="6"/>
  <c r="Z1046" i="6"/>
  <c r="Z1044" i="6"/>
  <c r="AA1039" i="6"/>
  <c r="AA1037" i="6"/>
  <c r="AA1035" i="6"/>
  <c r="AA1033" i="6"/>
  <c r="Z1027" i="6"/>
  <c r="Z1025" i="6"/>
  <c r="Z1023" i="6"/>
  <c r="B1022" i="6"/>
  <c r="AC1022" i="6" s="1"/>
  <c r="B1099" i="6"/>
  <c r="AC1099" i="6" s="1"/>
  <c r="AA1093" i="6"/>
  <c r="AA1091" i="6"/>
  <c r="AA1089" i="6"/>
  <c r="Z1083" i="6"/>
  <c r="Z1081" i="6"/>
  <c r="Z1079" i="6"/>
  <c r="Z1077" i="6"/>
  <c r="AA1072" i="6"/>
  <c r="AA1070" i="6"/>
  <c r="AA1068" i="6"/>
  <c r="AA1066" i="6"/>
  <c r="Z1060" i="6"/>
  <c r="Z1058" i="6"/>
  <c r="Z1056" i="6"/>
  <c r="B1055" i="6"/>
  <c r="AC1055" i="6" s="1"/>
  <c r="AA1049" i="6"/>
  <c r="AA1047" i="6"/>
  <c r="AA1045" i="6"/>
  <c r="Z1039" i="6"/>
  <c r="Z1037" i="6"/>
  <c r="Z1035" i="6"/>
  <c r="Z1033" i="6"/>
  <c r="AA1028" i="6"/>
  <c r="AA1026" i="6"/>
  <c r="AA1024" i="6"/>
  <c r="AA1022" i="6"/>
  <c r="Z1017" i="6"/>
  <c r="Z1015" i="6"/>
  <c r="Z1013" i="6"/>
  <c r="Z1011" i="6"/>
  <c r="AA1006" i="6"/>
  <c r="AA1004" i="6"/>
  <c r="AA1002" i="6"/>
  <c r="AA1000" i="6"/>
  <c r="Z994" i="6"/>
  <c r="Z992" i="6"/>
  <c r="Z990" i="6"/>
  <c r="B989" i="6"/>
  <c r="AC989" i="6" s="1"/>
  <c r="AA983" i="6"/>
  <c r="AA981" i="6"/>
  <c r="AA979" i="6"/>
  <c r="Z973" i="6"/>
  <c r="Z971" i="6"/>
  <c r="Z969" i="6"/>
  <c r="Z967" i="6"/>
  <c r="AA962" i="6"/>
  <c r="AA960" i="6"/>
  <c r="AA958" i="6"/>
  <c r="AA956" i="6"/>
  <c r="Z950" i="6"/>
  <c r="Z948" i="6"/>
  <c r="Z946" i="6"/>
  <c r="B945" i="6"/>
  <c r="AA939" i="6"/>
  <c r="AA937" i="6"/>
  <c r="AA935" i="6"/>
  <c r="Z929" i="6"/>
  <c r="Z927" i="6"/>
  <c r="Z925" i="6"/>
  <c r="Z923" i="6"/>
  <c r="AA918" i="6"/>
  <c r="AA916" i="6"/>
  <c r="AA914" i="6"/>
  <c r="AA912" i="6"/>
  <c r="Z906" i="6"/>
  <c r="Z904" i="6"/>
  <c r="Z902" i="6"/>
  <c r="B901" i="6"/>
  <c r="AA1016" i="6"/>
  <c r="AA1014" i="6"/>
  <c r="AA1012" i="6"/>
  <c r="Z1006" i="6"/>
  <c r="Z1004" i="6"/>
  <c r="Z1002" i="6"/>
  <c r="Z1000" i="6"/>
  <c r="AA995" i="6"/>
  <c r="AA993" i="6"/>
  <c r="AA991" i="6"/>
  <c r="AA989" i="6"/>
  <c r="Z983" i="6"/>
  <c r="Z981" i="6"/>
  <c r="Z979" i="6"/>
  <c r="B978" i="6"/>
  <c r="AC978" i="6" s="1"/>
  <c r="AA972" i="6"/>
  <c r="AA970" i="6"/>
  <c r="AA968" i="6"/>
  <c r="Z962" i="6"/>
  <c r="Z960" i="6"/>
  <c r="Z958" i="6"/>
  <c r="Z956" i="6"/>
  <c r="AA951" i="6"/>
  <c r="AA949" i="6"/>
  <c r="AA947" i="6"/>
  <c r="AA945" i="6"/>
  <c r="Z939" i="6"/>
  <c r="Z937" i="6"/>
  <c r="Z935" i="6"/>
  <c r="B934" i="6"/>
  <c r="AC934" i="6" s="1"/>
  <c r="AA928" i="6"/>
  <c r="AA926" i="6"/>
  <c r="AA924" i="6"/>
  <c r="Z918" i="6"/>
  <c r="Z916" i="6"/>
  <c r="Z914" i="6"/>
  <c r="Z912" i="6"/>
  <c r="AA907" i="6"/>
  <c r="AA905" i="6"/>
  <c r="AA903" i="6"/>
  <c r="AA901" i="6"/>
  <c r="Z895" i="6"/>
  <c r="Z1016" i="6"/>
  <c r="Z1014" i="6"/>
  <c r="Z1012" i="6"/>
  <c r="B1011" i="6"/>
  <c r="AC1011" i="6" s="1"/>
  <c r="AA1005" i="6"/>
  <c r="AA1003" i="6"/>
  <c r="AA1001" i="6"/>
  <c r="Z995" i="6"/>
  <c r="Z993" i="6"/>
  <c r="Z991" i="6"/>
  <c r="Z989" i="6"/>
  <c r="AA984" i="6"/>
  <c r="AA982" i="6"/>
  <c r="AA980" i="6"/>
  <c r="AA978" i="6"/>
  <c r="Z972" i="6"/>
  <c r="Z970" i="6"/>
  <c r="Z968" i="6"/>
  <c r="B967" i="6"/>
  <c r="AA961" i="6"/>
  <c r="AA959" i="6"/>
  <c r="AA957" i="6"/>
  <c r="Z951" i="6"/>
  <c r="Z949" i="6"/>
  <c r="Z947" i="6"/>
  <c r="Z945" i="6"/>
  <c r="AA940" i="6"/>
  <c r="AA938" i="6"/>
  <c r="AA936" i="6"/>
  <c r="AA934" i="6"/>
  <c r="Z928" i="6"/>
  <c r="Z926" i="6"/>
  <c r="Z924" i="6"/>
  <c r="B923" i="6"/>
  <c r="AA917" i="6"/>
  <c r="AA915" i="6"/>
  <c r="AA913" i="6"/>
  <c r="Z907" i="6"/>
  <c r="Z905" i="6"/>
  <c r="Z903" i="6"/>
  <c r="Z901" i="6"/>
  <c r="AA896" i="6"/>
  <c r="AA1017" i="6"/>
  <c r="AA1015" i="6"/>
  <c r="AA1013" i="6"/>
  <c r="AA1011" i="6"/>
  <c r="Z1005" i="6"/>
  <c r="Z1003" i="6"/>
  <c r="Z1001" i="6"/>
  <c r="B1000" i="6"/>
  <c r="AC1000" i="6" s="1"/>
  <c r="AA994" i="6"/>
  <c r="AA992" i="6"/>
  <c r="AA990" i="6"/>
  <c r="Z984" i="6"/>
  <c r="Z982" i="6"/>
  <c r="Z980" i="6"/>
  <c r="Z978" i="6"/>
  <c r="AA973" i="6"/>
  <c r="AA971" i="6"/>
  <c r="AA969" i="6"/>
  <c r="AA967" i="6"/>
  <c r="Z961" i="6"/>
  <c r="Z959" i="6"/>
  <c r="Z957" i="6"/>
  <c r="B956" i="6"/>
  <c r="AA950" i="6"/>
  <c r="AA948" i="6"/>
  <c r="AA946" i="6"/>
  <c r="Z940" i="6"/>
  <c r="Z938" i="6"/>
  <c r="Z936" i="6"/>
  <c r="Z934" i="6"/>
  <c r="AA929" i="6"/>
  <c r="AA927" i="6"/>
  <c r="AA925" i="6"/>
  <c r="AA923" i="6"/>
  <c r="Z917" i="6"/>
  <c r="Z915" i="6"/>
  <c r="Z913" i="6"/>
  <c r="B912" i="6"/>
  <c r="AA906" i="6"/>
  <c r="AA904" i="6"/>
  <c r="AA902" i="6"/>
  <c r="Z896" i="6"/>
  <c r="AA894" i="6"/>
  <c r="AA892" i="6"/>
  <c r="AA890" i="6"/>
  <c r="Z884" i="6"/>
  <c r="Z882" i="6"/>
  <c r="Z880" i="6"/>
  <c r="B879" i="6"/>
  <c r="AC879" i="6" s="1"/>
  <c r="AA873" i="6"/>
  <c r="AA871" i="6"/>
  <c r="AA869" i="6"/>
  <c r="Z863" i="6"/>
  <c r="Z861" i="6"/>
  <c r="Z859" i="6"/>
  <c r="Z857" i="6"/>
  <c r="B835" i="6"/>
  <c r="AC835" i="6" s="1"/>
  <c r="B791" i="6"/>
  <c r="AC791" i="6" s="1"/>
  <c r="Z852" i="6"/>
  <c r="Z850" i="6"/>
  <c r="Z848" i="6"/>
  <c r="Z846" i="6"/>
  <c r="Z841" i="6"/>
  <c r="Z839" i="6"/>
  <c r="Z837" i="6"/>
  <c r="Z835" i="6"/>
  <c r="Z830" i="6"/>
  <c r="Z828" i="6"/>
  <c r="Z826" i="6"/>
  <c r="Z824" i="6"/>
  <c r="Z819" i="6"/>
  <c r="Z817" i="6"/>
  <c r="Z815" i="6"/>
  <c r="Z813" i="6"/>
  <c r="Z808" i="6"/>
  <c r="Z806" i="6"/>
  <c r="Z804" i="6"/>
  <c r="Z802" i="6"/>
  <c r="Z797" i="6"/>
  <c r="Z795" i="6"/>
  <c r="Z793" i="6"/>
  <c r="Z791" i="6"/>
  <c r="Z786" i="6"/>
  <c r="Z784" i="6"/>
  <c r="AA895" i="6"/>
  <c r="Z894" i="6"/>
  <c r="Z892" i="6"/>
  <c r="Z890" i="6"/>
  <c r="AA885" i="6"/>
  <c r="AA883" i="6"/>
  <c r="AA881" i="6"/>
  <c r="AA879" i="6"/>
  <c r="Z873" i="6"/>
  <c r="Z871" i="6"/>
  <c r="Z869" i="6"/>
  <c r="B868" i="6"/>
  <c r="AC868" i="6" s="1"/>
  <c r="AA862" i="6"/>
  <c r="AA860" i="6"/>
  <c r="AA858" i="6"/>
  <c r="B824" i="6"/>
  <c r="AC824" i="6" s="1"/>
  <c r="B780" i="6"/>
  <c r="AC780" i="6" s="1"/>
  <c r="AA851" i="6"/>
  <c r="AA849" i="6"/>
  <c r="AA847" i="6"/>
  <c r="AA840" i="6"/>
  <c r="AA838" i="6"/>
  <c r="AA836" i="6"/>
  <c r="AA829" i="6"/>
  <c r="AA827" i="6"/>
  <c r="AA825" i="6"/>
  <c r="AA818" i="6"/>
  <c r="AA816" i="6"/>
  <c r="AA814" i="6"/>
  <c r="AA807" i="6"/>
  <c r="AA805" i="6"/>
  <c r="AA803" i="6"/>
  <c r="AA796" i="6"/>
  <c r="AA794" i="6"/>
  <c r="AA792" i="6"/>
  <c r="AA785" i="6"/>
  <c r="AA783" i="6"/>
  <c r="AA781" i="6"/>
  <c r="AA893" i="6"/>
  <c r="AA891" i="6"/>
  <c r="Z885" i="6"/>
  <c r="Z883" i="6"/>
  <c r="Z881" i="6"/>
  <c r="Z879" i="6"/>
  <c r="AA874" i="6"/>
  <c r="AA872" i="6"/>
  <c r="AA870" i="6"/>
  <c r="AA868" i="6"/>
  <c r="Z862" i="6"/>
  <c r="Z860" i="6"/>
  <c r="Z858" i="6"/>
  <c r="B857" i="6"/>
  <c r="AC857" i="6" s="1"/>
  <c r="B813" i="6"/>
  <c r="AC813" i="6" s="1"/>
  <c r="B769" i="6"/>
  <c r="AC769" i="6" s="1"/>
  <c r="Z851" i="6"/>
  <c r="Z849" i="6"/>
  <c r="Z847" i="6"/>
  <c r="Z840" i="6"/>
  <c r="Z838" i="6"/>
  <c r="Z836" i="6"/>
  <c r="Z829" i="6"/>
  <c r="Z827" i="6"/>
  <c r="Z825" i="6"/>
  <c r="Z818" i="6"/>
  <c r="Z816" i="6"/>
  <c r="Z814" i="6"/>
  <c r="Z807" i="6"/>
  <c r="Z805" i="6"/>
  <c r="Z803" i="6"/>
  <c r="Z796" i="6"/>
  <c r="Z794" i="6"/>
  <c r="Z792" i="6"/>
  <c r="Z785" i="6"/>
  <c r="Z783" i="6"/>
  <c r="Z781" i="6"/>
  <c r="Z893" i="6"/>
  <c r="Z891" i="6"/>
  <c r="B890" i="6"/>
  <c r="AA884" i="6"/>
  <c r="AA882" i="6"/>
  <c r="AA880" i="6"/>
  <c r="Z874" i="6"/>
  <c r="Z872" i="6"/>
  <c r="Z870" i="6"/>
  <c r="Z868" i="6"/>
  <c r="AA863" i="6"/>
  <c r="AA861" i="6"/>
  <c r="AA859" i="6"/>
  <c r="AA857" i="6"/>
  <c r="B846" i="6"/>
  <c r="AC846" i="6" s="1"/>
  <c r="B802" i="6"/>
  <c r="AC802" i="6" s="1"/>
  <c r="AA852" i="6"/>
  <c r="AA850" i="6"/>
  <c r="AA848" i="6"/>
  <c r="AA846" i="6"/>
  <c r="AA841" i="6"/>
  <c r="AA839" i="6"/>
  <c r="AA837" i="6"/>
  <c r="AA835" i="6"/>
  <c r="AA830" i="6"/>
  <c r="AA828" i="6"/>
  <c r="AA826" i="6"/>
  <c r="AA824" i="6"/>
  <c r="AA819" i="6"/>
  <c r="AA817" i="6"/>
  <c r="AA815" i="6"/>
  <c r="AA813" i="6"/>
  <c r="AA808" i="6"/>
  <c r="AA806" i="6"/>
  <c r="AA804" i="6"/>
  <c r="AA802" i="6"/>
  <c r="AA797" i="6"/>
  <c r="AA795" i="6"/>
  <c r="AA793" i="6"/>
  <c r="AA791" i="6"/>
  <c r="AA786" i="6"/>
  <c r="Z782" i="6"/>
  <c r="Z774" i="6"/>
  <c r="Z772" i="6"/>
  <c r="Z770" i="6"/>
  <c r="AA780" i="6"/>
  <c r="AA775" i="6"/>
  <c r="AA773" i="6"/>
  <c r="AA771" i="6"/>
  <c r="AA769" i="6"/>
  <c r="AA784" i="6"/>
  <c r="Z780" i="6"/>
  <c r="Z775" i="6"/>
  <c r="Z773" i="6"/>
  <c r="Z771" i="6"/>
  <c r="Z769" i="6"/>
  <c r="AA782" i="6"/>
  <c r="AA774" i="6"/>
  <c r="AA772" i="6"/>
  <c r="AA770" i="6"/>
  <c r="W10" i="11"/>
  <c r="C544" i="6"/>
  <c r="AD544" i="6" s="1"/>
  <c r="C533" i="6"/>
  <c r="AD533" i="6" s="1"/>
  <c r="C555" i="6"/>
  <c r="AD555" i="6" s="1"/>
  <c r="C522" i="6"/>
  <c r="AD522" i="6" s="1"/>
  <c r="AL3" i="4"/>
  <c r="AL13" i="4" s="1"/>
  <c r="G896" i="6" s="1"/>
  <c r="I9" i="10"/>
  <c r="C1083" i="6"/>
  <c r="AD1083" i="6" s="1"/>
  <c r="C1039" i="6"/>
  <c r="AD1039" i="6" s="1"/>
  <c r="Y38" i="8"/>
  <c r="Y12" i="8"/>
  <c r="C1072" i="6"/>
  <c r="AD1072" i="6" s="1"/>
  <c r="C1028" i="6"/>
  <c r="AD1028" i="6" s="1"/>
  <c r="C1105" i="6"/>
  <c r="AD1105" i="6" s="1"/>
  <c r="C1061" i="6"/>
  <c r="AD1061" i="6" s="1"/>
  <c r="C1094" i="6"/>
  <c r="AD1094" i="6" s="1"/>
  <c r="C1050" i="6"/>
  <c r="AD1050" i="6" s="1"/>
  <c r="C984" i="6"/>
  <c r="AD984" i="6" s="1"/>
  <c r="C940" i="6"/>
  <c r="AD940" i="6" s="1"/>
  <c r="C1017" i="6"/>
  <c r="AD1017" i="6" s="1"/>
  <c r="C973" i="6"/>
  <c r="AD973" i="6" s="1"/>
  <c r="C929" i="6"/>
  <c r="AD929" i="6" s="1"/>
  <c r="C1006" i="6"/>
  <c r="AD1006" i="6" s="1"/>
  <c r="C962" i="6"/>
  <c r="AD962" i="6" s="1"/>
  <c r="C918" i="6"/>
  <c r="AD918" i="6" s="1"/>
  <c r="C995" i="6"/>
  <c r="AD995" i="6" s="1"/>
  <c r="C951" i="6"/>
  <c r="AD951" i="6" s="1"/>
  <c r="C907" i="6"/>
  <c r="AD907" i="6" s="1"/>
  <c r="C874" i="6"/>
  <c r="AD874" i="6" s="1"/>
  <c r="C830" i="6"/>
  <c r="AD830" i="6" s="1"/>
  <c r="C786" i="6"/>
  <c r="AD786" i="6" s="1"/>
  <c r="C863" i="6"/>
  <c r="AD863" i="6" s="1"/>
  <c r="C819" i="6"/>
  <c r="AD819" i="6" s="1"/>
  <c r="C775" i="6"/>
  <c r="AD775" i="6" s="1"/>
  <c r="C896" i="6"/>
  <c r="AD896" i="6" s="1"/>
  <c r="C852" i="6"/>
  <c r="AD852" i="6" s="1"/>
  <c r="C808" i="6"/>
  <c r="AD808" i="6" s="1"/>
  <c r="C885" i="6"/>
  <c r="AD885" i="6" s="1"/>
  <c r="C841" i="6"/>
  <c r="AD841" i="6" s="1"/>
  <c r="C797" i="6"/>
  <c r="AD797" i="6" s="1"/>
  <c r="V11" i="11"/>
  <c r="B545" i="6"/>
  <c r="AC545" i="6" s="1"/>
  <c r="B556" i="6"/>
  <c r="AC556" i="6" s="1"/>
  <c r="B523" i="6"/>
  <c r="AC523" i="6" s="1"/>
  <c r="B534" i="6"/>
  <c r="AC534" i="6" s="1"/>
  <c r="J11" i="10"/>
  <c r="B1073" i="6"/>
  <c r="AC1073" i="6" s="1"/>
  <c r="B1029" i="6"/>
  <c r="AC1029" i="6" s="1"/>
  <c r="B1106" i="6"/>
  <c r="AC1106" i="6" s="1"/>
  <c r="B1062" i="6"/>
  <c r="AC1062" i="6" s="1"/>
  <c r="B1095" i="6"/>
  <c r="AC1095" i="6" s="1"/>
  <c r="B1051" i="6"/>
  <c r="AC1051" i="6" s="1"/>
  <c r="B1084" i="6"/>
  <c r="AC1084" i="6" s="1"/>
  <c r="B1040" i="6"/>
  <c r="AC1040" i="6" s="1"/>
  <c r="B1018" i="6"/>
  <c r="AC1018" i="6" s="1"/>
  <c r="B974" i="6"/>
  <c r="AC974" i="6" s="1"/>
  <c r="B930" i="6"/>
  <c r="AC930" i="6" s="1"/>
  <c r="B1007" i="6"/>
  <c r="AC1007" i="6" s="1"/>
  <c r="B963" i="6"/>
  <c r="AC963" i="6" s="1"/>
  <c r="B919" i="6"/>
  <c r="AC919" i="6" s="1"/>
  <c r="B996" i="6"/>
  <c r="AC996" i="6" s="1"/>
  <c r="B952" i="6"/>
  <c r="AC952" i="6" s="1"/>
  <c r="B908" i="6"/>
  <c r="AC908" i="6" s="1"/>
  <c r="B985" i="6"/>
  <c r="AC985" i="6" s="1"/>
  <c r="B941" i="6"/>
  <c r="AC941" i="6" s="1"/>
  <c r="B897" i="6"/>
  <c r="AC897" i="6" s="1"/>
  <c r="B864" i="6"/>
  <c r="AC864" i="6" s="1"/>
  <c r="B820" i="6"/>
  <c r="AC820" i="6" s="1"/>
  <c r="B776" i="6"/>
  <c r="AC776" i="6" s="1"/>
  <c r="B853" i="6"/>
  <c r="AC853" i="6" s="1"/>
  <c r="B809" i="6"/>
  <c r="AC809" i="6" s="1"/>
  <c r="B886" i="6"/>
  <c r="AC886" i="6" s="1"/>
  <c r="B842" i="6"/>
  <c r="AC842" i="6" s="1"/>
  <c r="B798" i="6"/>
  <c r="AC798" i="6" s="1"/>
  <c r="B875" i="6"/>
  <c r="AC875" i="6" s="1"/>
  <c r="B831" i="6"/>
  <c r="AC831" i="6" s="1"/>
  <c r="B787" i="6"/>
  <c r="AC787" i="6" s="1"/>
  <c r="W7" i="11"/>
  <c r="C519" i="6"/>
  <c r="AD519" i="6" s="1"/>
  <c r="C552" i="6"/>
  <c r="AD552" i="6" s="1"/>
  <c r="C530" i="6"/>
  <c r="AD530" i="6" s="1"/>
  <c r="W3" i="4"/>
  <c r="W13" i="4" s="1"/>
  <c r="C541" i="6"/>
  <c r="AD541" i="6" s="1"/>
  <c r="F9" i="10"/>
  <c r="Y35" i="8"/>
  <c r="C1102" i="6"/>
  <c r="AD1102" i="6" s="1"/>
  <c r="C1058" i="6"/>
  <c r="AD1058" i="6" s="1"/>
  <c r="C1091" i="6"/>
  <c r="AD1091" i="6" s="1"/>
  <c r="C1047" i="6"/>
  <c r="AD1047" i="6" s="1"/>
  <c r="Y9" i="8"/>
  <c r="C1080" i="6"/>
  <c r="AD1080" i="6" s="1"/>
  <c r="C1036" i="6"/>
  <c r="AD1036" i="6" s="1"/>
  <c r="C1069" i="6"/>
  <c r="AD1069" i="6" s="1"/>
  <c r="C1025" i="6"/>
  <c r="AD1025" i="6" s="1"/>
  <c r="C1003" i="6"/>
  <c r="AD1003" i="6" s="1"/>
  <c r="C959" i="6"/>
  <c r="AD959" i="6" s="1"/>
  <c r="C915" i="6"/>
  <c r="AD915" i="6" s="1"/>
  <c r="C992" i="6"/>
  <c r="AD992" i="6" s="1"/>
  <c r="C948" i="6"/>
  <c r="AD948" i="6" s="1"/>
  <c r="C904" i="6"/>
  <c r="AD904" i="6" s="1"/>
  <c r="C981" i="6"/>
  <c r="AD981" i="6" s="1"/>
  <c r="C937" i="6"/>
  <c r="AD937" i="6" s="1"/>
  <c r="C1014" i="6"/>
  <c r="AD1014" i="6" s="1"/>
  <c r="C970" i="6"/>
  <c r="AD970" i="6" s="1"/>
  <c r="C926" i="6"/>
  <c r="AD926" i="6" s="1"/>
  <c r="C893" i="6"/>
  <c r="AD893" i="6" s="1"/>
  <c r="C849" i="6"/>
  <c r="AD849" i="6" s="1"/>
  <c r="C805" i="6"/>
  <c r="AD805" i="6" s="1"/>
  <c r="C882" i="6"/>
  <c r="AD882" i="6" s="1"/>
  <c r="C838" i="6"/>
  <c r="AD838" i="6" s="1"/>
  <c r="C794" i="6"/>
  <c r="AD794" i="6" s="1"/>
  <c r="C871" i="6"/>
  <c r="AD871" i="6" s="1"/>
  <c r="C827" i="6"/>
  <c r="AD827" i="6" s="1"/>
  <c r="C783" i="6"/>
  <c r="AD783" i="6" s="1"/>
  <c r="C860" i="6"/>
  <c r="AD860" i="6" s="1"/>
  <c r="C816" i="6"/>
  <c r="AD816" i="6" s="1"/>
  <c r="C772" i="6"/>
  <c r="AD772" i="6" s="1"/>
  <c r="AH46" i="8"/>
  <c r="AA46" i="8"/>
  <c r="AM32" i="8"/>
  <c r="AG32" i="8"/>
  <c r="AA32" i="8"/>
  <c r="AH19" i="8"/>
  <c r="AA19" i="8"/>
  <c r="AM6" i="8"/>
  <c r="AG6" i="8"/>
  <c r="AA6" i="8"/>
  <c r="AH48" i="8"/>
  <c r="AA48" i="8"/>
  <c r="AM34" i="8"/>
  <c r="AG34" i="8"/>
  <c r="AA34" i="8"/>
  <c r="AH21" i="8"/>
  <c r="AA21" i="8"/>
  <c r="AM8" i="8"/>
  <c r="AG8" i="8"/>
  <c r="AA8" i="8"/>
  <c r="AA11" i="8"/>
  <c r="AH51" i="8"/>
  <c r="AA51" i="8"/>
  <c r="AM37" i="8"/>
  <c r="AG37" i="8"/>
  <c r="AA37" i="8"/>
  <c r="AH24" i="8"/>
  <c r="AA24" i="8"/>
  <c r="AM11" i="8"/>
  <c r="AG11" i="8"/>
  <c r="AH50" i="8"/>
  <c r="AA50" i="8"/>
  <c r="AM36" i="8"/>
  <c r="AG36" i="8"/>
  <c r="AA36" i="8"/>
  <c r="AH23" i="8"/>
  <c r="AA23" i="8"/>
  <c r="AM10" i="8"/>
  <c r="AG10" i="8"/>
  <c r="AA10" i="8"/>
  <c r="AA7" i="8"/>
  <c r="AH47" i="8"/>
  <c r="AA47" i="8"/>
  <c r="AM33" i="8"/>
  <c r="AG33" i="8"/>
  <c r="AA33" i="8"/>
  <c r="AH20" i="8"/>
  <c r="AA20" i="8"/>
  <c r="AM7" i="8"/>
  <c r="AG7" i="8"/>
  <c r="V7" i="11"/>
  <c r="B541" i="6"/>
  <c r="AC541" i="6" s="1"/>
  <c r="B519" i="6"/>
  <c r="AC519" i="6" s="1"/>
  <c r="B552" i="6"/>
  <c r="AC552" i="6" s="1"/>
  <c r="B530" i="6"/>
  <c r="AC530" i="6" s="1"/>
  <c r="F11" i="10"/>
  <c r="B1069" i="6"/>
  <c r="AC1069" i="6" s="1"/>
  <c r="B1025" i="6"/>
  <c r="AC1025" i="6" s="1"/>
  <c r="B1102" i="6"/>
  <c r="AC1102" i="6" s="1"/>
  <c r="B1058" i="6"/>
  <c r="AC1058" i="6" s="1"/>
  <c r="B1091" i="6"/>
  <c r="AC1091" i="6" s="1"/>
  <c r="B1047" i="6"/>
  <c r="AC1047" i="6" s="1"/>
  <c r="B1080" i="6"/>
  <c r="AC1080" i="6" s="1"/>
  <c r="B1036" i="6"/>
  <c r="AC1036" i="6" s="1"/>
  <c r="B1014" i="6"/>
  <c r="AC1014" i="6" s="1"/>
  <c r="B970" i="6"/>
  <c r="AC970" i="6" s="1"/>
  <c r="B926" i="6"/>
  <c r="AC926" i="6" s="1"/>
  <c r="B1003" i="6"/>
  <c r="AC1003" i="6" s="1"/>
  <c r="B959" i="6"/>
  <c r="AC959" i="6" s="1"/>
  <c r="B915" i="6"/>
  <c r="AC915" i="6" s="1"/>
  <c r="B992" i="6"/>
  <c r="AC992" i="6" s="1"/>
  <c r="B948" i="6"/>
  <c r="AC948" i="6" s="1"/>
  <c r="B904" i="6"/>
  <c r="AC904" i="6" s="1"/>
  <c r="B981" i="6"/>
  <c r="AC981" i="6" s="1"/>
  <c r="B937" i="6"/>
  <c r="AC937" i="6" s="1"/>
  <c r="B860" i="6"/>
  <c r="AC860" i="6" s="1"/>
  <c r="B816" i="6"/>
  <c r="AC816" i="6" s="1"/>
  <c r="B772" i="6"/>
  <c r="AC772" i="6" s="1"/>
  <c r="B893" i="6"/>
  <c r="AC893" i="6" s="1"/>
  <c r="B849" i="6"/>
  <c r="AC849" i="6" s="1"/>
  <c r="B805" i="6"/>
  <c r="AC805" i="6" s="1"/>
  <c r="B882" i="6"/>
  <c r="AC882" i="6" s="1"/>
  <c r="B838" i="6"/>
  <c r="AC838" i="6" s="1"/>
  <c r="B794" i="6"/>
  <c r="AC794" i="6" s="1"/>
  <c r="B871" i="6"/>
  <c r="AC871" i="6" s="1"/>
  <c r="B827" i="6"/>
  <c r="AC827" i="6" s="1"/>
  <c r="B783" i="6"/>
  <c r="AC783" i="6" s="1"/>
  <c r="W6" i="11"/>
  <c r="C551" i="6"/>
  <c r="AD551" i="6" s="1"/>
  <c r="C529" i="6"/>
  <c r="AD529" i="6" s="1"/>
  <c r="R3" i="4"/>
  <c r="R13" i="4" s="1"/>
  <c r="G892" i="6" s="1"/>
  <c r="C518" i="6"/>
  <c r="AD518" i="6" s="1"/>
  <c r="C540" i="6"/>
  <c r="AD540" i="6" s="1"/>
  <c r="E9" i="10"/>
  <c r="C1079" i="6"/>
  <c r="AD1079" i="6" s="1"/>
  <c r="C1035" i="6"/>
  <c r="AD1035" i="6" s="1"/>
  <c r="Y34" i="8"/>
  <c r="Y8" i="8"/>
  <c r="C1068" i="6"/>
  <c r="AD1068" i="6" s="1"/>
  <c r="C1024" i="6"/>
  <c r="AD1024" i="6" s="1"/>
  <c r="C1101" i="6"/>
  <c r="AD1101" i="6" s="1"/>
  <c r="C1057" i="6"/>
  <c r="AD1057" i="6" s="1"/>
  <c r="C1090" i="6"/>
  <c r="AD1090" i="6" s="1"/>
  <c r="C1046" i="6"/>
  <c r="AD1046" i="6" s="1"/>
  <c r="C980" i="6"/>
  <c r="AD980" i="6" s="1"/>
  <c r="C936" i="6"/>
  <c r="AD936" i="6" s="1"/>
  <c r="C1013" i="6"/>
  <c r="AD1013" i="6" s="1"/>
  <c r="C969" i="6"/>
  <c r="AD969" i="6" s="1"/>
  <c r="C925" i="6"/>
  <c r="AD925" i="6" s="1"/>
  <c r="C1002" i="6"/>
  <c r="AD1002" i="6" s="1"/>
  <c r="C958" i="6"/>
  <c r="AD958" i="6" s="1"/>
  <c r="C914" i="6"/>
  <c r="AD914" i="6" s="1"/>
  <c r="C991" i="6"/>
  <c r="AD991" i="6" s="1"/>
  <c r="C947" i="6"/>
  <c r="AD947" i="6" s="1"/>
  <c r="C903" i="6"/>
  <c r="AD903" i="6" s="1"/>
  <c r="C870" i="6"/>
  <c r="AD870" i="6" s="1"/>
  <c r="C826" i="6"/>
  <c r="AD826" i="6" s="1"/>
  <c r="C782" i="6"/>
  <c r="AD782" i="6" s="1"/>
  <c r="C859" i="6"/>
  <c r="AD859" i="6" s="1"/>
  <c r="C815" i="6"/>
  <c r="AD815" i="6" s="1"/>
  <c r="C771" i="6"/>
  <c r="AD771" i="6" s="1"/>
  <c r="C892" i="6"/>
  <c r="AD892" i="6" s="1"/>
  <c r="C848" i="6"/>
  <c r="AD848" i="6" s="1"/>
  <c r="C804" i="6"/>
  <c r="AD804" i="6" s="1"/>
  <c r="C881" i="6"/>
  <c r="AD881" i="6" s="1"/>
  <c r="C837" i="6"/>
  <c r="AD837" i="6" s="1"/>
  <c r="C793" i="6"/>
  <c r="AD793" i="6" s="1"/>
  <c r="S14" i="3"/>
  <c r="D10" i="5"/>
  <c r="D11" i="5"/>
  <c r="C65" i="4"/>
  <c r="D12" i="5"/>
  <c r="D19" i="4"/>
  <c r="D25" i="5"/>
  <c r="D350" i="6"/>
  <c r="S49" i="3"/>
  <c r="S48" i="3"/>
  <c r="S22" i="3"/>
  <c r="C68" i="9"/>
  <c r="D361" i="6"/>
  <c r="D317" i="6"/>
  <c r="D471" i="6"/>
  <c r="C165" i="9"/>
  <c r="D60" i="4"/>
  <c r="D62" i="5"/>
  <c r="S25" i="3"/>
  <c r="W37" i="3"/>
  <c r="D944" i="6"/>
  <c r="S54" i="3"/>
  <c r="W52" i="3"/>
  <c r="C46" i="9"/>
  <c r="D306" i="6"/>
  <c r="C70" i="9"/>
  <c r="D218" i="6"/>
  <c r="D625" i="6"/>
  <c r="W29" i="3"/>
  <c r="Q514" i="7"/>
  <c r="O514" i="7"/>
  <c r="O513" i="7"/>
  <c r="G516" i="7"/>
  <c r="I516" i="7"/>
  <c r="K515" i="7"/>
  <c r="U515" i="7"/>
  <c r="K513" i="7"/>
  <c r="G513" i="7"/>
  <c r="O515" i="7"/>
  <c r="U516" i="7"/>
  <c r="Q516" i="7"/>
  <c r="S515" i="7"/>
  <c r="G514" i="7"/>
  <c r="K514" i="7"/>
  <c r="M514" i="7"/>
  <c r="K516" i="7"/>
  <c r="M515" i="7"/>
  <c r="I514" i="7"/>
  <c r="Q513" i="7"/>
  <c r="G515" i="7"/>
  <c r="M513" i="7"/>
  <c r="U514" i="7"/>
  <c r="I515" i="7"/>
  <c r="S516" i="7"/>
  <c r="M516" i="7"/>
  <c r="S513" i="7"/>
  <c r="S514" i="7"/>
  <c r="U513" i="7"/>
  <c r="O516" i="7"/>
  <c r="Q515" i="7"/>
  <c r="I513" i="7"/>
  <c r="O496" i="7"/>
  <c r="U493" i="7"/>
  <c r="G496" i="7"/>
  <c r="O494" i="7"/>
  <c r="S496" i="7"/>
  <c r="M495" i="7"/>
  <c r="K493" i="7"/>
  <c r="I495" i="7"/>
  <c r="G495" i="7"/>
  <c r="O495" i="7"/>
  <c r="I493" i="7"/>
  <c r="S495" i="7"/>
  <c r="U496" i="7"/>
  <c r="I494" i="7"/>
  <c r="Q495" i="7"/>
  <c r="M494" i="7"/>
  <c r="K496" i="7"/>
  <c r="M496" i="7"/>
  <c r="S493" i="7"/>
  <c r="O493" i="7"/>
  <c r="M493" i="7"/>
  <c r="U494" i="7"/>
  <c r="Q493" i="7"/>
  <c r="U495" i="7"/>
  <c r="Q496" i="7"/>
  <c r="G493" i="7"/>
  <c r="S494" i="7"/>
  <c r="G494" i="7"/>
  <c r="Q494" i="7"/>
  <c r="K494" i="7"/>
  <c r="I496" i="7"/>
  <c r="K495" i="7"/>
  <c r="G895" i="6"/>
  <c r="G894" i="6"/>
  <c r="G893" i="6"/>
  <c r="H891" i="6"/>
  <c r="U891" i="6" s="1"/>
  <c r="H895" i="6"/>
  <c r="U895" i="6" s="1"/>
  <c r="I893" i="6"/>
  <c r="V893" i="6" s="1"/>
  <c r="G890" i="6"/>
  <c r="G891" i="6"/>
  <c r="H893" i="6"/>
  <c r="U893" i="6" s="1"/>
  <c r="I894" i="6"/>
  <c r="V894" i="6" s="1"/>
  <c r="H894" i="6"/>
  <c r="U894" i="6" s="1"/>
  <c r="I890" i="6"/>
  <c r="I895" i="6"/>
  <c r="V895" i="6" s="1"/>
  <c r="H890" i="6"/>
  <c r="I896" i="6"/>
  <c r="V896" i="6" s="1"/>
  <c r="I897" i="6"/>
  <c r="H892" i="6"/>
  <c r="U892" i="6" s="1"/>
  <c r="H896" i="6"/>
  <c r="U896" i="6" s="1"/>
  <c r="I891" i="6"/>
  <c r="V891" i="6" s="1"/>
  <c r="G897" i="6"/>
  <c r="H897" i="6"/>
  <c r="I892" i="6"/>
  <c r="G874" i="6"/>
  <c r="P874" i="6" s="1"/>
  <c r="G870" i="6"/>
  <c r="I869" i="6"/>
  <c r="F875" i="6"/>
  <c r="F871" i="6"/>
  <c r="I871" i="6"/>
  <c r="V871" i="6" s="1"/>
  <c r="I874" i="6"/>
  <c r="V874" i="6" s="1"/>
  <c r="H872" i="6"/>
  <c r="U872" i="6" s="1"/>
  <c r="G872" i="6"/>
  <c r="I870" i="6"/>
  <c r="F874" i="6"/>
  <c r="F869" i="6"/>
  <c r="I875" i="6"/>
  <c r="H871" i="6"/>
  <c r="U871" i="6" s="1"/>
  <c r="G871" i="6"/>
  <c r="I868" i="6"/>
  <c r="F868" i="6"/>
  <c r="H869" i="6"/>
  <c r="F873" i="6"/>
  <c r="I873" i="6"/>
  <c r="V873" i="6" s="1"/>
  <c r="G875" i="6"/>
  <c r="H875" i="6"/>
  <c r="H873" i="6"/>
  <c r="U873" i="6" s="1"/>
  <c r="G873" i="6"/>
  <c r="H870" i="6"/>
  <c r="H868" i="6"/>
  <c r="G869" i="6"/>
  <c r="I872" i="6"/>
  <c r="V872" i="6" s="1"/>
  <c r="F870" i="6"/>
  <c r="H874" i="6"/>
  <c r="U874" i="6" s="1"/>
  <c r="F872" i="6"/>
  <c r="G868" i="6"/>
  <c r="F853" i="6"/>
  <c r="H851" i="6"/>
  <c r="U851" i="6" s="1"/>
  <c r="I847" i="6"/>
  <c r="I851" i="6"/>
  <c r="V851" i="6" s="1"/>
  <c r="F847" i="6"/>
  <c r="F851" i="6"/>
  <c r="O848" i="6" s="1"/>
  <c r="F846" i="6"/>
  <c r="O849" i="6" s="1"/>
  <c r="F850" i="6"/>
  <c r="O847" i="6" s="1"/>
  <c r="F849" i="6"/>
  <c r="O846" i="6" s="1"/>
  <c r="H847" i="6"/>
  <c r="F848" i="6"/>
  <c r="O850" i="6" s="1"/>
  <c r="G848" i="6"/>
  <c r="G851" i="6"/>
  <c r="P851" i="6" s="1"/>
  <c r="F852" i="6"/>
  <c r="G852" i="6"/>
  <c r="P852" i="6" s="1"/>
  <c r="G847" i="6"/>
  <c r="I852" i="6"/>
  <c r="V852" i="6" s="1"/>
  <c r="G849" i="6"/>
  <c r="H849" i="6"/>
  <c r="U849" i="6" s="1"/>
  <c r="H852" i="6"/>
  <c r="U852" i="6" s="1"/>
  <c r="I853" i="6"/>
  <c r="I848" i="6"/>
  <c r="H850" i="6"/>
  <c r="U850" i="6" s="1"/>
  <c r="I850" i="6"/>
  <c r="V850" i="6" s="1"/>
  <c r="H848" i="6"/>
  <c r="G846" i="6"/>
  <c r="G850" i="6"/>
  <c r="G853" i="6"/>
  <c r="H853" i="6"/>
  <c r="H846" i="6"/>
  <c r="I846" i="6"/>
  <c r="I849" i="6"/>
  <c r="V849" i="6" s="1"/>
  <c r="H829" i="6"/>
  <c r="U829" i="6" s="1"/>
  <c r="F831" i="6"/>
  <c r="I825" i="6"/>
  <c r="I829" i="6"/>
  <c r="V829" i="6" s="1"/>
  <c r="F825" i="6"/>
  <c r="F829" i="6"/>
  <c r="H826" i="6"/>
  <c r="H830" i="6"/>
  <c r="U830" i="6" s="1"/>
  <c r="I831" i="6"/>
  <c r="H825" i="6"/>
  <c r="F827" i="6"/>
  <c r="F826" i="6"/>
  <c r="F830" i="6"/>
  <c r="G826" i="6"/>
  <c r="G830" i="6"/>
  <c r="P830" i="6" s="1"/>
  <c r="I827" i="6"/>
  <c r="V827" i="6" s="1"/>
  <c r="I830" i="6"/>
  <c r="V830" i="6" s="1"/>
  <c r="G827" i="6"/>
  <c r="H827" i="6"/>
  <c r="U827" i="6" s="1"/>
  <c r="F828" i="6"/>
  <c r="I826" i="6"/>
  <c r="H828" i="6"/>
  <c r="U828" i="6" s="1"/>
  <c r="I828" i="6"/>
  <c r="V828" i="6" s="1"/>
  <c r="G829" i="6"/>
  <c r="P829" i="6" s="1"/>
  <c r="G831" i="6"/>
  <c r="F824" i="6"/>
  <c r="G824" i="6"/>
  <c r="G828" i="6"/>
  <c r="P828" i="6" s="1"/>
  <c r="H831" i="6"/>
  <c r="H824" i="6"/>
  <c r="I824" i="6"/>
  <c r="G825" i="6"/>
  <c r="H786" i="6"/>
  <c r="U786" i="6" s="1"/>
  <c r="H782" i="6"/>
  <c r="G786" i="6"/>
  <c r="G782" i="6"/>
  <c r="F786" i="6"/>
  <c r="O780" i="6" s="1"/>
  <c r="F782" i="6"/>
  <c r="G780" i="6"/>
  <c r="G784" i="6"/>
  <c r="G781" i="6"/>
  <c r="F785" i="6"/>
  <c r="O781" i="6" s="1"/>
  <c r="I785" i="6"/>
  <c r="G785" i="6"/>
  <c r="F781" i="6"/>
  <c r="O782" i="6" s="1"/>
  <c r="I781" i="6"/>
  <c r="F780" i="6"/>
  <c r="O784" i="6" s="1"/>
  <c r="I780" i="6"/>
  <c r="H780" i="6"/>
  <c r="H781" i="6"/>
  <c r="H785" i="6"/>
  <c r="I787" i="6"/>
  <c r="H787" i="6"/>
  <c r="G787" i="6"/>
  <c r="I782" i="6"/>
  <c r="I786" i="6"/>
  <c r="V786" i="6" s="1"/>
  <c r="I784" i="6"/>
  <c r="F783" i="6"/>
  <c r="O783" i="6" s="1"/>
  <c r="F787" i="6"/>
  <c r="O785" i="6" s="1"/>
  <c r="H783" i="6"/>
  <c r="F784" i="6"/>
  <c r="H784" i="6"/>
  <c r="I783" i="6"/>
  <c r="G783" i="6"/>
  <c r="S13" i="3"/>
  <c r="C92" i="9"/>
  <c r="D493" i="6"/>
  <c r="S10" i="3"/>
  <c r="C90" i="9"/>
  <c r="D42" i="6"/>
  <c r="G629" i="6"/>
  <c r="I632" i="6"/>
  <c r="G633" i="6"/>
  <c r="H630" i="6"/>
  <c r="H626" i="6"/>
  <c r="G630" i="6"/>
  <c r="G626" i="6"/>
  <c r="H627" i="6"/>
  <c r="I626" i="6"/>
  <c r="F633" i="6"/>
  <c r="O630" i="6" s="1"/>
  <c r="F629" i="6"/>
  <c r="O627" i="6" s="1"/>
  <c r="I633" i="6"/>
  <c r="I629" i="6"/>
  <c r="H633" i="6"/>
  <c r="F626" i="6"/>
  <c r="O626" i="6" s="1"/>
  <c r="G627" i="6"/>
  <c r="I628" i="6"/>
  <c r="H632" i="6"/>
  <c r="H628" i="6"/>
  <c r="G632" i="6"/>
  <c r="G628" i="6"/>
  <c r="H631" i="6"/>
  <c r="F630" i="6"/>
  <c r="I630" i="6"/>
  <c r="F628" i="6"/>
  <c r="F631" i="6"/>
  <c r="O628" i="6" s="1"/>
  <c r="F627" i="6"/>
  <c r="O629" i="6" s="1"/>
  <c r="I631" i="6"/>
  <c r="I627" i="6"/>
  <c r="H629" i="6"/>
  <c r="G631" i="6"/>
  <c r="F632" i="6"/>
  <c r="G609" i="6"/>
  <c r="I611" i="6"/>
  <c r="H608" i="6"/>
  <c r="H604" i="6"/>
  <c r="F608" i="6"/>
  <c r="G606" i="6"/>
  <c r="F611" i="6"/>
  <c r="F607" i="6"/>
  <c r="F604" i="6"/>
  <c r="H609" i="6"/>
  <c r="G610" i="6"/>
  <c r="H610" i="6"/>
  <c r="H606" i="6"/>
  <c r="G605" i="6"/>
  <c r="I606" i="6"/>
  <c r="G607" i="6"/>
  <c r="H607" i="6"/>
  <c r="I607" i="6"/>
  <c r="F609" i="6"/>
  <c r="I610" i="6"/>
  <c r="G608" i="6"/>
  <c r="I608" i="6"/>
  <c r="F605" i="6"/>
  <c r="G604" i="6"/>
  <c r="I609" i="6"/>
  <c r="I604" i="6"/>
  <c r="F610" i="6"/>
  <c r="H605" i="6"/>
  <c r="I605" i="6"/>
  <c r="G611" i="6"/>
  <c r="F606" i="6"/>
  <c r="O610" i="6" s="1"/>
  <c r="H611" i="6"/>
  <c r="F589" i="6"/>
  <c r="O582" i="6" s="1"/>
  <c r="F585" i="6"/>
  <c r="I589" i="6"/>
  <c r="I585" i="6"/>
  <c r="H589" i="6"/>
  <c r="H585" i="6"/>
  <c r="O589" i="6" s="1"/>
  <c r="F582" i="6"/>
  <c r="O583" i="6" s="1"/>
  <c r="F586" i="6"/>
  <c r="O587" i="6" s="1"/>
  <c r="H588" i="6"/>
  <c r="H584" i="6"/>
  <c r="I588" i="6"/>
  <c r="I584" i="6"/>
  <c r="G588" i="6"/>
  <c r="G584" i="6"/>
  <c r="G583" i="6"/>
  <c r="G587" i="6"/>
  <c r="F587" i="6"/>
  <c r="O586" i="6" s="1"/>
  <c r="F583" i="6"/>
  <c r="I587" i="6"/>
  <c r="I583" i="6"/>
  <c r="H587" i="6"/>
  <c r="H583" i="6"/>
  <c r="O585" i="6" s="1"/>
  <c r="F584" i="6"/>
  <c r="O588" i="6" s="1"/>
  <c r="F588" i="6"/>
  <c r="O584" i="6" s="1"/>
  <c r="I586" i="6"/>
  <c r="G585" i="6"/>
  <c r="I582" i="6"/>
  <c r="G589" i="6"/>
  <c r="H586" i="6"/>
  <c r="G586" i="6"/>
  <c r="H582" i="6"/>
  <c r="G582" i="6"/>
  <c r="F567" i="6"/>
  <c r="F563" i="6"/>
  <c r="I567" i="6"/>
  <c r="I563" i="6"/>
  <c r="H567" i="6"/>
  <c r="H563" i="6"/>
  <c r="F560" i="6"/>
  <c r="O565" i="6" s="1"/>
  <c r="F564" i="6"/>
  <c r="H566" i="6"/>
  <c r="H562" i="6"/>
  <c r="I566" i="6"/>
  <c r="I562" i="6"/>
  <c r="G566" i="6"/>
  <c r="G562" i="6"/>
  <c r="G561" i="6"/>
  <c r="G565" i="6"/>
  <c r="F565" i="6"/>
  <c r="F561" i="6"/>
  <c r="I565" i="6"/>
  <c r="I561" i="6"/>
  <c r="H565" i="6"/>
  <c r="H561" i="6"/>
  <c r="F562" i="6"/>
  <c r="F566" i="6"/>
  <c r="I564" i="6"/>
  <c r="G563" i="6"/>
  <c r="I560" i="6"/>
  <c r="G567" i="6"/>
  <c r="H564" i="6"/>
  <c r="G564" i="6"/>
  <c r="H560" i="6"/>
  <c r="G560" i="6"/>
  <c r="F501" i="6"/>
  <c r="F497" i="6"/>
  <c r="O497" i="6" s="1"/>
  <c r="I501" i="6"/>
  <c r="I497" i="6"/>
  <c r="H501" i="6"/>
  <c r="H497" i="6"/>
  <c r="F494" i="6"/>
  <c r="O494" i="6" s="1"/>
  <c r="F498" i="6"/>
  <c r="O495" i="6" s="1"/>
  <c r="H500" i="6"/>
  <c r="H496" i="6"/>
  <c r="I500" i="6"/>
  <c r="I496" i="6"/>
  <c r="G500" i="6"/>
  <c r="G496" i="6"/>
  <c r="G495" i="6"/>
  <c r="G499" i="6"/>
  <c r="F499" i="6"/>
  <c r="O499" i="6" s="1"/>
  <c r="F495" i="6"/>
  <c r="I499" i="6"/>
  <c r="I495" i="6"/>
  <c r="H499" i="6"/>
  <c r="H495" i="6"/>
  <c r="F496" i="6"/>
  <c r="O496" i="6" s="1"/>
  <c r="F500" i="6"/>
  <c r="O498" i="6" s="1"/>
  <c r="I498" i="6"/>
  <c r="G497" i="6"/>
  <c r="I494" i="6"/>
  <c r="G501" i="6"/>
  <c r="H498" i="6"/>
  <c r="G498" i="6"/>
  <c r="H494" i="6"/>
  <c r="G494" i="6"/>
  <c r="F479" i="6"/>
  <c r="F475" i="6"/>
  <c r="I479" i="6"/>
  <c r="I475" i="6"/>
  <c r="H479" i="6"/>
  <c r="H475" i="6"/>
  <c r="F472" i="6"/>
  <c r="O474" i="6" s="1"/>
  <c r="F476" i="6"/>
  <c r="H478" i="6"/>
  <c r="H474" i="6"/>
  <c r="I478" i="6"/>
  <c r="I474" i="6"/>
  <c r="G478" i="6"/>
  <c r="G474" i="6"/>
  <c r="G473" i="6"/>
  <c r="G477" i="6"/>
  <c r="F477" i="6"/>
  <c r="O473" i="6" s="1"/>
  <c r="F473" i="6"/>
  <c r="I477" i="6"/>
  <c r="I473" i="6"/>
  <c r="H477" i="6"/>
  <c r="H473" i="6"/>
  <c r="F474" i="6"/>
  <c r="F478" i="6"/>
  <c r="O472" i="6" s="1"/>
  <c r="I476" i="6"/>
  <c r="G475" i="6"/>
  <c r="I472" i="6"/>
  <c r="G479" i="6"/>
  <c r="H476" i="6"/>
  <c r="G476" i="6"/>
  <c r="H472" i="6"/>
  <c r="G472" i="6"/>
  <c r="F457" i="6"/>
  <c r="F453" i="6"/>
  <c r="I457" i="6"/>
  <c r="I453" i="6"/>
  <c r="H457" i="6"/>
  <c r="H453" i="6"/>
  <c r="F450" i="6"/>
  <c r="F454" i="6"/>
  <c r="O456" i="6" s="1"/>
  <c r="H456" i="6"/>
  <c r="H452" i="6"/>
  <c r="I456" i="6"/>
  <c r="I452" i="6"/>
  <c r="G456" i="6"/>
  <c r="G452" i="6"/>
  <c r="G451" i="6"/>
  <c r="G455" i="6"/>
  <c r="F455" i="6"/>
  <c r="O452" i="6" s="1"/>
  <c r="F451" i="6"/>
  <c r="I455" i="6"/>
  <c r="I451" i="6"/>
  <c r="H455" i="6"/>
  <c r="H451" i="6"/>
  <c r="F452" i="6"/>
  <c r="F456" i="6"/>
  <c r="I454" i="6"/>
  <c r="G453" i="6"/>
  <c r="I450" i="6"/>
  <c r="G457" i="6"/>
  <c r="H454" i="6"/>
  <c r="G454" i="6"/>
  <c r="H450" i="6"/>
  <c r="O457" i="6" s="1"/>
  <c r="G450" i="6"/>
  <c r="F435" i="6"/>
  <c r="F431" i="6"/>
  <c r="I435" i="6"/>
  <c r="I431" i="6"/>
  <c r="H435" i="6"/>
  <c r="H429" i="6"/>
  <c r="F428" i="6"/>
  <c r="F432" i="6"/>
  <c r="H434" i="6"/>
  <c r="H430" i="6"/>
  <c r="I434" i="6"/>
  <c r="I430" i="6"/>
  <c r="G434" i="6"/>
  <c r="G432" i="6"/>
  <c r="G429" i="6"/>
  <c r="G433" i="6"/>
  <c r="F433" i="6"/>
  <c r="F429" i="6"/>
  <c r="I433" i="6"/>
  <c r="I429" i="6"/>
  <c r="H433" i="6"/>
  <c r="G430" i="6"/>
  <c r="F430" i="6"/>
  <c r="F434" i="6"/>
  <c r="I432" i="6"/>
  <c r="G431" i="6"/>
  <c r="I428" i="6"/>
  <c r="G435" i="6"/>
  <c r="H432" i="6"/>
  <c r="H431" i="6"/>
  <c r="H428" i="6"/>
  <c r="G428" i="6"/>
  <c r="F413" i="6"/>
  <c r="F409" i="6"/>
  <c r="I413" i="6"/>
  <c r="I409" i="6"/>
  <c r="G412" i="6"/>
  <c r="H413" i="6"/>
  <c r="F406" i="6"/>
  <c r="F410" i="6"/>
  <c r="H412" i="6"/>
  <c r="H408" i="6"/>
  <c r="I412" i="6"/>
  <c r="I408" i="6"/>
  <c r="G410" i="6"/>
  <c r="H411" i="6"/>
  <c r="G407" i="6"/>
  <c r="G411" i="6"/>
  <c r="F411" i="6"/>
  <c r="F407" i="6"/>
  <c r="I411" i="6"/>
  <c r="I407" i="6"/>
  <c r="H409" i="6"/>
  <c r="G408" i="6"/>
  <c r="F408" i="6"/>
  <c r="F412" i="6"/>
  <c r="I410" i="6"/>
  <c r="G409" i="6"/>
  <c r="I406" i="6"/>
  <c r="G413" i="6"/>
  <c r="H410" i="6"/>
  <c r="G406" i="6"/>
  <c r="H406" i="6"/>
  <c r="H407" i="6"/>
  <c r="H389" i="6"/>
  <c r="G385" i="6"/>
  <c r="G389" i="6"/>
  <c r="H385" i="6"/>
  <c r="F389" i="6"/>
  <c r="F385" i="6"/>
  <c r="I389" i="6"/>
  <c r="I385" i="6"/>
  <c r="F388" i="6"/>
  <c r="O390" i="6" s="1"/>
  <c r="G386" i="6"/>
  <c r="G390" i="6"/>
  <c r="H387" i="6"/>
  <c r="H388" i="6"/>
  <c r="H384" i="6"/>
  <c r="I388" i="6"/>
  <c r="I384" i="6"/>
  <c r="F390" i="6"/>
  <c r="G387" i="6"/>
  <c r="H391" i="6"/>
  <c r="F391" i="6"/>
  <c r="F387" i="6"/>
  <c r="I391" i="6"/>
  <c r="I387" i="6"/>
  <c r="F384" i="6"/>
  <c r="G388" i="6"/>
  <c r="I390" i="6"/>
  <c r="G384" i="6"/>
  <c r="I386" i="6"/>
  <c r="H390" i="6"/>
  <c r="F386" i="6"/>
  <c r="O385" i="6" s="1"/>
  <c r="G391" i="6"/>
  <c r="H386" i="6"/>
  <c r="I367" i="6"/>
  <c r="I363" i="6"/>
  <c r="H367" i="6"/>
  <c r="H363" i="6"/>
  <c r="G367" i="6"/>
  <c r="G363" i="6"/>
  <c r="H364" i="6"/>
  <c r="H368" i="6"/>
  <c r="G366" i="6"/>
  <c r="G362" i="6"/>
  <c r="F366" i="6"/>
  <c r="O369" i="6" s="1"/>
  <c r="F362" i="6"/>
  <c r="I366" i="6"/>
  <c r="I362" i="6"/>
  <c r="F365" i="6"/>
  <c r="F369" i="6"/>
  <c r="G368" i="6"/>
  <c r="F368" i="6"/>
  <c r="I368" i="6"/>
  <c r="F363" i="6"/>
  <c r="I369" i="6"/>
  <c r="I365" i="6"/>
  <c r="H369" i="6"/>
  <c r="H365" i="6"/>
  <c r="G369" i="6"/>
  <c r="G365" i="6"/>
  <c r="H362" i="6"/>
  <c r="H366" i="6"/>
  <c r="G364" i="6"/>
  <c r="F364" i="6"/>
  <c r="I364" i="6"/>
  <c r="F367" i="6"/>
  <c r="F345" i="6"/>
  <c r="F347" i="6"/>
  <c r="H342" i="6"/>
  <c r="H344" i="6"/>
  <c r="H346" i="6"/>
  <c r="F343" i="6"/>
  <c r="O341" i="6" s="1"/>
  <c r="G344" i="6"/>
  <c r="G340" i="6"/>
  <c r="F344" i="6"/>
  <c r="F340" i="6"/>
  <c r="O342" i="6" s="1"/>
  <c r="I344" i="6"/>
  <c r="G341" i="6"/>
  <c r="I347" i="6"/>
  <c r="I343" i="6"/>
  <c r="H347" i="6"/>
  <c r="H343" i="6"/>
  <c r="G347" i="6"/>
  <c r="G343" i="6"/>
  <c r="I340" i="6"/>
  <c r="F341" i="6"/>
  <c r="I345" i="6"/>
  <c r="H345" i="6"/>
  <c r="O340" i="6" s="1"/>
  <c r="G345" i="6"/>
  <c r="G346" i="6"/>
  <c r="G342" i="6"/>
  <c r="F346" i="6"/>
  <c r="O343" i="6" s="1"/>
  <c r="F342" i="6"/>
  <c r="I346" i="6"/>
  <c r="I342" i="6"/>
  <c r="I341" i="6"/>
  <c r="H341" i="6"/>
  <c r="H340" i="6"/>
  <c r="G325" i="6"/>
  <c r="I324" i="6"/>
  <c r="H320" i="6"/>
  <c r="I319" i="6"/>
  <c r="G323" i="6"/>
  <c r="I325" i="6"/>
  <c r="G321" i="6"/>
  <c r="I320" i="6"/>
  <c r="H324" i="6"/>
  <c r="H318" i="6"/>
  <c r="H322" i="6"/>
  <c r="I321" i="6"/>
  <c r="G319" i="6"/>
  <c r="H323" i="6"/>
  <c r="H319" i="6"/>
  <c r="G320" i="6"/>
  <c r="G324" i="6"/>
  <c r="I318" i="6"/>
  <c r="F322" i="6"/>
  <c r="F318" i="6"/>
  <c r="O319" i="6" s="1"/>
  <c r="F321" i="6"/>
  <c r="F325" i="6"/>
  <c r="O318" i="6" s="1"/>
  <c r="F324" i="6"/>
  <c r="F319" i="6"/>
  <c r="I322" i="6"/>
  <c r="H325" i="6"/>
  <c r="H321" i="6"/>
  <c r="G318" i="6"/>
  <c r="G322" i="6"/>
  <c r="I323" i="6"/>
  <c r="F320" i="6"/>
  <c r="F323" i="6"/>
  <c r="H299" i="6"/>
  <c r="I301" i="6"/>
  <c r="H298" i="6"/>
  <c r="G298" i="6"/>
  <c r="H302" i="6"/>
  <c r="I297" i="6"/>
  <c r="H297" i="6"/>
  <c r="H303" i="6"/>
  <c r="H296" i="6"/>
  <c r="G301" i="6"/>
  <c r="G297" i="6"/>
  <c r="F297" i="6"/>
  <c r="F301" i="6"/>
  <c r="O299" i="6" s="1"/>
  <c r="G302" i="6"/>
  <c r="H300" i="6"/>
  <c r="I300" i="6"/>
  <c r="I296" i="6"/>
  <c r="F298" i="6"/>
  <c r="O300" i="6" s="1"/>
  <c r="F302" i="6"/>
  <c r="O298" i="6" s="1"/>
  <c r="I298" i="6"/>
  <c r="F300" i="6"/>
  <c r="O296" i="6" s="1"/>
  <c r="H301" i="6"/>
  <c r="G296" i="6"/>
  <c r="G303" i="6"/>
  <c r="G299" i="6"/>
  <c r="F303" i="6"/>
  <c r="O301" i="6" s="1"/>
  <c r="F299" i="6"/>
  <c r="O297" i="6" s="1"/>
  <c r="I303" i="6"/>
  <c r="G300" i="6"/>
  <c r="I299" i="6"/>
  <c r="I302" i="6"/>
  <c r="F296" i="6"/>
  <c r="O302" i="6" s="1"/>
  <c r="S36" i="3"/>
  <c r="C140" i="9"/>
  <c r="D240" i="6"/>
  <c r="C9" i="9"/>
  <c r="D31" i="6"/>
  <c r="D369" i="7"/>
  <c r="I966" i="6"/>
  <c r="B75" i="9"/>
  <c r="G169" i="3"/>
  <c r="W15" i="3"/>
  <c r="D691" i="6"/>
  <c r="S15" i="3"/>
  <c r="C96" i="9"/>
  <c r="D658" i="6"/>
  <c r="I212" i="6"/>
  <c r="H208" i="6"/>
  <c r="H214" i="6"/>
  <c r="I214" i="6"/>
  <c r="I215" i="6"/>
  <c r="I211" i="6"/>
  <c r="F214" i="6"/>
  <c r="O210" i="6" s="1"/>
  <c r="F210" i="6"/>
  <c r="F209" i="6"/>
  <c r="F215" i="6"/>
  <c r="H210" i="6"/>
  <c r="I210" i="6"/>
  <c r="H212" i="6"/>
  <c r="F211" i="6"/>
  <c r="O208" i="6" s="1"/>
  <c r="G214" i="6"/>
  <c r="I209" i="6"/>
  <c r="H211" i="6"/>
  <c r="G209" i="6"/>
  <c r="I208" i="6"/>
  <c r="I213" i="6"/>
  <c r="H215" i="6"/>
  <c r="H209" i="6"/>
  <c r="G211" i="6"/>
  <c r="F212" i="6"/>
  <c r="G215" i="6"/>
  <c r="F213" i="6"/>
  <c r="O209" i="6" s="1"/>
  <c r="G212" i="6"/>
  <c r="H213" i="6"/>
  <c r="F208" i="6"/>
  <c r="O211" i="6" s="1"/>
  <c r="G213" i="6"/>
  <c r="G210" i="6"/>
  <c r="G208" i="6"/>
  <c r="H124" i="6"/>
  <c r="H120" i="6"/>
  <c r="F124" i="6"/>
  <c r="O125" i="6" s="1"/>
  <c r="F120" i="6"/>
  <c r="O121" i="6" s="1"/>
  <c r="I124" i="6"/>
  <c r="I120" i="6"/>
  <c r="G124" i="6"/>
  <c r="G120" i="6"/>
  <c r="F127" i="6"/>
  <c r="O120" i="6" s="1"/>
  <c r="F123" i="6"/>
  <c r="O122" i="6" s="1"/>
  <c r="G127" i="6"/>
  <c r="G123" i="6"/>
  <c r="I127" i="6"/>
  <c r="I123" i="6"/>
  <c r="H127" i="6"/>
  <c r="H123" i="6"/>
  <c r="F125" i="6"/>
  <c r="O124" i="6" s="1"/>
  <c r="G125" i="6"/>
  <c r="I125" i="6"/>
  <c r="H125" i="6"/>
  <c r="H126" i="6"/>
  <c r="H122" i="6"/>
  <c r="F126" i="6"/>
  <c r="O126" i="6" s="1"/>
  <c r="F122" i="6"/>
  <c r="O127" i="6" s="1"/>
  <c r="I126" i="6"/>
  <c r="I122" i="6"/>
  <c r="G126" i="6"/>
  <c r="G122" i="6"/>
  <c r="F121" i="6"/>
  <c r="O123" i="6" s="1"/>
  <c r="G121" i="6"/>
  <c r="I121" i="6"/>
  <c r="H121" i="6"/>
  <c r="H947" i="6"/>
  <c r="I950" i="6"/>
  <c r="V950" i="6" s="1"/>
  <c r="I947" i="6"/>
  <c r="H946" i="6"/>
  <c r="U946" i="6" s="1"/>
  <c r="H949" i="6"/>
  <c r="U949" i="6" s="1"/>
  <c r="I948" i="6"/>
  <c r="V948" i="6" s="1"/>
  <c r="H950" i="6"/>
  <c r="U950" i="6" s="1"/>
  <c r="I945" i="6"/>
  <c r="V945" i="6" s="1"/>
  <c r="I946" i="6"/>
  <c r="V946" i="6" s="1"/>
  <c r="H948" i="6"/>
  <c r="U948" i="6" s="1"/>
  <c r="H945" i="6"/>
  <c r="U945" i="6" s="1"/>
  <c r="H951" i="6"/>
  <c r="U951" i="6" s="1"/>
  <c r="H952" i="6"/>
  <c r="I951" i="6"/>
  <c r="V951" i="6" s="1"/>
  <c r="I949" i="6"/>
  <c r="V949" i="6" s="1"/>
  <c r="I952" i="6"/>
  <c r="H937" i="6"/>
  <c r="U937" i="6" s="1"/>
  <c r="I936" i="6"/>
  <c r="I935" i="6"/>
  <c r="V935" i="6" s="1"/>
  <c r="H936" i="6"/>
  <c r="H935" i="6"/>
  <c r="U935" i="6" s="1"/>
  <c r="I939" i="6"/>
  <c r="V939" i="6" s="1"/>
  <c r="I940" i="6"/>
  <c r="V940" i="6" s="1"/>
  <c r="H939" i="6"/>
  <c r="U939" i="6" s="1"/>
  <c r="I941" i="6"/>
  <c r="I934" i="6"/>
  <c r="V934" i="6" s="1"/>
  <c r="H941" i="6"/>
  <c r="H934" i="6"/>
  <c r="U934" i="6" s="1"/>
  <c r="H938" i="6"/>
  <c r="U938" i="6" s="1"/>
  <c r="I937" i="6"/>
  <c r="V937" i="6" s="1"/>
  <c r="H940" i="6"/>
  <c r="U940" i="6" s="1"/>
  <c r="I938" i="6"/>
  <c r="V938" i="6" s="1"/>
  <c r="O481" i="7"/>
  <c r="O479" i="7"/>
  <c r="U481" i="7"/>
  <c r="Q479" i="7"/>
  <c r="Q481" i="7"/>
  <c r="O478" i="7"/>
  <c r="M478" i="7"/>
  <c r="U479" i="7"/>
  <c r="G479" i="7"/>
  <c r="U44" i="7" s="1"/>
  <c r="U480" i="7"/>
  <c r="K478" i="7"/>
  <c r="G478" i="7"/>
  <c r="U43" i="7" s="1"/>
  <c r="M479" i="7"/>
  <c r="S480" i="7"/>
  <c r="M480" i="7"/>
  <c r="I481" i="7"/>
  <c r="K479" i="7"/>
  <c r="U478" i="7"/>
  <c r="I478" i="7"/>
  <c r="K481" i="7"/>
  <c r="I479" i="7"/>
  <c r="Q480" i="7"/>
  <c r="G480" i="7"/>
  <c r="U45" i="7" s="1"/>
  <c r="O480" i="7"/>
  <c r="S481" i="7"/>
  <c r="Q478" i="7"/>
  <c r="M481" i="7"/>
  <c r="I480" i="7"/>
  <c r="S479" i="7"/>
  <c r="S478" i="7"/>
  <c r="G481" i="7"/>
  <c r="U46" i="7" s="1"/>
  <c r="K480" i="7"/>
  <c r="I842" i="6"/>
  <c r="I837" i="6"/>
  <c r="G835" i="6"/>
  <c r="I836" i="6"/>
  <c r="I840" i="6"/>
  <c r="F836" i="6"/>
  <c r="O839" i="6" s="1"/>
  <c r="F840" i="6"/>
  <c r="O835" i="6" s="1"/>
  <c r="I838" i="6"/>
  <c r="I841" i="6"/>
  <c r="V841" i="6" s="1"/>
  <c r="G839" i="6"/>
  <c r="F837" i="6"/>
  <c r="O840" i="6" s="1"/>
  <c r="F841" i="6"/>
  <c r="O842" i="6" s="1"/>
  <c r="G837" i="6"/>
  <c r="G841" i="6"/>
  <c r="F839" i="6"/>
  <c r="O836" i="6" s="1"/>
  <c r="F835" i="6"/>
  <c r="O837" i="6" s="1"/>
  <c r="F838" i="6"/>
  <c r="O838" i="6" s="1"/>
  <c r="G838" i="6"/>
  <c r="H838" i="6"/>
  <c r="G840" i="6"/>
  <c r="H840" i="6"/>
  <c r="H839" i="6"/>
  <c r="I839" i="6"/>
  <c r="H841" i="6"/>
  <c r="U841" i="6" s="1"/>
  <c r="H836" i="6"/>
  <c r="H842" i="6"/>
  <c r="H835" i="6"/>
  <c r="I835" i="6"/>
  <c r="H837" i="6"/>
  <c r="G842" i="6"/>
  <c r="G836" i="6"/>
  <c r="F842" i="6"/>
  <c r="O841" i="6" s="1"/>
  <c r="F754" i="6"/>
  <c r="I753" i="6"/>
  <c r="G752" i="6"/>
  <c r="I747" i="6"/>
  <c r="G754" i="6"/>
  <c r="F748" i="6"/>
  <c r="O749" i="6" s="1"/>
  <c r="G748" i="6"/>
  <c r="F750" i="6"/>
  <c r="O751" i="6" s="1"/>
  <c r="I749" i="6"/>
  <c r="G751" i="6"/>
  <c r="G747" i="6"/>
  <c r="F751" i="6"/>
  <c r="O747" i="6" s="1"/>
  <c r="F747" i="6"/>
  <c r="O750" i="6" s="1"/>
  <c r="H753" i="6"/>
  <c r="F752" i="6"/>
  <c r="O748" i="6" s="1"/>
  <c r="I754" i="6"/>
  <c r="I750" i="6"/>
  <c r="H754" i="6"/>
  <c r="H750" i="6"/>
  <c r="H747" i="6"/>
  <c r="I751" i="6"/>
  <c r="G753" i="6"/>
  <c r="G749" i="6"/>
  <c r="F753" i="6"/>
  <c r="O752" i="6" s="1"/>
  <c r="F749" i="6"/>
  <c r="H749" i="6"/>
  <c r="G750" i="6"/>
  <c r="H752" i="6"/>
  <c r="H748" i="6"/>
  <c r="I752" i="6"/>
  <c r="H751" i="6"/>
  <c r="I748" i="6"/>
  <c r="I725" i="6"/>
  <c r="H729" i="6"/>
  <c r="G726" i="6"/>
  <c r="G730" i="6"/>
  <c r="H731" i="6"/>
  <c r="I727" i="6"/>
  <c r="I731" i="6"/>
  <c r="G732" i="6"/>
  <c r="G728" i="6"/>
  <c r="H727" i="6"/>
  <c r="G729" i="6"/>
  <c r="H732" i="6"/>
  <c r="H728" i="6"/>
  <c r="G725" i="6"/>
  <c r="F732" i="6"/>
  <c r="H725" i="6"/>
  <c r="I732" i="6"/>
  <c r="I728" i="6"/>
  <c r="F731" i="6"/>
  <c r="F727" i="6"/>
  <c r="F726" i="6"/>
  <c r="I729" i="6"/>
  <c r="G731" i="6"/>
  <c r="G727" i="6"/>
  <c r="H730" i="6"/>
  <c r="H726" i="6"/>
  <c r="F728" i="6"/>
  <c r="F725" i="6"/>
  <c r="I730" i="6"/>
  <c r="F730" i="6"/>
  <c r="F729" i="6"/>
  <c r="I726" i="6"/>
  <c r="H707" i="6"/>
  <c r="H703" i="6"/>
  <c r="G707" i="6"/>
  <c r="G703" i="6"/>
  <c r="F703" i="6"/>
  <c r="O708" i="6" s="1"/>
  <c r="H704" i="6"/>
  <c r="G706" i="6"/>
  <c r="G710" i="6"/>
  <c r="F710" i="6"/>
  <c r="O707" i="6" s="1"/>
  <c r="F706" i="6"/>
  <c r="O706" i="6" s="1"/>
  <c r="I710" i="6"/>
  <c r="I706" i="6"/>
  <c r="F709" i="6"/>
  <c r="O703" i="6" s="1"/>
  <c r="H710" i="6"/>
  <c r="I703" i="6"/>
  <c r="I707" i="6"/>
  <c r="H709" i="6"/>
  <c r="H705" i="6"/>
  <c r="G709" i="6"/>
  <c r="G705" i="6"/>
  <c r="F707" i="6"/>
  <c r="O709" i="6" s="1"/>
  <c r="H708" i="6"/>
  <c r="G704" i="6"/>
  <c r="G708" i="6"/>
  <c r="I708" i="6"/>
  <c r="I705" i="6"/>
  <c r="I704" i="6"/>
  <c r="I709" i="6"/>
  <c r="H706" i="6"/>
  <c r="F708" i="6"/>
  <c r="F705" i="6"/>
  <c r="O704" i="6" s="1"/>
  <c r="F704" i="6"/>
  <c r="O705" i="6" s="1"/>
  <c r="G684" i="6"/>
  <c r="I687" i="6"/>
  <c r="I685" i="6"/>
  <c r="I683" i="6"/>
  <c r="G686" i="6"/>
  <c r="H687" i="6"/>
  <c r="I688" i="6"/>
  <c r="I684" i="6"/>
  <c r="F682" i="6"/>
  <c r="O681" i="6" s="1"/>
  <c r="H684" i="6"/>
  <c r="H682" i="6"/>
  <c r="I681" i="6"/>
  <c r="F683" i="6"/>
  <c r="G688" i="6"/>
  <c r="F686" i="6"/>
  <c r="O682" i="6" s="1"/>
  <c r="G687" i="6"/>
  <c r="F687" i="6"/>
  <c r="H681" i="6"/>
  <c r="G683" i="6"/>
  <c r="F681" i="6"/>
  <c r="G682" i="6"/>
  <c r="H685" i="6"/>
  <c r="I686" i="6"/>
  <c r="F685" i="6"/>
  <c r="H688" i="6"/>
  <c r="I682" i="6"/>
  <c r="F688" i="6"/>
  <c r="F684" i="6"/>
  <c r="O683" i="6" s="1"/>
  <c r="G685" i="6"/>
  <c r="H683" i="6"/>
  <c r="H686" i="6"/>
  <c r="G681" i="6"/>
  <c r="G662" i="6"/>
  <c r="I665" i="6"/>
  <c r="G666" i="6"/>
  <c r="H665" i="6"/>
  <c r="H661" i="6"/>
  <c r="O662" i="6" s="1"/>
  <c r="G665" i="6"/>
  <c r="G661" i="6"/>
  <c r="H664" i="6"/>
  <c r="F663" i="6"/>
  <c r="O663" i="6" s="1"/>
  <c r="I659" i="6"/>
  <c r="F661" i="6"/>
  <c r="F664" i="6"/>
  <c r="O661" i="6" s="1"/>
  <c r="F660" i="6"/>
  <c r="O665" i="6" s="1"/>
  <c r="I664" i="6"/>
  <c r="I660" i="6"/>
  <c r="H662" i="6"/>
  <c r="G660" i="6"/>
  <c r="F665" i="6"/>
  <c r="O666" i="6" s="1"/>
  <c r="H663" i="6"/>
  <c r="H659" i="6"/>
  <c r="G663" i="6"/>
  <c r="G659" i="6"/>
  <c r="H660" i="6"/>
  <c r="I663" i="6"/>
  <c r="I661" i="6"/>
  <c r="F666" i="6"/>
  <c r="O664" i="6" s="1"/>
  <c r="F662" i="6"/>
  <c r="O659" i="6" s="1"/>
  <c r="I666" i="6"/>
  <c r="I662" i="6"/>
  <c r="H666" i="6"/>
  <c r="F659" i="6"/>
  <c r="O660" i="6" s="1"/>
  <c r="G664" i="6"/>
  <c r="G640" i="6"/>
  <c r="I643" i="6"/>
  <c r="G644" i="6"/>
  <c r="H643" i="6"/>
  <c r="H639" i="6"/>
  <c r="G643" i="6"/>
  <c r="G639" i="6"/>
  <c r="H642" i="6"/>
  <c r="F641" i="6"/>
  <c r="O637" i="6" s="1"/>
  <c r="I637" i="6"/>
  <c r="F639" i="6"/>
  <c r="I639" i="6"/>
  <c r="F642" i="6"/>
  <c r="O638" i="6" s="1"/>
  <c r="F638" i="6"/>
  <c r="I642" i="6"/>
  <c r="I638" i="6"/>
  <c r="H640" i="6"/>
  <c r="G638" i="6"/>
  <c r="F643" i="6"/>
  <c r="O640" i="6" s="1"/>
  <c r="H641" i="6"/>
  <c r="H637" i="6"/>
  <c r="G641" i="6"/>
  <c r="G637" i="6"/>
  <c r="H638" i="6"/>
  <c r="I641" i="6"/>
  <c r="F644" i="6"/>
  <c r="F640" i="6"/>
  <c r="O639" i="6" s="1"/>
  <c r="I644" i="6"/>
  <c r="I640" i="6"/>
  <c r="H644" i="6"/>
  <c r="F637" i="6"/>
  <c r="G642" i="6"/>
  <c r="W13" i="3"/>
  <c r="D383" i="6"/>
  <c r="S11" i="3"/>
  <c r="C91" i="9"/>
  <c r="D328" i="6"/>
  <c r="G237" i="6"/>
  <c r="G235" i="6"/>
  <c r="I235" i="6"/>
  <c r="I231" i="6"/>
  <c r="H235" i="6"/>
  <c r="H231" i="6"/>
  <c r="H234" i="6"/>
  <c r="G231" i="6"/>
  <c r="G234" i="6"/>
  <c r="G230" i="6"/>
  <c r="F234" i="6"/>
  <c r="O234" i="6" s="1"/>
  <c r="I237" i="6"/>
  <c r="I233" i="6"/>
  <c r="H237" i="6"/>
  <c r="H233" i="6"/>
  <c r="H230" i="6"/>
  <c r="F236" i="6"/>
  <c r="H236" i="6"/>
  <c r="I230" i="6"/>
  <c r="F235" i="6"/>
  <c r="O230" i="6" s="1"/>
  <c r="G233" i="6"/>
  <c r="F232" i="6"/>
  <c r="I232" i="6"/>
  <c r="F237" i="6"/>
  <c r="G232" i="6"/>
  <c r="I236" i="6"/>
  <c r="F233" i="6"/>
  <c r="O231" i="6" s="1"/>
  <c r="G236" i="6"/>
  <c r="F230" i="6"/>
  <c r="O232" i="6" s="1"/>
  <c r="I234" i="6"/>
  <c r="F231" i="6"/>
  <c r="O233" i="6" s="1"/>
  <c r="H232" i="6"/>
  <c r="H147" i="6"/>
  <c r="F143" i="6"/>
  <c r="F145" i="6"/>
  <c r="G146" i="6"/>
  <c r="G142" i="6"/>
  <c r="I148" i="6"/>
  <c r="I144" i="6"/>
  <c r="F144" i="6"/>
  <c r="H146" i="6"/>
  <c r="H142" i="6"/>
  <c r="I149" i="6"/>
  <c r="I145" i="6"/>
  <c r="H149" i="6"/>
  <c r="G147" i="6"/>
  <c r="G143" i="6"/>
  <c r="F146" i="6"/>
  <c r="H144" i="6"/>
  <c r="I143" i="6"/>
  <c r="G145" i="6"/>
  <c r="F149" i="6"/>
  <c r="H145" i="6"/>
  <c r="H148" i="6"/>
  <c r="G148" i="6"/>
  <c r="G144" i="6"/>
  <c r="F148" i="6"/>
  <c r="I146" i="6"/>
  <c r="I142" i="6"/>
  <c r="H143" i="6"/>
  <c r="F147" i="6"/>
  <c r="I147" i="6"/>
  <c r="G149" i="6"/>
  <c r="F142" i="6"/>
  <c r="I67" i="6"/>
  <c r="I72" i="6"/>
  <c r="I65" i="6"/>
  <c r="F69" i="6"/>
  <c r="F65" i="6"/>
  <c r="H69" i="6"/>
  <c r="H65" i="6"/>
  <c r="G71" i="6"/>
  <c r="I69" i="6"/>
  <c r="G70" i="6"/>
  <c r="I66" i="6"/>
  <c r="H72" i="6"/>
  <c r="H68" i="6"/>
  <c r="F72" i="6"/>
  <c r="F68" i="6"/>
  <c r="O70" i="6" s="1"/>
  <c r="G65" i="6"/>
  <c r="I71" i="6"/>
  <c r="G72" i="6"/>
  <c r="H66" i="6"/>
  <c r="F66" i="6"/>
  <c r="G68" i="6"/>
  <c r="I68" i="6"/>
  <c r="F71" i="6"/>
  <c r="F67" i="6"/>
  <c r="H71" i="6"/>
  <c r="H67" i="6"/>
  <c r="G67" i="6"/>
  <c r="G66" i="6"/>
  <c r="I70" i="6"/>
  <c r="H70" i="6"/>
  <c r="F70" i="6"/>
  <c r="G69" i="6"/>
  <c r="F248" i="6"/>
  <c r="O247" i="6" s="1"/>
  <c r="H247" i="6"/>
  <c r="O243" i="6" s="1"/>
  <c r="I243" i="6"/>
  <c r="I247" i="6"/>
  <c r="I245" i="6"/>
  <c r="F242" i="6"/>
  <c r="O248" i="6" s="1"/>
  <c r="I246" i="6"/>
  <c r="I242" i="6"/>
  <c r="H246" i="6"/>
  <c r="O245" i="6" s="1"/>
  <c r="H242" i="6"/>
  <c r="G246" i="6"/>
  <c r="H243" i="6"/>
  <c r="F244" i="6"/>
  <c r="O244" i="6" s="1"/>
  <c r="G245" i="6"/>
  <c r="G241" i="6"/>
  <c r="F245" i="6"/>
  <c r="O242" i="6" s="1"/>
  <c r="F241" i="6"/>
  <c r="O241" i="6" s="1"/>
  <c r="I241" i="6"/>
  <c r="G248" i="6"/>
  <c r="G243" i="6"/>
  <c r="F243" i="6"/>
  <c r="O246" i="6" s="1"/>
  <c r="H245" i="6"/>
  <c r="F246" i="6"/>
  <c r="I248" i="6"/>
  <c r="I244" i="6"/>
  <c r="H248" i="6"/>
  <c r="H244" i="6"/>
  <c r="H241" i="6"/>
  <c r="G242" i="6"/>
  <c r="G247" i="6"/>
  <c r="F247" i="6"/>
  <c r="G244" i="6"/>
  <c r="H157" i="6"/>
  <c r="H159" i="6"/>
  <c r="I155" i="6"/>
  <c r="I159" i="6"/>
  <c r="F155" i="6"/>
  <c r="O155" i="6" s="1"/>
  <c r="F159" i="6"/>
  <c r="G155" i="6"/>
  <c r="G159" i="6"/>
  <c r="I160" i="6"/>
  <c r="H153" i="6"/>
  <c r="H155" i="6"/>
  <c r="G156" i="6"/>
  <c r="G160" i="6"/>
  <c r="H156" i="6"/>
  <c r="O153" i="6" s="1"/>
  <c r="H160" i="6"/>
  <c r="I156" i="6"/>
  <c r="F154" i="6"/>
  <c r="G154" i="6"/>
  <c r="H158" i="6"/>
  <c r="I154" i="6"/>
  <c r="F160" i="6"/>
  <c r="F158" i="6"/>
  <c r="O156" i="6" s="1"/>
  <c r="I153" i="6"/>
  <c r="I157" i="6"/>
  <c r="F153" i="6"/>
  <c r="F157" i="6"/>
  <c r="O154" i="6" s="1"/>
  <c r="G153" i="6"/>
  <c r="G157" i="6"/>
  <c r="F156" i="6"/>
  <c r="G158" i="6"/>
  <c r="H154" i="6"/>
  <c r="I158" i="6"/>
  <c r="I61" i="6"/>
  <c r="I57" i="6"/>
  <c r="H60" i="6"/>
  <c r="F60" i="6"/>
  <c r="F56" i="6"/>
  <c r="O55" i="6" s="1"/>
  <c r="I60" i="6"/>
  <c r="F59" i="6"/>
  <c r="O54" i="6" s="1"/>
  <c r="G55" i="6"/>
  <c r="G60" i="6"/>
  <c r="P61" i="6" s="1"/>
  <c r="G56" i="6"/>
  <c r="F57" i="6"/>
  <c r="H59" i="6"/>
  <c r="H55" i="6"/>
  <c r="G59" i="6"/>
  <c r="F55" i="6"/>
  <c r="I54" i="6"/>
  <c r="G58" i="6"/>
  <c r="H61" i="6"/>
  <c r="G57" i="6"/>
  <c r="H58" i="6"/>
  <c r="I59" i="6"/>
  <c r="I55" i="6"/>
  <c r="H56" i="6"/>
  <c r="F58" i="6"/>
  <c r="F54" i="6"/>
  <c r="I58" i="6"/>
  <c r="H54" i="6"/>
  <c r="F61" i="6"/>
  <c r="G54" i="6"/>
  <c r="H57" i="6"/>
  <c r="G61" i="6"/>
  <c r="I56" i="6"/>
  <c r="G966" i="6"/>
  <c r="H966" i="6" s="1"/>
  <c r="F268" i="6"/>
  <c r="F270" i="6"/>
  <c r="G270" i="6"/>
  <c r="F264" i="6"/>
  <c r="I263" i="6"/>
  <c r="G268" i="6"/>
  <c r="I265" i="6"/>
  <c r="G264" i="6"/>
  <c r="I268" i="6"/>
  <c r="I264" i="6"/>
  <c r="H268" i="6"/>
  <c r="H264" i="6"/>
  <c r="H267" i="6"/>
  <c r="F266" i="6"/>
  <c r="G267" i="6"/>
  <c r="G263" i="6"/>
  <c r="F267" i="6"/>
  <c r="F263" i="6"/>
  <c r="H269" i="6"/>
  <c r="G269" i="6"/>
  <c r="G265" i="6"/>
  <c r="F265" i="6"/>
  <c r="I269" i="6"/>
  <c r="G266" i="6"/>
  <c r="I270" i="6"/>
  <c r="I266" i="6"/>
  <c r="H270" i="6"/>
  <c r="H266" i="6"/>
  <c r="H263" i="6"/>
  <c r="I267" i="6"/>
  <c r="F269" i="6"/>
  <c r="H265" i="6"/>
  <c r="F182" i="6"/>
  <c r="O180" i="6" s="1"/>
  <c r="F180" i="6"/>
  <c r="O177" i="6" s="1"/>
  <c r="I177" i="6"/>
  <c r="I181" i="6"/>
  <c r="F177" i="6"/>
  <c r="F181" i="6"/>
  <c r="O176" i="6" s="1"/>
  <c r="G175" i="6"/>
  <c r="G179" i="6"/>
  <c r="F178" i="6"/>
  <c r="O178" i="6" s="1"/>
  <c r="F176" i="6"/>
  <c r="G178" i="6"/>
  <c r="G182" i="6"/>
  <c r="H178" i="6"/>
  <c r="H182" i="6"/>
  <c r="I176" i="6"/>
  <c r="I180" i="6"/>
  <c r="I182" i="6"/>
  <c r="H177" i="6"/>
  <c r="G176" i="6"/>
  <c r="H180" i="6"/>
  <c r="I178" i="6"/>
  <c r="H179" i="6"/>
  <c r="H181" i="6"/>
  <c r="I175" i="6"/>
  <c r="I179" i="6"/>
  <c r="F175" i="6"/>
  <c r="O179" i="6" s="1"/>
  <c r="F179" i="6"/>
  <c r="O175" i="6" s="1"/>
  <c r="G177" i="6"/>
  <c r="G181" i="6"/>
  <c r="H175" i="6"/>
  <c r="G180" i="6"/>
  <c r="H176" i="6"/>
  <c r="I90" i="6"/>
  <c r="F93" i="6"/>
  <c r="O94" i="6" s="1"/>
  <c r="F89" i="6"/>
  <c r="O91" i="6" s="1"/>
  <c r="H93" i="6"/>
  <c r="H89" i="6"/>
  <c r="I92" i="6"/>
  <c r="I89" i="6"/>
  <c r="G94" i="6"/>
  <c r="G92" i="6"/>
  <c r="G89" i="6"/>
  <c r="H92" i="6"/>
  <c r="H88" i="6"/>
  <c r="F92" i="6"/>
  <c r="O90" i="6" s="1"/>
  <c r="F88" i="6"/>
  <c r="O92" i="6" s="1"/>
  <c r="G87" i="6"/>
  <c r="G90" i="6"/>
  <c r="G91" i="6"/>
  <c r="H90" i="6"/>
  <c r="O93" i="6" s="1"/>
  <c r="F90" i="6"/>
  <c r="G88" i="6"/>
  <c r="I93" i="6"/>
  <c r="I94" i="6"/>
  <c r="I88" i="6"/>
  <c r="F91" i="6"/>
  <c r="O88" i="6" s="1"/>
  <c r="F87" i="6"/>
  <c r="O87" i="6" s="1"/>
  <c r="H91" i="6"/>
  <c r="H87" i="6"/>
  <c r="I87" i="6"/>
  <c r="I91" i="6"/>
  <c r="H94" i="6"/>
  <c r="O89" i="6" s="1"/>
  <c r="F94" i="6"/>
  <c r="G93" i="6"/>
  <c r="W19" i="3"/>
  <c r="C33" i="9"/>
  <c r="D20" i="6"/>
  <c r="S511" i="7"/>
  <c r="U509" i="7"/>
  <c r="S510" i="7"/>
  <c r="K510" i="7"/>
  <c r="I508" i="7"/>
  <c r="Q511" i="7"/>
  <c r="O511" i="7"/>
  <c r="U511" i="7"/>
  <c r="K511" i="7"/>
  <c r="Q509" i="7"/>
  <c r="M508" i="7"/>
  <c r="G508" i="7"/>
  <c r="Q508" i="7"/>
  <c r="G511" i="7"/>
  <c r="U510" i="7"/>
  <c r="I509" i="7"/>
  <c r="M509" i="7"/>
  <c r="G509" i="7"/>
  <c r="I511" i="7"/>
  <c r="O510" i="7"/>
  <c r="M510" i="7"/>
  <c r="U508" i="7"/>
  <c r="O509" i="7"/>
  <c r="Q510" i="7"/>
  <c r="G510" i="7"/>
  <c r="K508" i="7"/>
  <c r="K509" i="7"/>
  <c r="I510" i="7"/>
  <c r="S508" i="7"/>
  <c r="S509" i="7"/>
  <c r="O508" i="7"/>
  <c r="M511" i="7"/>
  <c r="O506" i="7"/>
  <c r="O504" i="7"/>
  <c r="M505" i="7"/>
  <c r="K503" i="7"/>
  <c r="I505" i="7"/>
  <c r="G505" i="7"/>
  <c r="U503" i="7"/>
  <c r="U504" i="7"/>
  <c r="G504" i="7"/>
  <c r="M506" i="7"/>
  <c r="S503" i="7"/>
  <c r="O503" i="7"/>
  <c r="S504" i="7"/>
  <c r="I503" i="7"/>
  <c r="K506" i="7"/>
  <c r="U505" i="7"/>
  <c r="Q506" i="7"/>
  <c r="G503" i="7"/>
  <c r="O505" i="7"/>
  <c r="M504" i="7"/>
  <c r="Q503" i="7"/>
  <c r="Q504" i="7"/>
  <c r="I506" i="7"/>
  <c r="K504" i="7"/>
  <c r="S506" i="7"/>
  <c r="K505" i="7"/>
  <c r="U506" i="7"/>
  <c r="Q505" i="7"/>
  <c r="I504" i="7"/>
  <c r="M503" i="7"/>
  <c r="G506" i="7"/>
  <c r="S505" i="7"/>
  <c r="I927" i="6"/>
  <c r="V927" i="6" s="1"/>
  <c r="I923" i="6"/>
  <c r="V923" i="6" s="1"/>
  <c r="H927" i="6"/>
  <c r="U927" i="6" s="1"/>
  <c r="H923" i="6"/>
  <c r="U923" i="6" s="1"/>
  <c r="I926" i="6"/>
  <c r="V926" i="6" s="1"/>
  <c r="H929" i="6"/>
  <c r="U929" i="6" s="1"/>
  <c r="H924" i="6"/>
  <c r="U924" i="6" s="1"/>
  <c r="I930" i="6"/>
  <c r="I925" i="6"/>
  <c r="V925" i="6" s="1"/>
  <c r="H928" i="6"/>
  <c r="U928" i="6" s="1"/>
  <c r="I929" i="6"/>
  <c r="V929" i="6" s="1"/>
  <c r="H926" i="6"/>
  <c r="U926" i="6" s="1"/>
  <c r="I928" i="6"/>
  <c r="V928" i="6" s="1"/>
  <c r="H925" i="6"/>
  <c r="H930" i="6"/>
  <c r="I924" i="6"/>
  <c r="V924" i="6" s="1"/>
  <c r="I916" i="6"/>
  <c r="V916" i="6" s="1"/>
  <c r="I912" i="6"/>
  <c r="V912" i="6" s="1"/>
  <c r="H916" i="6"/>
  <c r="U916" i="6" s="1"/>
  <c r="H912" i="6"/>
  <c r="U912" i="6" s="1"/>
  <c r="I918" i="6"/>
  <c r="V918" i="6" s="1"/>
  <c r="I913" i="6"/>
  <c r="V913" i="6" s="1"/>
  <c r="H915" i="6"/>
  <c r="U915" i="6" s="1"/>
  <c r="I917" i="6"/>
  <c r="V917" i="6" s="1"/>
  <c r="H914" i="6"/>
  <c r="U914" i="6" s="1"/>
  <c r="H919" i="6"/>
  <c r="I915" i="6"/>
  <c r="V915" i="6" s="1"/>
  <c r="H913" i="6"/>
  <c r="U913" i="6" s="1"/>
  <c r="I914" i="6"/>
  <c r="H917" i="6"/>
  <c r="U917" i="6" s="1"/>
  <c r="H918" i="6"/>
  <c r="U918" i="6" s="1"/>
  <c r="I919" i="6"/>
  <c r="H905" i="6"/>
  <c r="U905" i="6" s="1"/>
  <c r="H902" i="6"/>
  <c r="U902" i="6" s="1"/>
  <c r="I908" i="6"/>
  <c r="H904" i="6"/>
  <c r="U904" i="6" s="1"/>
  <c r="H901" i="6"/>
  <c r="U901" i="6" s="1"/>
  <c r="I906" i="6"/>
  <c r="V906" i="6" s="1"/>
  <c r="H907" i="6"/>
  <c r="U907" i="6" s="1"/>
  <c r="I903" i="6"/>
  <c r="I905" i="6"/>
  <c r="V905" i="6" s="1"/>
  <c r="H906" i="6"/>
  <c r="U906" i="6" s="1"/>
  <c r="H903" i="6"/>
  <c r="I901" i="6"/>
  <c r="V901" i="6" s="1"/>
  <c r="I907" i="6"/>
  <c r="V907" i="6" s="1"/>
  <c r="I902" i="6"/>
  <c r="V902" i="6" s="1"/>
  <c r="H908" i="6"/>
  <c r="I904" i="6"/>
  <c r="V904" i="6" s="1"/>
  <c r="I885" i="6"/>
  <c r="V885" i="6" s="1"/>
  <c r="H884" i="6"/>
  <c r="U884" i="6" s="1"/>
  <c r="F883" i="6"/>
  <c r="G879" i="6"/>
  <c r="P879" i="6" s="1"/>
  <c r="G885" i="6"/>
  <c r="P885" i="6" s="1"/>
  <c r="F886" i="6"/>
  <c r="I882" i="6"/>
  <c r="V882" i="6" s="1"/>
  <c r="G883" i="6"/>
  <c r="P883" i="6" s="1"/>
  <c r="H886" i="6"/>
  <c r="H881" i="6"/>
  <c r="G882" i="6"/>
  <c r="P882" i="6" s="1"/>
  <c r="F880" i="6"/>
  <c r="I883" i="6"/>
  <c r="V883" i="6" s="1"/>
  <c r="G881" i="6"/>
  <c r="F882" i="6"/>
  <c r="F879" i="6"/>
  <c r="I881" i="6"/>
  <c r="H885" i="6"/>
  <c r="U885" i="6" s="1"/>
  <c r="H880" i="6"/>
  <c r="U880" i="6" s="1"/>
  <c r="H879" i="6"/>
  <c r="U879" i="6" s="1"/>
  <c r="I886" i="6"/>
  <c r="F881" i="6"/>
  <c r="F885" i="6"/>
  <c r="I884" i="6"/>
  <c r="V884" i="6" s="1"/>
  <c r="G880" i="6"/>
  <c r="P880" i="6" s="1"/>
  <c r="F884" i="6"/>
  <c r="G886" i="6"/>
  <c r="H882" i="6"/>
  <c r="U882" i="6" s="1"/>
  <c r="I879" i="6"/>
  <c r="V879" i="6" s="1"/>
  <c r="H883" i="6"/>
  <c r="U883" i="6" s="1"/>
  <c r="I880" i="6"/>
  <c r="V880" i="6" s="1"/>
  <c r="G884" i="6"/>
  <c r="P884" i="6" s="1"/>
  <c r="G863" i="6"/>
  <c r="G859" i="6"/>
  <c r="I862" i="6"/>
  <c r="I858" i="6"/>
  <c r="F864" i="6"/>
  <c r="F860" i="6"/>
  <c r="I864" i="6"/>
  <c r="H858" i="6"/>
  <c r="G861" i="6"/>
  <c r="I863" i="6"/>
  <c r="V863" i="6" s="1"/>
  <c r="H863" i="6"/>
  <c r="U863" i="6" s="1"/>
  <c r="F862" i="6"/>
  <c r="F857" i="6"/>
  <c r="H864" i="6"/>
  <c r="I861" i="6"/>
  <c r="F861" i="6"/>
  <c r="I857" i="6"/>
  <c r="G860" i="6"/>
  <c r="H860" i="6"/>
  <c r="H861" i="6"/>
  <c r="G864" i="6"/>
  <c r="I860" i="6"/>
  <c r="F859" i="6"/>
  <c r="G862" i="6"/>
  <c r="I859" i="6"/>
  <c r="F858" i="6"/>
  <c r="H857" i="6"/>
  <c r="F863" i="6"/>
  <c r="G858" i="6"/>
  <c r="H862" i="6"/>
  <c r="G857" i="6"/>
  <c r="H859" i="6"/>
  <c r="F816" i="6"/>
  <c r="O814" i="6" s="1"/>
  <c r="H814" i="6"/>
  <c r="I814" i="6"/>
  <c r="I818" i="6"/>
  <c r="F814" i="6"/>
  <c r="F818" i="6"/>
  <c r="O817" i="6" s="1"/>
  <c r="G814" i="6"/>
  <c r="G818" i="6"/>
  <c r="G817" i="6"/>
  <c r="I819" i="6"/>
  <c r="F815" i="6"/>
  <c r="O818" i="6" s="1"/>
  <c r="F819" i="6"/>
  <c r="O815" i="6" s="1"/>
  <c r="G815" i="6"/>
  <c r="G819" i="6"/>
  <c r="H815" i="6"/>
  <c r="H819" i="6"/>
  <c r="G813" i="6"/>
  <c r="G816" i="6"/>
  <c r="H816" i="6"/>
  <c r="I816" i="6"/>
  <c r="H818" i="6"/>
  <c r="U818" i="6" s="1"/>
  <c r="H817" i="6"/>
  <c r="I817" i="6"/>
  <c r="F817" i="6"/>
  <c r="I820" i="6"/>
  <c r="I815" i="6"/>
  <c r="H820" i="6"/>
  <c r="H813" i="6"/>
  <c r="I813" i="6"/>
  <c r="F813" i="6"/>
  <c r="O813" i="6" s="1"/>
  <c r="G820" i="6"/>
  <c r="F820" i="6"/>
  <c r="O819" i="6" s="1"/>
  <c r="H797" i="6"/>
  <c r="H793" i="6"/>
  <c r="G797" i="6"/>
  <c r="G793" i="6"/>
  <c r="F797" i="6"/>
  <c r="F793" i="6"/>
  <c r="O792" i="6" s="1"/>
  <c r="G791" i="6"/>
  <c r="G795" i="6"/>
  <c r="G796" i="6"/>
  <c r="F796" i="6"/>
  <c r="O791" i="6" s="1"/>
  <c r="I796" i="6"/>
  <c r="V796" i="6" s="1"/>
  <c r="G792" i="6"/>
  <c r="F792" i="6"/>
  <c r="O796" i="6" s="1"/>
  <c r="I792" i="6"/>
  <c r="F791" i="6"/>
  <c r="O795" i="6" s="1"/>
  <c r="I791" i="6"/>
  <c r="H791" i="6"/>
  <c r="I793" i="6"/>
  <c r="I797" i="6"/>
  <c r="I798" i="6"/>
  <c r="H798" i="6"/>
  <c r="G798" i="6"/>
  <c r="F794" i="6"/>
  <c r="O794" i="6" s="1"/>
  <c r="F798" i="6"/>
  <c r="O797" i="6" s="1"/>
  <c r="F795" i="6"/>
  <c r="O793" i="6" s="1"/>
  <c r="H795" i="6"/>
  <c r="I794" i="6"/>
  <c r="G794" i="6"/>
  <c r="H792" i="6"/>
  <c r="H796" i="6"/>
  <c r="U796" i="6" s="1"/>
  <c r="I795" i="6"/>
  <c r="H794" i="6"/>
  <c r="H775" i="6"/>
  <c r="U775" i="6" s="1"/>
  <c r="H771" i="6"/>
  <c r="G775" i="6"/>
  <c r="G771" i="6"/>
  <c r="F775" i="6"/>
  <c r="F771" i="6"/>
  <c r="G769" i="6"/>
  <c r="G773" i="6"/>
  <c r="G774" i="6"/>
  <c r="F774" i="6"/>
  <c r="F770" i="6"/>
  <c r="I770" i="6"/>
  <c r="G770" i="6"/>
  <c r="I774" i="6"/>
  <c r="V774" i="6" s="1"/>
  <c r="F769" i="6"/>
  <c r="I769" i="6"/>
  <c r="H769" i="6"/>
  <c r="I776" i="6"/>
  <c r="H776" i="6"/>
  <c r="G776" i="6"/>
  <c r="H770" i="6"/>
  <c r="H774" i="6"/>
  <c r="U774" i="6" s="1"/>
  <c r="F773" i="6"/>
  <c r="H773" i="6"/>
  <c r="I771" i="6"/>
  <c r="I775" i="6"/>
  <c r="V775" i="6" s="1"/>
  <c r="I772" i="6"/>
  <c r="G772" i="6"/>
  <c r="I773" i="6"/>
  <c r="H772" i="6"/>
  <c r="F772" i="6"/>
  <c r="F776" i="6"/>
  <c r="G618" i="6"/>
  <c r="H621" i="6"/>
  <c r="H617" i="6"/>
  <c r="G621" i="6"/>
  <c r="G617" i="6"/>
  <c r="H620" i="6"/>
  <c r="F619" i="6"/>
  <c r="O616" i="6" s="1"/>
  <c r="I621" i="6"/>
  <c r="F620" i="6"/>
  <c r="O615" i="6" s="1"/>
  <c r="F616" i="6"/>
  <c r="I620" i="6"/>
  <c r="I616" i="6"/>
  <c r="H618" i="6"/>
  <c r="G622" i="6"/>
  <c r="F618" i="6"/>
  <c r="O619" i="6" s="1"/>
  <c r="I618" i="6"/>
  <c r="F615" i="6"/>
  <c r="O618" i="6" s="1"/>
  <c r="I615" i="6"/>
  <c r="F617" i="6"/>
  <c r="O617" i="6" s="1"/>
  <c r="H615" i="6"/>
  <c r="G615" i="6"/>
  <c r="G616" i="6"/>
  <c r="F621" i="6"/>
  <c r="F622" i="6"/>
  <c r="O620" i="6" s="1"/>
  <c r="I622" i="6"/>
  <c r="H622" i="6"/>
  <c r="I619" i="6"/>
  <c r="I617" i="6"/>
  <c r="H619" i="6"/>
  <c r="G619" i="6"/>
  <c r="H616" i="6"/>
  <c r="G620" i="6"/>
  <c r="I596" i="6"/>
  <c r="F600" i="6"/>
  <c r="F596" i="6"/>
  <c r="O595" i="6" s="1"/>
  <c r="H600" i="6"/>
  <c r="F595" i="6"/>
  <c r="G596" i="6"/>
  <c r="H598" i="6"/>
  <c r="G593" i="6"/>
  <c r="I600" i="6"/>
  <c r="G599" i="6"/>
  <c r="H599" i="6"/>
  <c r="H595" i="6"/>
  <c r="F599" i="6"/>
  <c r="G600" i="6"/>
  <c r="I594" i="6"/>
  <c r="F597" i="6"/>
  <c r="F593" i="6"/>
  <c r="F598" i="6"/>
  <c r="O596" i="6" s="1"/>
  <c r="F594" i="6"/>
  <c r="I597" i="6"/>
  <c r="I598" i="6"/>
  <c r="I593" i="6"/>
  <c r="I595" i="6"/>
  <c r="G594" i="6"/>
  <c r="H596" i="6"/>
  <c r="G595" i="6"/>
  <c r="G598" i="6"/>
  <c r="G597" i="6"/>
  <c r="H597" i="6"/>
  <c r="I599" i="6"/>
  <c r="H593" i="6"/>
  <c r="H594" i="6"/>
  <c r="F578" i="6"/>
  <c r="F574" i="6"/>
  <c r="I578" i="6"/>
  <c r="I574" i="6"/>
  <c r="H578" i="6"/>
  <c r="H574" i="6"/>
  <c r="F571" i="6"/>
  <c r="O578" i="6" s="1"/>
  <c r="F575" i="6"/>
  <c r="H577" i="6"/>
  <c r="H573" i="6"/>
  <c r="I577" i="6"/>
  <c r="I573" i="6"/>
  <c r="G577" i="6"/>
  <c r="G573" i="6"/>
  <c r="G572" i="6"/>
  <c r="G576" i="6"/>
  <c r="F576" i="6"/>
  <c r="F572" i="6"/>
  <c r="I576" i="6"/>
  <c r="I572" i="6"/>
  <c r="H576" i="6"/>
  <c r="H572" i="6"/>
  <c r="F573" i="6"/>
  <c r="O571" i="6" s="1"/>
  <c r="F577" i="6"/>
  <c r="I575" i="6"/>
  <c r="G574" i="6"/>
  <c r="I571" i="6"/>
  <c r="G578" i="6"/>
  <c r="H575" i="6"/>
  <c r="G575" i="6"/>
  <c r="H571" i="6"/>
  <c r="G571" i="6"/>
  <c r="F512" i="6"/>
  <c r="F508" i="6"/>
  <c r="O505" i="6" s="1"/>
  <c r="I512" i="6"/>
  <c r="I508" i="6"/>
  <c r="H512" i="6"/>
  <c r="O507" i="6" s="1"/>
  <c r="H508" i="6"/>
  <c r="F505" i="6"/>
  <c r="O506" i="6" s="1"/>
  <c r="F509" i="6"/>
  <c r="H511" i="6"/>
  <c r="O509" i="6" s="1"/>
  <c r="H507" i="6"/>
  <c r="I511" i="6"/>
  <c r="I507" i="6"/>
  <c r="G511" i="6"/>
  <c r="G507" i="6"/>
  <c r="G506" i="6"/>
  <c r="G510" i="6"/>
  <c r="F510" i="6"/>
  <c r="F506" i="6"/>
  <c r="I510" i="6"/>
  <c r="I506" i="6"/>
  <c r="H510" i="6"/>
  <c r="O510" i="6" s="1"/>
  <c r="H506" i="6"/>
  <c r="F507" i="6"/>
  <c r="O511" i="6" s="1"/>
  <c r="F511" i="6"/>
  <c r="I509" i="6"/>
  <c r="G508" i="6"/>
  <c r="I505" i="6"/>
  <c r="G512" i="6"/>
  <c r="H509" i="6"/>
  <c r="G509" i="6"/>
  <c r="H505" i="6"/>
  <c r="G505" i="6"/>
  <c r="F490" i="6"/>
  <c r="O488" i="6" s="1"/>
  <c r="F486" i="6"/>
  <c r="O483" i="6" s="1"/>
  <c r="I490" i="6"/>
  <c r="I486" i="6"/>
  <c r="H490" i="6"/>
  <c r="H486" i="6"/>
  <c r="F483" i="6"/>
  <c r="O484" i="6" s="1"/>
  <c r="F487" i="6"/>
  <c r="O487" i="6" s="1"/>
  <c r="H489" i="6"/>
  <c r="H485" i="6"/>
  <c r="I489" i="6"/>
  <c r="I485" i="6"/>
  <c r="G489" i="6"/>
  <c r="G485" i="6"/>
  <c r="G484" i="6"/>
  <c r="G488" i="6"/>
  <c r="F488" i="6"/>
  <c r="O486" i="6" s="1"/>
  <c r="F484" i="6"/>
  <c r="O489" i="6" s="1"/>
  <c r="I488" i="6"/>
  <c r="I484" i="6"/>
  <c r="H488" i="6"/>
  <c r="H484" i="6"/>
  <c r="F485" i="6"/>
  <c r="O485" i="6" s="1"/>
  <c r="F489" i="6"/>
  <c r="I487" i="6"/>
  <c r="G486" i="6"/>
  <c r="I483" i="6"/>
  <c r="G490" i="6"/>
  <c r="H487" i="6"/>
  <c r="G487" i="6"/>
  <c r="H483" i="6"/>
  <c r="G483" i="6"/>
  <c r="F468" i="6"/>
  <c r="O462" i="6" s="1"/>
  <c r="F464" i="6"/>
  <c r="O463" i="6" s="1"/>
  <c r="I468" i="6"/>
  <c r="I464" i="6"/>
  <c r="H468" i="6"/>
  <c r="H464" i="6"/>
  <c r="F461" i="6"/>
  <c r="O461" i="6" s="1"/>
  <c r="F465" i="6"/>
  <c r="O466" i="6" s="1"/>
  <c r="H467" i="6"/>
  <c r="H463" i="6"/>
  <c r="I467" i="6"/>
  <c r="I463" i="6"/>
  <c r="G467" i="6"/>
  <c r="G463" i="6"/>
  <c r="G462" i="6"/>
  <c r="G466" i="6"/>
  <c r="F466" i="6"/>
  <c r="O464" i="6" s="1"/>
  <c r="F462" i="6"/>
  <c r="O468" i="6" s="1"/>
  <c r="I466" i="6"/>
  <c r="I462" i="6"/>
  <c r="H466" i="6"/>
  <c r="H462" i="6"/>
  <c r="F463" i="6"/>
  <c r="O467" i="6" s="1"/>
  <c r="F467" i="6"/>
  <c r="O465" i="6" s="1"/>
  <c r="I465" i="6"/>
  <c r="G464" i="6"/>
  <c r="I461" i="6"/>
  <c r="G468" i="6"/>
  <c r="H465" i="6"/>
  <c r="G465" i="6"/>
  <c r="H461" i="6"/>
  <c r="G461" i="6"/>
  <c r="F446" i="6"/>
  <c r="O445" i="6" s="1"/>
  <c r="F442" i="6"/>
  <c r="O443" i="6" s="1"/>
  <c r="I446" i="6"/>
  <c r="I442" i="6"/>
  <c r="H446" i="6"/>
  <c r="H442" i="6"/>
  <c r="F439" i="6"/>
  <c r="O444" i="6" s="1"/>
  <c r="F443" i="6"/>
  <c r="O440" i="6" s="1"/>
  <c r="H445" i="6"/>
  <c r="H441" i="6"/>
  <c r="I445" i="6"/>
  <c r="I441" i="6"/>
  <c r="G445" i="6"/>
  <c r="G441" i="6"/>
  <c r="G440" i="6"/>
  <c r="G444" i="6"/>
  <c r="F444" i="6"/>
  <c r="O446" i="6" s="1"/>
  <c r="F440" i="6"/>
  <c r="O439" i="6" s="1"/>
  <c r="I444" i="6"/>
  <c r="I440" i="6"/>
  <c r="H444" i="6"/>
  <c r="H440" i="6"/>
  <c r="F441" i="6"/>
  <c r="O441" i="6" s="1"/>
  <c r="F445" i="6"/>
  <c r="O442" i="6" s="1"/>
  <c r="I443" i="6"/>
  <c r="G442" i="6"/>
  <c r="I439" i="6"/>
  <c r="G446" i="6"/>
  <c r="H443" i="6"/>
  <c r="G443" i="6"/>
  <c r="H439" i="6"/>
  <c r="G439" i="6"/>
  <c r="F424" i="6"/>
  <c r="F420" i="6"/>
  <c r="O420" i="6" s="1"/>
  <c r="I424" i="6"/>
  <c r="I420" i="6"/>
  <c r="H422" i="6"/>
  <c r="H424" i="6"/>
  <c r="O422" i="6" s="1"/>
  <c r="F417" i="6"/>
  <c r="O421" i="6" s="1"/>
  <c r="F421" i="6"/>
  <c r="O418" i="6" s="1"/>
  <c r="H423" i="6"/>
  <c r="H419" i="6"/>
  <c r="I423" i="6"/>
  <c r="I419" i="6"/>
  <c r="G421" i="6"/>
  <c r="G423" i="6"/>
  <c r="G418" i="6"/>
  <c r="G422" i="6"/>
  <c r="F422" i="6"/>
  <c r="O419" i="6" s="1"/>
  <c r="F418" i="6"/>
  <c r="O423" i="6" s="1"/>
  <c r="I422" i="6"/>
  <c r="I418" i="6"/>
  <c r="H418" i="6"/>
  <c r="H420" i="6"/>
  <c r="F419" i="6"/>
  <c r="O417" i="6" s="1"/>
  <c r="F423" i="6"/>
  <c r="O424" i="6" s="1"/>
  <c r="I421" i="6"/>
  <c r="G420" i="6"/>
  <c r="I417" i="6"/>
  <c r="G424" i="6"/>
  <c r="H421" i="6"/>
  <c r="G417" i="6"/>
  <c r="H417" i="6"/>
  <c r="G419" i="6"/>
  <c r="G398" i="6"/>
  <c r="F400" i="6"/>
  <c r="F396" i="6"/>
  <c r="O395" i="6" s="1"/>
  <c r="I400" i="6"/>
  <c r="I396" i="6"/>
  <c r="H402" i="6"/>
  <c r="F399" i="6"/>
  <c r="O398" i="6" s="1"/>
  <c r="H398" i="6"/>
  <c r="G397" i="6"/>
  <c r="H399" i="6"/>
  <c r="H395" i="6"/>
  <c r="I399" i="6"/>
  <c r="I395" i="6"/>
  <c r="H400" i="6"/>
  <c r="G400" i="6"/>
  <c r="H396" i="6"/>
  <c r="G396" i="6"/>
  <c r="F402" i="6"/>
  <c r="F398" i="6"/>
  <c r="O396" i="6" s="1"/>
  <c r="I402" i="6"/>
  <c r="I398" i="6"/>
  <c r="G401" i="6"/>
  <c r="F395" i="6"/>
  <c r="O397" i="6" s="1"/>
  <c r="F401" i="6"/>
  <c r="O399" i="6" s="1"/>
  <c r="H397" i="6"/>
  <c r="F397" i="6"/>
  <c r="I401" i="6"/>
  <c r="G402" i="6"/>
  <c r="G395" i="6"/>
  <c r="I397" i="6"/>
  <c r="H401" i="6"/>
  <c r="G399" i="6"/>
  <c r="G378" i="6"/>
  <c r="H380" i="6"/>
  <c r="G375" i="6"/>
  <c r="F378" i="6"/>
  <c r="O373" i="6" s="1"/>
  <c r="F374" i="6"/>
  <c r="I378" i="6"/>
  <c r="I374" i="6"/>
  <c r="F377" i="6"/>
  <c r="H376" i="6"/>
  <c r="H378" i="6"/>
  <c r="G374" i="6"/>
  <c r="H377" i="6"/>
  <c r="H373" i="6"/>
  <c r="I377" i="6"/>
  <c r="I373" i="6"/>
  <c r="F379" i="6"/>
  <c r="G380" i="6"/>
  <c r="H374" i="6"/>
  <c r="G377" i="6"/>
  <c r="F380" i="6"/>
  <c r="F376" i="6"/>
  <c r="I380" i="6"/>
  <c r="I376" i="6"/>
  <c r="F373" i="6"/>
  <c r="O375" i="6" s="1"/>
  <c r="G376" i="6"/>
  <c r="I375" i="6"/>
  <c r="H379" i="6"/>
  <c r="F375" i="6"/>
  <c r="O374" i="6" s="1"/>
  <c r="G379" i="6"/>
  <c r="H375" i="6"/>
  <c r="G373" i="6"/>
  <c r="I379" i="6"/>
  <c r="I356" i="6"/>
  <c r="I352" i="6"/>
  <c r="H356" i="6"/>
  <c r="H352" i="6"/>
  <c r="G356" i="6"/>
  <c r="G352" i="6"/>
  <c r="H353" i="6"/>
  <c r="H357" i="6"/>
  <c r="G355" i="6"/>
  <c r="G351" i="6"/>
  <c r="F355" i="6"/>
  <c r="F351" i="6"/>
  <c r="I355" i="6"/>
  <c r="I351" i="6"/>
  <c r="F354" i="6"/>
  <c r="F358" i="6"/>
  <c r="O352" i="6" s="1"/>
  <c r="G357" i="6"/>
  <c r="F357" i="6"/>
  <c r="I353" i="6"/>
  <c r="F356" i="6"/>
  <c r="O351" i="6" s="1"/>
  <c r="I358" i="6"/>
  <c r="I354" i="6"/>
  <c r="H358" i="6"/>
  <c r="H354" i="6"/>
  <c r="G358" i="6"/>
  <c r="G354" i="6"/>
  <c r="H351" i="6"/>
  <c r="H355" i="6"/>
  <c r="G353" i="6"/>
  <c r="F353" i="6"/>
  <c r="I357" i="6"/>
  <c r="F352" i="6"/>
  <c r="O353" i="6" s="1"/>
  <c r="G336" i="6"/>
  <c r="I331" i="6"/>
  <c r="I333" i="6"/>
  <c r="I330" i="6"/>
  <c r="F336" i="6"/>
  <c r="I334" i="6"/>
  <c r="I332" i="6"/>
  <c r="I336" i="6"/>
  <c r="H334" i="6"/>
  <c r="H330" i="6"/>
  <c r="G331" i="6"/>
  <c r="H335" i="6"/>
  <c r="O336" i="6" s="1"/>
  <c r="H331" i="6"/>
  <c r="I335" i="6"/>
  <c r="G335" i="6"/>
  <c r="F333" i="6"/>
  <c r="O333" i="6" s="1"/>
  <c r="F329" i="6"/>
  <c r="O330" i="6" s="1"/>
  <c r="F332" i="6"/>
  <c r="O335" i="6" s="1"/>
  <c r="G332" i="6"/>
  <c r="F335" i="6"/>
  <c r="F330" i="6"/>
  <c r="O332" i="6" s="1"/>
  <c r="G330" i="6"/>
  <c r="I329" i="6"/>
  <c r="H336" i="6"/>
  <c r="O334" i="6" s="1"/>
  <c r="H332" i="6"/>
  <c r="G329" i="6"/>
  <c r="G333" i="6"/>
  <c r="H329" i="6"/>
  <c r="H333" i="6"/>
  <c r="F331" i="6"/>
  <c r="O331" i="6" s="1"/>
  <c r="F334" i="6"/>
  <c r="O329" i="6" s="1"/>
  <c r="G334" i="6"/>
  <c r="G307" i="6"/>
  <c r="H314" i="6"/>
  <c r="H312" i="6"/>
  <c r="H310" i="6"/>
  <c r="I314" i="6"/>
  <c r="G313" i="6"/>
  <c r="H308" i="6"/>
  <c r="G309" i="6"/>
  <c r="I310" i="6"/>
  <c r="I311" i="6"/>
  <c r="I307" i="6"/>
  <c r="H311" i="6"/>
  <c r="H307" i="6"/>
  <c r="F313" i="6"/>
  <c r="I312" i="6"/>
  <c r="G314" i="6"/>
  <c r="G310" i="6"/>
  <c r="F314" i="6"/>
  <c r="F310" i="6"/>
  <c r="F307" i="6"/>
  <c r="G311" i="6"/>
  <c r="G308" i="6"/>
  <c r="F308" i="6"/>
  <c r="I313" i="6"/>
  <c r="I309" i="6"/>
  <c r="H313" i="6"/>
  <c r="H309" i="6"/>
  <c r="F309" i="6"/>
  <c r="I308" i="6"/>
  <c r="G312" i="6"/>
  <c r="F312" i="6"/>
  <c r="O308" i="6" s="1"/>
  <c r="F311" i="6"/>
  <c r="O307" i="6" s="1"/>
  <c r="G292" i="6"/>
  <c r="I290" i="6"/>
  <c r="I286" i="6"/>
  <c r="H290" i="6"/>
  <c r="H286" i="6"/>
  <c r="G288" i="6"/>
  <c r="I291" i="6"/>
  <c r="G289" i="6"/>
  <c r="G285" i="6"/>
  <c r="F289" i="6"/>
  <c r="O286" i="6" s="1"/>
  <c r="F285" i="6"/>
  <c r="O289" i="6" s="1"/>
  <c r="I287" i="6"/>
  <c r="H292" i="6"/>
  <c r="I288" i="6"/>
  <c r="F292" i="6"/>
  <c r="O292" i="6" s="1"/>
  <c r="H288" i="6"/>
  <c r="G290" i="6"/>
  <c r="H285" i="6"/>
  <c r="G291" i="6"/>
  <c r="I289" i="6"/>
  <c r="G286" i="6"/>
  <c r="F290" i="6"/>
  <c r="O290" i="6" s="1"/>
  <c r="G287" i="6"/>
  <c r="H287" i="6"/>
  <c r="H291" i="6"/>
  <c r="I285" i="6"/>
  <c r="H289" i="6"/>
  <c r="F291" i="6"/>
  <c r="O288" i="6" s="1"/>
  <c r="F286" i="6"/>
  <c r="O287" i="6" s="1"/>
  <c r="F288" i="6"/>
  <c r="O285" i="6" s="1"/>
  <c r="F287" i="6"/>
  <c r="O291" i="6" s="1"/>
  <c r="I292" i="6"/>
  <c r="D439" i="7"/>
  <c r="C513" i="7"/>
  <c r="W14" i="3"/>
  <c r="C12" i="9"/>
  <c r="D680" i="6"/>
  <c r="C93" i="9"/>
  <c r="D647" i="6"/>
  <c r="G259" i="6"/>
  <c r="I256" i="6"/>
  <c r="I258" i="6"/>
  <c r="F255" i="6"/>
  <c r="O253" i="6" s="1"/>
  <c r="F253" i="6"/>
  <c r="F259" i="6"/>
  <c r="O256" i="6" s="1"/>
  <c r="F257" i="6"/>
  <c r="I254" i="6"/>
  <c r="G255" i="6"/>
  <c r="I257" i="6"/>
  <c r="I253" i="6"/>
  <c r="H257" i="6"/>
  <c r="O255" i="6" s="1"/>
  <c r="H253" i="6"/>
  <c r="H256" i="6"/>
  <c r="O257" i="6" s="1"/>
  <c r="G257" i="6"/>
  <c r="G256" i="6"/>
  <c r="G252" i="6"/>
  <c r="F256" i="6"/>
  <c r="F252" i="6"/>
  <c r="O252" i="6" s="1"/>
  <c r="H258" i="6"/>
  <c r="I252" i="6"/>
  <c r="G258" i="6"/>
  <c r="F254" i="6"/>
  <c r="O254" i="6" s="1"/>
  <c r="I259" i="6"/>
  <c r="I255" i="6"/>
  <c r="H259" i="6"/>
  <c r="H255" i="6"/>
  <c r="H252" i="6"/>
  <c r="G253" i="6"/>
  <c r="G254" i="6"/>
  <c r="F258" i="6"/>
  <c r="O258" i="6" s="1"/>
  <c r="H254" i="6"/>
  <c r="I171" i="6"/>
  <c r="H164" i="6"/>
  <c r="H166" i="6"/>
  <c r="I166" i="6"/>
  <c r="I170" i="6"/>
  <c r="F166" i="6"/>
  <c r="O167" i="6" s="1"/>
  <c r="F170" i="6"/>
  <c r="O170" i="6" s="1"/>
  <c r="I167" i="6"/>
  <c r="F171" i="6"/>
  <c r="F169" i="6"/>
  <c r="O166" i="6" s="1"/>
  <c r="G167" i="6"/>
  <c r="G171" i="6"/>
  <c r="H167" i="6"/>
  <c r="H171" i="6"/>
  <c r="G164" i="6"/>
  <c r="G168" i="6"/>
  <c r="H170" i="6"/>
  <c r="G165" i="6"/>
  <c r="H169" i="6"/>
  <c r="G166" i="6"/>
  <c r="F167" i="6"/>
  <c r="O165" i="6" s="1"/>
  <c r="F165" i="6"/>
  <c r="O169" i="6" s="1"/>
  <c r="I164" i="6"/>
  <c r="I168" i="6"/>
  <c r="F164" i="6"/>
  <c r="O164" i="6" s="1"/>
  <c r="F168" i="6"/>
  <c r="O168" i="6" s="1"/>
  <c r="I165" i="6"/>
  <c r="I169" i="6"/>
  <c r="H168" i="6"/>
  <c r="G169" i="6"/>
  <c r="H165" i="6"/>
  <c r="G170" i="6"/>
  <c r="G79" i="6"/>
  <c r="H83" i="6"/>
  <c r="H79" i="6"/>
  <c r="F83" i="6"/>
  <c r="F79" i="6"/>
  <c r="I81" i="6"/>
  <c r="G81" i="6"/>
  <c r="G77" i="6"/>
  <c r="F82" i="6"/>
  <c r="F78" i="6"/>
  <c r="H82" i="6"/>
  <c r="H78" i="6"/>
  <c r="G76" i="6"/>
  <c r="I76" i="6"/>
  <c r="G82" i="6"/>
  <c r="F76" i="6"/>
  <c r="G80" i="6"/>
  <c r="I82" i="6"/>
  <c r="I83" i="6"/>
  <c r="H81" i="6"/>
  <c r="H77" i="6"/>
  <c r="F81" i="6"/>
  <c r="O78" i="6" s="1"/>
  <c r="F77" i="6"/>
  <c r="O76" i="6" s="1"/>
  <c r="G78" i="6"/>
  <c r="I78" i="6"/>
  <c r="I77" i="6"/>
  <c r="G83" i="6"/>
  <c r="F80" i="6"/>
  <c r="H80" i="6"/>
  <c r="H76" i="6"/>
  <c r="I80" i="6"/>
  <c r="I79" i="6"/>
  <c r="I961" i="6"/>
  <c r="V961" i="6" s="1"/>
  <c r="I957" i="6"/>
  <c r="V957" i="6" s="1"/>
  <c r="H962" i="6"/>
  <c r="U962" i="6" s="1"/>
  <c r="H958" i="6"/>
  <c r="I960" i="6"/>
  <c r="V960" i="6" s="1"/>
  <c r="H960" i="6"/>
  <c r="U960" i="6" s="1"/>
  <c r="H963" i="6"/>
  <c r="H957" i="6"/>
  <c r="U957" i="6" s="1"/>
  <c r="I959" i="6"/>
  <c r="V959" i="6" s="1"/>
  <c r="I956" i="6"/>
  <c r="V956" i="6" s="1"/>
  <c r="I963" i="6"/>
  <c r="I962" i="6"/>
  <c r="V962" i="6" s="1"/>
  <c r="I958" i="6"/>
  <c r="H959" i="6"/>
  <c r="U959" i="6" s="1"/>
  <c r="H956" i="6"/>
  <c r="U956" i="6" s="1"/>
  <c r="H961" i="6"/>
  <c r="U961" i="6" s="1"/>
  <c r="Q498" i="7"/>
  <c r="U499" i="7"/>
  <c r="I501" i="7"/>
  <c r="G501" i="7"/>
  <c r="M501" i="7"/>
  <c r="S501" i="7"/>
  <c r="K500" i="7"/>
  <c r="S498" i="7"/>
  <c r="K499" i="7"/>
  <c r="Q501" i="7"/>
  <c r="O500" i="7"/>
  <c r="M500" i="7"/>
  <c r="O498" i="7"/>
  <c r="O499" i="7"/>
  <c r="Q499" i="7"/>
  <c r="Q500" i="7"/>
  <c r="G500" i="7"/>
  <c r="K501" i="7"/>
  <c r="G498" i="7"/>
  <c r="S500" i="7"/>
  <c r="M498" i="7"/>
  <c r="I500" i="7"/>
  <c r="U501" i="7"/>
  <c r="G499" i="7"/>
  <c r="K498" i="7"/>
  <c r="U498" i="7"/>
  <c r="U500" i="7"/>
  <c r="I498" i="7"/>
  <c r="S499" i="7"/>
  <c r="O501" i="7"/>
  <c r="I499" i="7"/>
  <c r="M499" i="7"/>
  <c r="O489" i="7"/>
  <c r="S490" i="7"/>
  <c r="I488" i="7"/>
  <c r="O488" i="7"/>
  <c r="I491" i="7"/>
  <c r="G491" i="7"/>
  <c r="M491" i="7"/>
  <c r="S491" i="7"/>
  <c r="G489" i="7"/>
  <c r="Q489" i="7"/>
  <c r="M488" i="7"/>
  <c r="M489" i="7"/>
  <c r="Q488" i="7"/>
  <c r="O491" i="7"/>
  <c r="U490" i="7"/>
  <c r="K490" i="7"/>
  <c r="S489" i="7"/>
  <c r="Q491" i="7"/>
  <c r="O490" i="7"/>
  <c r="M490" i="7"/>
  <c r="K488" i="7"/>
  <c r="Q490" i="7"/>
  <c r="G490" i="7"/>
  <c r="K491" i="7"/>
  <c r="S488" i="7"/>
  <c r="U488" i="7"/>
  <c r="I490" i="7"/>
  <c r="I489" i="7"/>
  <c r="K489" i="7"/>
  <c r="G488" i="7"/>
  <c r="U491" i="7"/>
  <c r="U489" i="7"/>
  <c r="H808" i="6"/>
  <c r="H804" i="6"/>
  <c r="G808" i="6"/>
  <c r="P808" i="6" s="1"/>
  <c r="G804" i="6"/>
  <c r="F808" i="6"/>
  <c r="O808" i="6" s="1"/>
  <c r="F804" i="6"/>
  <c r="O806" i="6" s="1"/>
  <c r="G802" i="6"/>
  <c r="G806" i="6"/>
  <c r="G807" i="6"/>
  <c r="F807" i="6"/>
  <c r="O804" i="6" s="1"/>
  <c r="G803" i="6"/>
  <c r="F802" i="6"/>
  <c r="O803" i="6" s="1"/>
  <c r="F803" i="6"/>
  <c r="H806" i="6"/>
  <c r="U806" i="6" s="1"/>
  <c r="F805" i="6"/>
  <c r="O805" i="6" s="1"/>
  <c r="F809" i="6"/>
  <c r="O807" i="6" s="1"/>
  <c r="I809" i="6"/>
  <c r="H809" i="6"/>
  <c r="I802" i="6"/>
  <c r="G805" i="6"/>
  <c r="I806" i="6"/>
  <c r="V806" i="6" s="1"/>
  <c r="G809" i="6"/>
  <c r="H803" i="6"/>
  <c r="H807" i="6"/>
  <c r="H805" i="6"/>
  <c r="U805" i="6" s="1"/>
  <c r="H802" i="6"/>
  <c r="I804" i="6"/>
  <c r="F806" i="6"/>
  <c r="O802" i="6" s="1"/>
  <c r="I803" i="6"/>
  <c r="I805" i="6"/>
  <c r="V805" i="6" s="1"/>
  <c r="I807" i="6"/>
  <c r="I808" i="6"/>
  <c r="G765" i="6"/>
  <c r="F759" i="6"/>
  <c r="O762" i="6" s="1"/>
  <c r="F761" i="6"/>
  <c r="O763" i="6" s="1"/>
  <c r="F763" i="6"/>
  <c r="O764" i="6" s="1"/>
  <c r="F765" i="6"/>
  <c r="O759" i="6" s="1"/>
  <c r="G759" i="6"/>
  <c r="G761" i="6"/>
  <c r="G763" i="6"/>
  <c r="G762" i="6"/>
  <c r="G758" i="6"/>
  <c r="F762" i="6"/>
  <c r="O761" i="6" s="1"/>
  <c r="F758" i="6"/>
  <c r="O758" i="6" s="1"/>
  <c r="H764" i="6"/>
  <c r="I764" i="6"/>
  <c r="I765" i="6"/>
  <c r="I761" i="6"/>
  <c r="H765" i="6"/>
  <c r="H761" i="6"/>
  <c r="H758" i="6"/>
  <c r="I758" i="6"/>
  <c r="G764" i="6"/>
  <c r="G760" i="6"/>
  <c r="F764" i="6"/>
  <c r="O760" i="6" s="1"/>
  <c r="F760" i="6"/>
  <c r="O765" i="6" s="1"/>
  <c r="H760" i="6"/>
  <c r="I760" i="6"/>
  <c r="I763" i="6"/>
  <c r="H762" i="6"/>
  <c r="I759" i="6"/>
  <c r="I762" i="6"/>
  <c r="H763" i="6"/>
  <c r="H759" i="6"/>
  <c r="H742" i="6"/>
  <c r="G740" i="6"/>
  <c r="G736" i="6"/>
  <c r="F740" i="6"/>
  <c r="O738" i="6" s="1"/>
  <c r="F736" i="6"/>
  <c r="O743" i="6" s="1"/>
  <c r="G737" i="6"/>
  <c r="F737" i="6"/>
  <c r="O736" i="6" s="1"/>
  <c r="I736" i="6"/>
  <c r="I743" i="6"/>
  <c r="I739" i="6"/>
  <c r="H743" i="6"/>
  <c r="H739" i="6"/>
  <c r="G743" i="6"/>
  <c r="F743" i="6"/>
  <c r="O739" i="6" s="1"/>
  <c r="I742" i="6"/>
  <c r="H736" i="6"/>
  <c r="H738" i="6"/>
  <c r="G742" i="6"/>
  <c r="G738" i="6"/>
  <c r="F742" i="6"/>
  <c r="O740" i="6" s="1"/>
  <c r="F738" i="6"/>
  <c r="O737" i="6" s="1"/>
  <c r="G741" i="6"/>
  <c r="F741" i="6"/>
  <c r="O741" i="6" s="1"/>
  <c r="I740" i="6"/>
  <c r="H740" i="6"/>
  <c r="H737" i="6"/>
  <c r="I741" i="6"/>
  <c r="G739" i="6"/>
  <c r="I737" i="6"/>
  <c r="F739" i="6"/>
  <c r="O742" i="6" s="1"/>
  <c r="H741" i="6"/>
  <c r="I738" i="6"/>
  <c r="G721" i="6"/>
  <c r="G715" i="6"/>
  <c r="G717" i="6"/>
  <c r="G719" i="6"/>
  <c r="F715" i="6"/>
  <c r="F717" i="6"/>
  <c r="O719" i="6" s="1"/>
  <c r="F721" i="6"/>
  <c r="O720" i="6" s="1"/>
  <c r="F718" i="6"/>
  <c r="O718" i="6" s="1"/>
  <c r="F714" i="6"/>
  <c r="O715" i="6" s="1"/>
  <c r="I718" i="6"/>
  <c r="I714" i="6"/>
  <c r="G720" i="6"/>
  <c r="H720" i="6"/>
  <c r="H721" i="6"/>
  <c r="H717" i="6"/>
  <c r="I721" i="6"/>
  <c r="I717" i="6"/>
  <c r="G714" i="6"/>
  <c r="H714" i="6"/>
  <c r="F720" i="6"/>
  <c r="O717" i="6" s="1"/>
  <c r="F716" i="6"/>
  <c r="O714" i="6" s="1"/>
  <c r="I720" i="6"/>
  <c r="I716" i="6"/>
  <c r="G716" i="6"/>
  <c r="H716" i="6"/>
  <c r="F719" i="6"/>
  <c r="O716" i="6" s="1"/>
  <c r="I719" i="6"/>
  <c r="I715" i="6"/>
  <c r="H718" i="6"/>
  <c r="H719" i="6"/>
  <c r="G718" i="6"/>
  <c r="H715" i="6"/>
  <c r="H696" i="6"/>
  <c r="H692" i="6"/>
  <c r="G696" i="6"/>
  <c r="G692" i="6"/>
  <c r="F692" i="6"/>
  <c r="O693" i="6" s="1"/>
  <c r="H693" i="6"/>
  <c r="G695" i="6"/>
  <c r="G699" i="6"/>
  <c r="F699" i="6"/>
  <c r="F695" i="6"/>
  <c r="I699" i="6"/>
  <c r="I695" i="6"/>
  <c r="F698" i="6"/>
  <c r="O695" i="6" s="1"/>
  <c r="H699" i="6"/>
  <c r="I692" i="6"/>
  <c r="I696" i="6"/>
  <c r="H698" i="6"/>
  <c r="H694" i="6"/>
  <c r="G698" i="6"/>
  <c r="G694" i="6"/>
  <c r="F696" i="6"/>
  <c r="H697" i="6"/>
  <c r="G693" i="6"/>
  <c r="G697" i="6"/>
  <c r="I697" i="6"/>
  <c r="I694" i="6"/>
  <c r="I693" i="6"/>
  <c r="I698" i="6"/>
  <c r="F693" i="6"/>
  <c r="H695" i="6"/>
  <c r="F697" i="6"/>
  <c r="O692" i="6" s="1"/>
  <c r="F694" i="6"/>
  <c r="O694" i="6" s="1"/>
  <c r="G673" i="6"/>
  <c r="I676" i="6"/>
  <c r="G677" i="6"/>
  <c r="H674" i="6"/>
  <c r="H670" i="6"/>
  <c r="G674" i="6"/>
  <c r="G670" i="6"/>
  <c r="H671" i="6"/>
  <c r="I670" i="6"/>
  <c r="F677" i="6"/>
  <c r="F673" i="6"/>
  <c r="I677" i="6"/>
  <c r="I673" i="6"/>
  <c r="H677" i="6"/>
  <c r="F670" i="6"/>
  <c r="G671" i="6"/>
  <c r="I672" i="6"/>
  <c r="H676" i="6"/>
  <c r="H672" i="6"/>
  <c r="G676" i="6"/>
  <c r="G672" i="6"/>
  <c r="H675" i="6"/>
  <c r="F674" i="6"/>
  <c r="I674" i="6"/>
  <c r="F672" i="6"/>
  <c r="F675" i="6"/>
  <c r="F671" i="6"/>
  <c r="I675" i="6"/>
  <c r="I671" i="6"/>
  <c r="H673" i="6"/>
  <c r="G675" i="6"/>
  <c r="F676" i="6"/>
  <c r="G651" i="6"/>
  <c r="I654" i="6"/>
  <c r="G655" i="6"/>
  <c r="I650" i="6"/>
  <c r="H652" i="6"/>
  <c r="H648" i="6"/>
  <c r="G652" i="6"/>
  <c r="G648" i="6"/>
  <c r="H649" i="6"/>
  <c r="I648" i="6"/>
  <c r="F655" i="6"/>
  <c r="O654" i="6" s="1"/>
  <c r="F651" i="6"/>
  <c r="O649" i="6" s="1"/>
  <c r="I655" i="6"/>
  <c r="I651" i="6"/>
  <c r="H655" i="6"/>
  <c r="F648" i="6"/>
  <c r="O648" i="6" s="1"/>
  <c r="G649" i="6"/>
  <c r="H654" i="6"/>
  <c r="H650" i="6"/>
  <c r="G654" i="6"/>
  <c r="G650" i="6"/>
  <c r="H653" i="6"/>
  <c r="F652" i="6"/>
  <c r="O653" i="6" s="1"/>
  <c r="I652" i="6"/>
  <c r="F650" i="6"/>
  <c r="O650" i="6" s="1"/>
  <c r="F653" i="6"/>
  <c r="O651" i="6" s="1"/>
  <c r="F649" i="6"/>
  <c r="O652" i="6" s="1"/>
  <c r="I653" i="6"/>
  <c r="I649" i="6"/>
  <c r="H651" i="6"/>
  <c r="G653" i="6"/>
  <c r="F654" i="6"/>
  <c r="O655" i="6" s="1"/>
  <c r="W12" i="3"/>
  <c r="C11" i="9"/>
  <c r="D372" i="6"/>
  <c r="S12" i="3"/>
  <c r="C95" i="9"/>
  <c r="D339" i="6"/>
  <c r="F200" i="6"/>
  <c r="O200" i="6" s="1"/>
  <c r="G204" i="6"/>
  <c r="H198" i="6"/>
  <c r="I198" i="6"/>
  <c r="G202" i="6"/>
  <c r="H201" i="6"/>
  <c r="H204" i="6"/>
  <c r="F197" i="6"/>
  <c r="O201" i="6" s="1"/>
  <c r="I200" i="6"/>
  <c r="I204" i="6"/>
  <c r="I199" i="6"/>
  <c r="G203" i="6"/>
  <c r="H203" i="6"/>
  <c r="H197" i="6"/>
  <c r="F203" i="6"/>
  <c r="O198" i="6" s="1"/>
  <c r="F199" i="6"/>
  <c r="O199" i="6" s="1"/>
  <c r="I201" i="6"/>
  <c r="G200" i="6"/>
  <c r="F204" i="6"/>
  <c r="H200" i="6"/>
  <c r="H199" i="6"/>
  <c r="F201" i="6"/>
  <c r="G198" i="6"/>
  <c r="G197" i="6"/>
  <c r="F198" i="6"/>
  <c r="H202" i="6"/>
  <c r="I202" i="6"/>
  <c r="I197" i="6"/>
  <c r="G201" i="6"/>
  <c r="G199" i="6"/>
  <c r="I203" i="6"/>
  <c r="F202" i="6"/>
  <c r="O197" i="6" s="1"/>
  <c r="I103" i="6"/>
  <c r="I99" i="6"/>
  <c r="H103" i="6"/>
  <c r="H99" i="6"/>
  <c r="G103" i="6"/>
  <c r="G99" i="6"/>
  <c r="F103" i="6"/>
  <c r="O103" i="6" s="1"/>
  <c r="F99" i="6"/>
  <c r="O101" i="6" s="1"/>
  <c r="G102" i="6"/>
  <c r="G98" i="6"/>
  <c r="F102" i="6"/>
  <c r="F98" i="6"/>
  <c r="O99" i="6" s="1"/>
  <c r="I102" i="6"/>
  <c r="I98" i="6"/>
  <c r="H102" i="6"/>
  <c r="H98" i="6"/>
  <c r="G104" i="6"/>
  <c r="F104" i="6"/>
  <c r="O104" i="6" s="1"/>
  <c r="I104" i="6"/>
  <c r="H104" i="6"/>
  <c r="I105" i="6"/>
  <c r="I101" i="6"/>
  <c r="H105" i="6"/>
  <c r="H101" i="6"/>
  <c r="G105" i="6"/>
  <c r="G101" i="6"/>
  <c r="F105" i="6"/>
  <c r="O100" i="6" s="1"/>
  <c r="F101" i="6"/>
  <c r="O98" i="6" s="1"/>
  <c r="G100" i="6"/>
  <c r="F100" i="6"/>
  <c r="O102" i="6" s="1"/>
  <c r="I100" i="6"/>
  <c r="H100" i="6"/>
  <c r="I39" i="6"/>
  <c r="I35" i="6"/>
  <c r="F32" i="6"/>
  <c r="O35" i="6" s="1"/>
  <c r="F36" i="6"/>
  <c r="O37" i="6" s="1"/>
  <c r="G33" i="6"/>
  <c r="G37" i="6"/>
  <c r="H33" i="6"/>
  <c r="H37" i="6"/>
  <c r="I32" i="6"/>
  <c r="I36" i="6"/>
  <c r="F33" i="6"/>
  <c r="O34" i="6" s="1"/>
  <c r="F37" i="6"/>
  <c r="O33" i="6" s="1"/>
  <c r="G34" i="6"/>
  <c r="G38" i="6"/>
  <c r="P39" i="6" s="1"/>
  <c r="H34" i="6"/>
  <c r="H38" i="6"/>
  <c r="I33" i="6"/>
  <c r="I37" i="6"/>
  <c r="F34" i="6"/>
  <c r="O36" i="6" s="1"/>
  <c r="F38" i="6"/>
  <c r="O39" i="6" s="1"/>
  <c r="G35" i="6"/>
  <c r="G39" i="6"/>
  <c r="H35" i="6"/>
  <c r="H39" i="6"/>
  <c r="I34" i="6"/>
  <c r="G36" i="6"/>
  <c r="G32" i="6"/>
  <c r="I38" i="6"/>
  <c r="H32" i="6"/>
  <c r="F35" i="6"/>
  <c r="O32" i="6" s="1"/>
  <c r="H36" i="6"/>
  <c r="F39" i="6"/>
  <c r="O38" i="6" s="1"/>
  <c r="W11" i="3"/>
  <c r="C10" i="9"/>
  <c r="D163" i="6"/>
  <c r="F189" i="6"/>
  <c r="F187" i="6"/>
  <c r="I188" i="6"/>
  <c r="I192" i="6"/>
  <c r="F188" i="6"/>
  <c r="F192" i="6"/>
  <c r="O193" i="6" s="1"/>
  <c r="I187" i="6"/>
  <c r="I191" i="6"/>
  <c r="H190" i="6"/>
  <c r="H192" i="6"/>
  <c r="G189" i="6"/>
  <c r="G193" i="6"/>
  <c r="H189" i="6"/>
  <c r="H193" i="6"/>
  <c r="G188" i="6"/>
  <c r="G192" i="6"/>
  <c r="F193" i="6"/>
  <c r="G187" i="6"/>
  <c r="H191" i="6"/>
  <c r="G190" i="6"/>
  <c r="I193" i="6"/>
  <c r="H186" i="6"/>
  <c r="H188" i="6"/>
  <c r="I186" i="6"/>
  <c r="I190" i="6"/>
  <c r="F186" i="6"/>
  <c r="F190" i="6"/>
  <c r="I189" i="6"/>
  <c r="F191" i="6"/>
  <c r="G191" i="6"/>
  <c r="H187" i="6"/>
  <c r="G186" i="6"/>
  <c r="H113" i="6"/>
  <c r="G116" i="6"/>
  <c r="G112" i="6"/>
  <c r="I116" i="6"/>
  <c r="I111" i="6"/>
  <c r="F109" i="6"/>
  <c r="O114" i="6" s="1"/>
  <c r="G113" i="6"/>
  <c r="I109" i="6"/>
  <c r="F116" i="6"/>
  <c r="O111" i="6" s="1"/>
  <c r="F112" i="6"/>
  <c r="O113" i="6" s="1"/>
  <c r="F115" i="6"/>
  <c r="F111" i="6"/>
  <c r="O110" i="6" s="1"/>
  <c r="I115" i="6"/>
  <c r="I110" i="6"/>
  <c r="H116" i="6"/>
  <c r="H112" i="6"/>
  <c r="F114" i="6"/>
  <c r="O112" i="6" s="1"/>
  <c r="H109" i="6"/>
  <c r="I113" i="6"/>
  <c r="H110" i="6"/>
  <c r="H115" i="6"/>
  <c r="H111" i="6"/>
  <c r="G114" i="6"/>
  <c r="G110" i="6"/>
  <c r="I114" i="6"/>
  <c r="G109" i="6"/>
  <c r="G115" i="6"/>
  <c r="G111" i="6"/>
  <c r="F113" i="6"/>
  <c r="O109" i="6" s="1"/>
  <c r="I112" i="6"/>
  <c r="H114" i="6"/>
  <c r="F110" i="6"/>
  <c r="O115" i="6" s="1"/>
  <c r="F28" i="6"/>
  <c r="H25" i="6"/>
  <c r="F22" i="6"/>
  <c r="F23" i="6"/>
  <c r="O24" i="6" s="1"/>
  <c r="F24" i="6"/>
  <c r="I25" i="6"/>
  <c r="I26" i="6"/>
  <c r="I27" i="6"/>
  <c r="I24" i="6"/>
  <c r="F21" i="6"/>
  <c r="O21" i="6" s="1"/>
  <c r="F26" i="6"/>
  <c r="O23" i="6" s="1"/>
  <c r="F27" i="6"/>
  <c r="O26" i="6" s="1"/>
  <c r="G21" i="6"/>
  <c r="G22" i="6"/>
  <c r="G23" i="6"/>
  <c r="H21" i="6"/>
  <c r="I28" i="6"/>
  <c r="F25" i="6"/>
  <c r="O25" i="6" s="1"/>
  <c r="H23" i="6"/>
  <c r="H24" i="6"/>
  <c r="G25" i="6"/>
  <c r="G26" i="6"/>
  <c r="G27" i="6"/>
  <c r="G24" i="6"/>
  <c r="H22" i="6"/>
  <c r="H26" i="6"/>
  <c r="I22" i="6"/>
  <c r="H27" i="6"/>
  <c r="H28" i="6"/>
  <c r="I23" i="6"/>
  <c r="G28" i="6"/>
  <c r="I21" i="6"/>
  <c r="G56" i="11" s="1"/>
  <c r="N56" i="11" s="1"/>
  <c r="O56" i="11" s="1"/>
  <c r="C369" i="7"/>
  <c r="D371" i="7"/>
  <c r="G277" i="6"/>
  <c r="G281" i="6"/>
  <c r="G280" i="6"/>
  <c r="G276" i="6"/>
  <c r="F280" i="6"/>
  <c r="O279" i="6" s="1"/>
  <c r="F276" i="6"/>
  <c r="H276" i="6"/>
  <c r="O277" i="6" s="1"/>
  <c r="G275" i="6"/>
  <c r="G278" i="6"/>
  <c r="G274" i="6"/>
  <c r="F278" i="6"/>
  <c r="F274" i="6"/>
  <c r="O275" i="6" s="1"/>
  <c r="H280" i="6"/>
  <c r="G279" i="6"/>
  <c r="I275" i="6"/>
  <c r="H275" i="6"/>
  <c r="I278" i="6"/>
  <c r="F275" i="6"/>
  <c r="O276" i="6" s="1"/>
  <c r="I281" i="6"/>
  <c r="H281" i="6"/>
  <c r="H274" i="6"/>
  <c r="I280" i="6"/>
  <c r="F277" i="6"/>
  <c r="O274" i="6" s="1"/>
  <c r="I277" i="6"/>
  <c r="I276" i="6"/>
  <c r="I279" i="6"/>
  <c r="H279" i="6"/>
  <c r="H278" i="6"/>
  <c r="O278" i="6" s="1"/>
  <c r="I274" i="6"/>
  <c r="F279" i="6"/>
  <c r="H277" i="6"/>
  <c r="F281" i="6"/>
  <c r="O280" i="6" s="1"/>
  <c r="F226" i="6"/>
  <c r="F222" i="6"/>
  <c r="O221" i="6" s="1"/>
  <c r="I221" i="6"/>
  <c r="F224" i="6"/>
  <c r="O219" i="6" s="1"/>
  <c r="I223" i="6"/>
  <c r="G222" i="6"/>
  <c r="I225" i="6"/>
  <c r="G224" i="6"/>
  <c r="I219" i="6"/>
  <c r="G220" i="6"/>
  <c r="I226" i="6"/>
  <c r="I222" i="6"/>
  <c r="H226" i="6"/>
  <c r="H222" i="6"/>
  <c r="H219" i="6"/>
  <c r="G225" i="6"/>
  <c r="G221" i="6"/>
  <c r="F225" i="6"/>
  <c r="O222" i="6" s="1"/>
  <c r="F221" i="6"/>
  <c r="H221" i="6"/>
  <c r="G219" i="6"/>
  <c r="F219" i="6"/>
  <c r="G226" i="6"/>
  <c r="I224" i="6"/>
  <c r="I220" i="6"/>
  <c r="H224" i="6"/>
  <c r="H220" i="6"/>
  <c r="H223" i="6"/>
  <c r="F220" i="6"/>
  <c r="O220" i="6" s="1"/>
  <c r="G223" i="6"/>
  <c r="F223" i="6"/>
  <c r="H225" i="6"/>
  <c r="I137" i="6"/>
  <c r="F134" i="6"/>
  <c r="H138" i="6"/>
  <c r="F133" i="6"/>
  <c r="H137" i="6"/>
  <c r="I133" i="6"/>
  <c r="G135" i="6"/>
  <c r="G131" i="6"/>
  <c r="I138" i="6"/>
  <c r="F137" i="6"/>
  <c r="H133" i="6"/>
  <c r="G136" i="6"/>
  <c r="G132" i="6"/>
  <c r="I136" i="6"/>
  <c r="I132" i="6"/>
  <c r="H134" i="6"/>
  <c r="G138" i="6"/>
  <c r="H131" i="6"/>
  <c r="F138" i="6"/>
  <c r="H136" i="6"/>
  <c r="O132" i="6" s="1"/>
  <c r="G137" i="6"/>
  <c r="F136" i="6"/>
  <c r="F132" i="6"/>
  <c r="O131" i="6" s="1"/>
  <c r="F135" i="6"/>
  <c r="F131" i="6"/>
  <c r="I135" i="6"/>
  <c r="I131" i="6"/>
  <c r="G133" i="6"/>
  <c r="H135" i="6"/>
  <c r="G134" i="6"/>
  <c r="I134" i="6"/>
  <c r="H132" i="6"/>
  <c r="G47" i="6"/>
  <c r="G43" i="6"/>
  <c r="F49" i="6"/>
  <c r="O43" i="6" s="1"/>
  <c r="F45" i="6"/>
  <c r="I45" i="6"/>
  <c r="F48" i="6"/>
  <c r="O47" i="6" s="1"/>
  <c r="G46" i="6"/>
  <c r="H43" i="6"/>
  <c r="I50" i="6"/>
  <c r="I46" i="6"/>
  <c r="G50" i="6"/>
  <c r="H48" i="6"/>
  <c r="H44" i="6"/>
  <c r="G44" i="6"/>
  <c r="H45" i="6"/>
  <c r="H49" i="6"/>
  <c r="U50" i="6" s="1"/>
  <c r="I44" i="6"/>
  <c r="H46" i="6"/>
  <c r="F50" i="6"/>
  <c r="F44" i="6"/>
  <c r="O44" i="6" s="1"/>
  <c r="G49" i="6"/>
  <c r="P50" i="6" s="1"/>
  <c r="G45" i="6"/>
  <c r="F46" i="6"/>
  <c r="O45" i="6" s="1"/>
  <c r="F47" i="6"/>
  <c r="O46" i="6" s="1"/>
  <c r="F43" i="6"/>
  <c r="O48" i="6" s="1"/>
  <c r="I43" i="6"/>
  <c r="G48" i="6"/>
  <c r="H47" i="6"/>
  <c r="I48" i="6"/>
  <c r="H50" i="6"/>
  <c r="I49" i="6"/>
  <c r="V50" i="6" s="1"/>
  <c r="I47" i="6"/>
  <c r="B39" i="6"/>
  <c r="AC39" i="6" s="1"/>
  <c r="B28" i="6"/>
  <c r="AC28" i="6" s="1"/>
  <c r="B727" i="6"/>
  <c r="AC727" i="6" s="1"/>
  <c r="B683" i="6"/>
  <c r="AC683" i="6" s="1"/>
  <c r="B639" i="6"/>
  <c r="AC639" i="6" s="1"/>
  <c r="B595" i="6"/>
  <c r="AC595" i="6" s="1"/>
  <c r="B507" i="6"/>
  <c r="AC507" i="6" s="1"/>
  <c r="B463" i="6"/>
  <c r="AC463" i="6" s="1"/>
  <c r="B419" i="6"/>
  <c r="AC419" i="6" s="1"/>
  <c r="B375" i="6"/>
  <c r="AC375" i="6" s="1"/>
  <c r="B331" i="6"/>
  <c r="AC331" i="6" s="1"/>
  <c r="B287" i="6"/>
  <c r="AC287" i="6" s="1"/>
  <c r="B243" i="6"/>
  <c r="AC243" i="6" s="1"/>
  <c r="B199" i="6"/>
  <c r="AC199" i="6" s="1"/>
  <c r="B155" i="6"/>
  <c r="AC155" i="6" s="1"/>
  <c r="B111" i="6"/>
  <c r="AC111" i="6" s="1"/>
  <c r="B67" i="6"/>
  <c r="AC67" i="6" s="1"/>
  <c r="B34" i="6"/>
  <c r="AC34" i="6" s="1"/>
  <c r="B23" i="6"/>
  <c r="AC23" i="6" s="1"/>
  <c r="B738" i="6"/>
  <c r="AC738" i="6" s="1"/>
  <c r="B694" i="6"/>
  <c r="AC694" i="6" s="1"/>
  <c r="B650" i="6"/>
  <c r="AC650" i="6" s="1"/>
  <c r="B606" i="6"/>
  <c r="AC606" i="6" s="1"/>
  <c r="B562" i="6"/>
  <c r="AC562" i="6" s="1"/>
  <c r="B474" i="6"/>
  <c r="AC474" i="6" s="1"/>
  <c r="B430" i="6"/>
  <c r="AC430" i="6" s="1"/>
  <c r="B386" i="6"/>
  <c r="AC386" i="6" s="1"/>
  <c r="B342" i="6"/>
  <c r="AC342" i="6" s="1"/>
  <c r="B298" i="6"/>
  <c r="AC298" i="6" s="1"/>
  <c r="B254" i="6"/>
  <c r="AC254" i="6" s="1"/>
  <c r="B210" i="6"/>
  <c r="AC210" i="6" s="1"/>
  <c r="B166" i="6"/>
  <c r="AC166" i="6" s="1"/>
  <c r="B122" i="6"/>
  <c r="AC122" i="6" s="1"/>
  <c r="B78" i="6"/>
  <c r="AC78" i="6" s="1"/>
  <c r="B749" i="6"/>
  <c r="AC749" i="6" s="1"/>
  <c r="B705" i="6"/>
  <c r="AC705" i="6" s="1"/>
  <c r="B661" i="6"/>
  <c r="AC661" i="6" s="1"/>
  <c r="B617" i="6"/>
  <c r="AC617" i="6" s="1"/>
  <c r="B573" i="6"/>
  <c r="AC573" i="6" s="1"/>
  <c r="B485" i="6"/>
  <c r="AC485" i="6" s="1"/>
  <c r="B441" i="6"/>
  <c r="AC441" i="6" s="1"/>
  <c r="B397" i="6"/>
  <c r="AC397" i="6" s="1"/>
  <c r="B353" i="6"/>
  <c r="AC353" i="6" s="1"/>
  <c r="B309" i="6"/>
  <c r="AC309" i="6" s="1"/>
  <c r="B265" i="6"/>
  <c r="AC265" i="6" s="1"/>
  <c r="B221" i="6"/>
  <c r="AC221" i="6" s="1"/>
  <c r="B177" i="6"/>
  <c r="AC177" i="6" s="1"/>
  <c r="B133" i="6"/>
  <c r="AC133" i="6" s="1"/>
  <c r="B89" i="6"/>
  <c r="AC89" i="6" s="1"/>
  <c r="B45" i="6"/>
  <c r="AC45" i="6" s="1"/>
  <c r="B760" i="6"/>
  <c r="AC760" i="6" s="1"/>
  <c r="B716" i="6"/>
  <c r="AC716" i="6" s="1"/>
  <c r="B672" i="6"/>
  <c r="AC672" i="6" s="1"/>
  <c r="B628" i="6"/>
  <c r="AC628" i="6" s="1"/>
  <c r="B584" i="6"/>
  <c r="AC584" i="6" s="1"/>
  <c r="B496" i="6"/>
  <c r="AC496" i="6" s="1"/>
  <c r="B452" i="6"/>
  <c r="AC452" i="6" s="1"/>
  <c r="B408" i="6"/>
  <c r="AC408" i="6" s="1"/>
  <c r="B364" i="6"/>
  <c r="AC364" i="6" s="1"/>
  <c r="B320" i="6"/>
  <c r="AC320" i="6" s="1"/>
  <c r="B276" i="6"/>
  <c r="AC276" i="6" s="1"/>
  <c r="B232" i="6"/>
  <c r="AC232" i="6" s="1"/>
  <c r="B188" i="6"/>
  <c r="AC188" i="6" s="1"/>
  <c r="B144" i="6"/>
  <c r="AC144" i="6" s="1"/>
  <c r="B100" i="6"/>
  <c r="AC100" i="6" s="1"/>
  <c r="B56" i="6"/>
  <c r="AC56" i="6" s="1"/>
  <c r="C740" i="6"/>
  <c r="AD740" i="6" s="1"/>
  <c r="C696" i="6"/>
  <c r="AD696" i="6" s="1"/>
  <c r="C652" i="6"/>
  <c r="AD652" i="6" s="1"/>
  <c r="C608" i="6"/>
  <c r="AD608" i="6" s="1"/>
  <c r="C564" i="6"/>
  <c r="AD564" i="6" s="1"/>
  <c r="C476" i="6"/>
  <c r="AD476" i="6" s="1"/>
  <c r="C432" i="6"/>
  <c r="AD432" i="6" s="1"/>
  <c r="C388" i="6"/>
  <c r="AD388" i="6" s="1"/>
  <c r="C344" i="6"/>
  <c r="AD344" i="6" s="1"/>
  <c r="C300" i="6"/>
  <c r="AD300" i="6" s="1"/>
  <c r="C256" i="6"/>
  <c r="AD256" i="6" s="1"/>
  <c r="C212" i="6"/>
  <c r="AD212" i="6" s="1"/>
  <c r="C168" i="6"/>
  <c r="AD168" i="6" s="1"/>
  <c r="C124" i="6"/>
  <c r="AD124" i="6" s="1"/>
  <c r="C80" i="6"/>
  <c r="AD80" i="6" s="1"/>
  <c r="C751" i="6"/>
  <c r="AD751" i="6" s="1"/>
  <c r="C707" i="6"/>
  <c r="AD707" i="6" s="1"/>
  <c r="C663" i="6"/>
  <c r="AD663" i="6" s="1"/>
  <c r="C619" i="6"/>
  <c r="AD619" i="6" s="1"/>
  <c r="C575" i="6"/>
  <c r="AD575" i="6" s="1"/>
  <c r="C487" i="6"/>
  <c r="AD487" i="6" s="1"/>
  <c r="C443" i="6"/>
  <c r="AD443" i="6" s="1"/>
  <c r="C399" i="6"/>
  <c r="AD399" i="6" s="1"/>
  <c r="C355" i="6"/>
  <c r="AD355" i="6" s="1"/>
  <c r="C311" i="6"/>
  <c r="AD311" i="6" s="1"/>
  <c r="C267" i="6"/>
  <c r="AD267" i="6" s="1"/>
  <c r="C223" i="6"/>
  <c r="AD223" i="6" s="1"/>
  <c r="C179" i="6"/>
  <c r="AD179" i="6" s="1"/>
  <c r="C135" i="6"/>
  <c r="AD135" i="6" s="1"/>
  <c r="C91" i="6"/>
  <c r="AD91" i="6" s="1"/>
  <c r="C47" i="6"/>
  <c r="AD47" i="6" s="1"/>
  <c r="C25" i="6"/>
  <c r="AD25" i="6" s="1"/>
  <c r="C762" i="6"/>
  <c r="AD762" i="6" s="1"/>
  <c r="C718" i="6"/>
  <c r="AD718" i="6" s="1"/>
  <c r="C674" i="6"/>
  <c r="AD674" i="6" s="1"/>
  <c r="C630" i="6"/>
  <c r="AD630" i="6" s="1"/>
  <c r="C586" i="6"/>
  <c r="AD586" i="6" s="1"/>
  <c r="C498" i="6"/>
  <c r="AD498" i="6" s="1"/>
  <c r="C454" i="6"/>
  <c r="AD454" i="6" s="1"/>
  <c r="C410" i="6"/>
  <c r="AD410" i="6" s="1"/>
  <c r="C366" i="6"/>
  <c r="AD366" i="6" s="1"/>
  <c r="C322" i="6"/>
  <c r="AD322" i="6" s="1"/>
  <c r="C278" i="6"/>
  <c r="AD278" i="6" s="1"/>
  <c r="C234" i="6"/>
  <c r="AD234" i="6" s="1"/>
  <c r="C190" i="6"/>
  <c r="AD190" i="6" s="1"/>
  <c r="C146" i="6"/>
  <c r="AD146" i="6" s="1"/>
  <c r="C102" i="6"/>
  <c r="AD102" i="6" s="1"/>
  <c r="C58" i="6"/>
  <c r="AD58" i="6" s="1"/>
  <c r="C729" i="6"/>
  <c r="AD729" i="6" s="1"/>
  <c r="C685" i="6"/>
  <c r="AD685" i="6" s="1"/>
  <c r="C641" i="6"/>
  <c r="AD641" i="6" s="1"/>
  <c r="C597" i="6"/>
  <c r="AD597" i="6" s="1"/>
  <c r="C509" i="6"/>
  <c r="AD509" i="6" s="1"/>
  <c r="C465" i="6"/>
  <c r="AD465" i="6" s="1"/>
  <c r="C421" i="6"/>
  <c r="AD421" i="6" s="1"/>
  <c r="C377" i="6"/>
  <c r="AD377" i="6" s="1"/>
  <c r="C333" i="6"/>
  <c r="AD333" i="6" s="1"/>
  <c r="C289" i="6"/>
  <c r="AD289" i="6" s="1"/>
  <c r="C245" i="6"/>
  <c r="AD245" i="6" s="1"/>
  <c r="C201" i="6"/>
  <c r="AD201" i="6" s="1"/>
  <c r="C157" i="6"/>
  <c r="AD157" i="6" s="1"/>
  <c r="C113" i="6"/>
  <c r="AD113" i="6" s="1"/>
  <c r="C69" i="6"/>
  <c r="AD69" i="6" s="1"/>
  <c r="C36" i="6"/>
  <c r="AD36" i="6" s="1"/>
  <c r="B729" i="6"/>
  <c r="AC729" i="6" s="1"/>
  <c r="B685" i="6"/>
  <c r="AC685" i="6" s="1"/>
  <c r="B641" i="6"/>
  <c r="AC641" i="6" s="1"/>
  <c r="B597" i="6"/>
  <c r="AC597" i="6" s="1"/>
  <c r="B509" i="6"/>
  <c r="AC509" i="6" s="1"/>
  <c r="B465" i="6"/>
  <c r="AC465" i="6" s="1"/>
  <c r="B421" i="6"/>
  <c r="AC421" i="6" s="1"/>
  <c r="B377" i="6"/>
  <c r="AC377" i="6" s="1"/>
  <c r="B333" i="6"/>
  <c r="AC333" i="6" s="1"/>
  <c r="B289" i="6"/>
  <c r="AC289" i="6" s="1"/>
  <c r="B245" i="6"/>
  <c r="AC245" i="6" s="1"/>
  <c r="B201" i="6"/>
  <c r="AC201" i="6" s="1"/>
  <c r="B157" i="6"/>
  <c r="AC157" i="6" s="1"/>
  <c r="B113" i="6"/>
  <c r="AC113" i="6" s="1"/>
  <c r="B69" i="6"/>
  <c r="AC69" i="6" s="1"/>
  <c r="B36" i="6"/>
  <c r="AC36" i="6" s="1"/>
  <c r="B25" i="6"/>
  <c r="AC25" i="6" s="1"/>
  <c r="B740" i="6"/>
  <c r="AC740" i="6" s="1"/>
  <c r="B696" i="6"/>
  <c r="AC696" i="6" s="1"/>
  <c r="B652" i="6"/>
  <c r="AC652" i="6" s="1"/>
  <c r="B608" i="6"/>
  <c r="AC608" i="6" s="1"/>
  <c r="B564" i="6"/>
  <c r="AC564" i="6" s="1"/>
  <c r="B476" i="6"/>
  <c r="AC476" i="6" s="1"/>
  <c r="B432" i="6"/>
  <c r="AC432" i="6" s="1"/>
  <c r="B388" i="6"/>
  <c r="AC388" i="6" s="1"/>
  <c r="B344" i="6"/>
  <c r="AC344" i="6" s="1"/>
  <c r="B300" i="6"/>
  <c r="AC300" i="6" s="1"/>
  <c r="B256" i="6"/>
  <c r="AC256" i="6" s="1"/>
  <c r="B212" i="6"/>
  <c r="AC212" i="6" s="1"/>
  <c r="B168" i="6"/>
  <c r="AC168" i="6" s="1"/>
  <c r="B124" i="6"/>
  <c r="AC124" i="6" s="1"/>
  <c r="B80" i="6"/>
  <c r="AC80" i="6" s="1"/>
  <c r="B751" i="6"/>
  <c r="AC751" i="6" s="1"/>
  <c r="B707" i="6"/>
  <c r="AC707" i="6" s="1"/>
  <c r="B663" i="6"/>
  <c r="AC663" i="6" s="1"/>
  <c r="B619" i="6"/>
  <c r="AC619" i="6" s="1"/>
  <c r="B575" i="6"/>
  <c r="AC575" i="6" s="1"/>
  <c r="B487" i="6"/>
  <c r="AC487" i="6" s="1"/>
  <c r="B443" i="6"/>
  <c r="AC443" i="6" s="1"/>
  <c r="B399" i="6"/>
  <c r="AC399" i="6" s="1"/>
  <c r="B355" i="6"/>
  <c r="AC355" i="6" s="1"/>
  <c r="B311" i="6"/>
  <c r="AC311" i="6" s="1"/>
  <c r="B267" i="6"/>
  <c r="AC267" i="6" s="1"/>
  <c r="B223" i="6"/>
  <c r="AC223" i="6" s="1"/>
  <c r="B179" i="6"/>
  <c r="AC179" i="6" s="1"/>
  <c r="B135" i="6"/>
  <c r="AC135" i="6" s="1"/>
  <c r="B91" i="6"/>
  <c r="AC91" i="6" s="1"/>
  <c r="B47" i="6"/>
  <c r="AC47" i="6" s="1"/>
  <c r="B762" i="6"/>
  <c r="AC762" i="6" s="1"/>
  <c r="B718" i="6"/>
  <c r="AC718" i="6" s="1"/>
  <c r="B674" i="6"/>
  <c r="AC674" i="6" s="1"/>
  <c r="B630" i="6"/>
  <c r="AC630" i="6" s="1"/>
  <c r="B586" i="6"/>
  <c r="AC586" i="6" s="1"/>
  <c r="B498" i="6"/>
  <c r="AC498" i="6" s="1"/>
  <c r="B454" i="6"/>
  <c r="AC454" i="6" s="1"/>
  <c r="B410" i="6"/>
  <c r="AC410" i="6" s="1"/>
  <c r="B366" i="6"/>
  <c r="AC366" i="6" s="1"/>
  <c r="B322" i="6"/>
  <c r="AC322" i="6" s="1"/>
  <c r="B278" i="6"/>
  <c r="AC278" i="6" s="1"/>
  <c r="B234" i="6"/>
  <c r="AC234" i="6" s="1"/>
  <c r="B190" i="6"/>
  <c r="AC190" i="6" s="1"/>
  <c r="B146" i="6"/>
  <c r="AC146" i="6" s="1"/>
  <c r="B102" i="6"/>
  <c r="AC102" i="6" s="1"/>
  <c r="B58" i="6"/>
  <c r="AC58" i="6" s="1"/>
  <c r="C736" i="6"/>
  <c r="AD736" i="6" s="1"/>
  <c r="C692" i="6"/>
  <c r="AD692" i="6" s="1"/>
  <c r="C648" i="6"/>
  <c r="AD648" i="6" s="1"/>
  <c r="C604" i="6"/>
  <c r="AD604" i="6" s="1"/>
  <c r="C560" i="6"/>
  <c r="AD560" i="6" s="1"/>
  <c r="C472" i="6"/>
  <c r="AD472" i="6" s="1"/>
  <c r="C428" i="6"/>
  <c r="AD428" i="6" s="1"/>
  <c r="C384" i="6"/>
  <c r="AD384" i="6" s="1"/>
  <c r="C340" i="6"/>
  <c r="AD340" i="6" s="1"/>
  <c r="C296" i="6"/>
  <c r="AD296" i="6" s="1"/>
  <c r="C252" i="6"/>
  <c r="AD252" i="6" s="1"/>
  <c r="C208" i="6"/>
  <c r="AD208" i="6" s="1"/>
  <c r="C164" i="6"/>
  <c r="AD164" i="6" s="1"/>
  <c r="C120" i="6"/>
  <c r="AD120" i="6" s="1"/>
  <c r="C76" i="6"/>
  <c r="AD76" i="6" s="1"/>
  <c r="C747" i="6"/>
  <c r="AD747" i="6" s="1"/>
  <c r="C703" i="6"/>
  <c r="AD703" i="6" s="1"/>
  <c r="C659" i="6"/>
  <c r="AD659" i="6" s="1"/>
  <c r="C615" i="6"/>
  <c r="AD615" i="6" s="1"/>
  <c r="C571" i="6"/>
  <c r="AD571" i="6" s="1"/>
  <c r="C483" i="6"/>
  <c r="AD483" i="6" s="1"/>
  <c r="C439" i="6"/>
  <c r="AD439" i="6" s="1"/>
  <c r="C395" i="6"/>
  <c r="AD395" i="6" s="1"/>
  <c r="C351" i="6"/>
  <c r="AD351" i="6" s="1"/>
  <c r="C307" i="6"/>
  <c r="AD307" i="6" s="1"/>
  <c r="C263" i="6"/>
  <c r="AD263" i="6" s="1"/>
  <c r="C219" i="6"/>
  <c r="AD219" i="6" s="1"/>
  <c r="C175" i="6"/>
  <c r="AD175" i="6" s="1"/>
  <c r="C131" i="6"/>
  <c r="AD131" i="6" s="1"/>
  <c r="C87" i="6"/>
  <c r="AD87" i="6" s="1"/>
  <c r="C43" i="6"/>
  <c r="AD43" i="6" s="1"/>
  <c r="C21" i="6"/>
  <c r="AD21" i="6" s="1"/>
  <c r="C758" i="6"/>
  <c r="AD758" i="6" s="1"/>
  <c r="C714" i="6"/>
  <c r="AD714" i="6" s="1"/>
  <c r="C670" i="6"/>
  <c r="AD670" i="6" s="1"/>
  <c r="C626" i="6"/>
  <c r="AD626" i="6" s="1"/>
  <c r="C582" i="6"/>
  <c r="AD582" i="6" s="1"/>
  <c r="C494" i="6"/>
  <c r="AD494" i="6" s="1"/>
  <c r="C450" i="6"/>
  <c r="AD450" i="6" s="1"/>
  <c r="C406" i="6"/>
  <c r="AD406" i="6" s="1"/>
  <c r="C362" i="6"/>
  <c r="AD362" i="6" s="1"/>
  <c r="C318" i="6"/>
  <c r="AD318" i="6" s="1"/>
  <c r="C274" i="6"/>
  <c r="AD274" i="6" s="1"/>
  <c r="C230" i="6"/>
  <c r="AD230" i="6" s="1"/>
  <c r="C186" i="6"/>
  <c r="AD186" i="6" s="1"/>
  <c r="C142" i="6"/>
  <c r="AD142" i="6" s="1"/>
  <c r="C98" i="6"/>
  <c r="AD98" i="6" s="1"/>
  <c r="C54" i="6"/>
  <c r="AD54" i="6" s="1"/>
  <c r="C725" i="6"/>
  <c r="AD725" i="6" s="1"/>
  <c r="C681" i="6"/>
  <c r="AD681" i="6" s="1"/>
  <c r="C637" i="6"/>
  <c r="AD637" i="6" s="1"/>
  <c r="C593" i="6"/>
  <c r="AD593" i="6" s="1"/>
  <c r="C505" i="6"/>
  <c r="AD505" i="6" s="1"/>
  <c r="C461" i="6"/>
  <c r="AD461" i="6" s="1"/>
  <c r="C417" i="6"/>
  <c r="AD417" i="6" s="1"/>
  <c r="C373" i="6"/>
  <c r="AD373" i="6" s="1"/>
  <c r="C329" i="6"/>
  <c r="AD329" i="6" s="1"/>
  <c r="C285" i="6"/>
  <c r="AD285" i="6" s="1"/>
  <c r="C241" i="6"/>
  <c r="AD241" i="6" s="1"/>
  <c r="C197" i="6"/>
  <c r="AD197" i="6" s="1"/>
  <c r="C153" i="6"/>
  <c r="AD153" i="6" s="1"/>
  <c r="C109" i="6"/>
  <c r="AD109" i="6" s="1"/>
  <c r="C65" i="6"/>
  <c r="AD65" i="6" s="1"/>
  <c r="C32" i="6"/>
  <c r="AD32" i="6" s="1"/>
  <c r="C765" i="6"/>
  <c r="AD765" i="6" s="1"/>
  <c r="C721" i="6"/>
  <c r="AD721" i="6" s="1"/>
  <c r="C677" i="6"/>
  <c r="AD677" i="6" s="1"/>
  <c r="C633" i="6"/>
  <c r="AD633" i="6" s="1"/>
  <c r="C589" i="6"/>
  <c r="AD589" i="6" s="1"/>
  <c r="C501" i="6"/>
  <c r="AD501" i="6" s="1"/>
  <c r="C457" i="6"/>
  <c r="AD457" i="6" s="1"/>
  <c r="C413" i="6"/>
  <c r="AD413" i="6" s="1"/>
  <c r="C369" i="6"/>
  <c r="AD369" i="6" s="1"/>
  <c r="C325" i="6"/>
  <c r="AD325" i="6" s="1"/>
  <c r="C281" i="6"/>
  <c r="AD281" i="6" s="1"/>
  <c r="C237" i="6"/>
  <c r="AD237" i="6" s="1"/>
  <c r="C193" i="6"/>
  <c r="AD193" i="6" s="1"/>
  <c r="C149" i="6"/>
  <c r="AD149" i="6" s="1"/>
  <c r="C105" i="6"/>
  <c r="AD105" i="6" s="1"/>
  <c r="C61" i="6"/>
  <c r="AD61" i="6" s="1"/>
  <c r="C28" i="6"/>
  <c r="AD28" i="6" s="1"/>
  <c r="C39" i="6"/>
  <c r="AD39" i="6" s="1"/>
  <c r="C732" i="6"/>
  <c r="AD732" i="6" s="1"/>
  <c r="C688" i="6"/>
  <c r="AD688" i="6" s="1"/>
  <c r="C644" i="6"/>
  <c r="AD644" i="6" s="1"/>
  <c r="C600" i="6"/>
  <c r="AD600" i="6" s="1"/>
  <c r="C512" i="6"/>
  <c r="AD512" i="6" s="1"/>
  <c r="C468" i="6"/>
  <c r="AD468" i="6" s="1"/>
  <c r="C424" i="6"/>
  <c r="AD424" i="6" s="1"/>
  <c r="C380" i="6"/>
  <c r="AD380" i="6" s="1"/>
  <c r="C336" i="6"/>
  <c r="AD336" i="6" s="1"/>
  <c r="C292" i="6"/>
  <c r="AD292" i="6" s="1"/>
  <c r="C248" i="6"/>
  <c r="AD248" i="6" s="1"/>
  <c r="C204" i="6"/>
  <c r="AD204" i="6" s="1"/>
  <c r="C160" i="6"/>
  <c r="AD160" i="6" s="1"/>
  <c r="C116" i="6"/>
  <c r="AD116" i="6" s="1"/>
  <c r="C72" i="6"/>
  <c r="AD72" i="6" s="1"/>
  <c r="C743" i="6"/>
  <c r="AD743" i="6" s="1"/>
  <c r="C699" i="6"/>
  <c r="AD699" i="6" s="1"/>
  <c r="C655" i="6"/>
  <c r="AD655" i="6" s="1"/>
  <c r="C611" i="6"/>
  <c r="AD611" i="6" s="1"/>
  <c r="C567" i="6"/>
  <c r="AD567" i="6" s="1"/>
  <c r="C479" i="6"/>
  <c r="AD479" i="6" s="1"/>
  <c r="C435" i="6"/>
  <c r="AD435" i="6" s="1"/>
  <c r="C391" i="6"/>
  <c r="AD391" i="6" s="1"/>
  <c r="C347" i="6"/>
  <c r="AD347" i="6" s="1"/>
  <c r="C303" i="6"/>
  <c r="AD303" i="6" s="1"/>
  <c r="C259" i="6"/>
  <c r="AD259" i="6" s="1"/>
  <c r="C215" i="6"/>
  <c r="AD215" i="6" s="1"/>
  <c r="C171" i="6"/>
  <c r="AD171" i="6" s="1"/>
  <c r="C127" i="6"/>
  <c r="AD127" i="6" s="1"/>
  <c r="C83" i="6"/>
  <c r="AD83" i="6" s="1"/>
  <c r="C754" i="6"/>
  <c r="AD754" i="6" s="1"/>
  <c r="C710" i="6"/>
  <c r="AD710" i="6" s="1"/>
  <c r="C666" i="6"/>
  <c r="AD666" i="6" s="1"/>
  <c r="C622" i="6"/>
  <c r="AD622" i="6" s="1"/>
  <c r="C578" i="6"/>
  <c r="AD578" i="6" s="1"/>
  <c r="C490" i="6"/>
  <c r="AD490" i="6" s="1"/>
  <c r="C446" i="6"/>
  <c r="AD446" i="6" s="1"/>
  <c r="C402" i="6"/>
  <c r="AD402" i="6" s="1"/>
  <c r="C358" i="6"/>
  <c r="AD358" i="6" s="1"/>
  <c r="C314" i="6"/>
  <c r="AD314" i="6" s="1"/>
  <c r="C270" i="6"/>
  <c r="AD270" i="6" s="1"/>
  <c r="C226" i="6"/>
  <c r="AD226" i="6" s="1"/>
  <c r="C182" i="6"/>
  <c r="AD182" i="6" s="1"/>
  <c r="C138" i="6"/>
  <c r="AD138" i="6" s="1"/>
  <c r="C94" i="6"/>
  <c r="AD94" i="6" s="1"/>
  <c r="C50" i="6"/>
  <c r="AD50" i="6" s="1"/>
  <c r="C759" i="6"/>
  <c r="AD759" i="6" s="1"/>
  <c r="C715" i="6"/>
  <c r="AD715" i="6" s="1"/>
  <c r="C671" i="6"/>
  <c r="AD671" i="6" s="1"/>
  <c r="C627" i="6"/>
  <c r="AD627" i="6" s="1"/>
  <c r="C583" i="6"/>
  <c r="AD583" i="6" s="1"/>
  <c r="C495" i="6"/>
  <c r="AD495" i="6" s="1"/>
  <c r="C451" i="6"/>
  <c r="AD451" i="6" s="1"/>
  <c r="C407" i="6"/>
  <c r="AD407" i="6" s="1"/>
  <c r="C363" i="6"/>
  <c r="AD363" i="6" s="1"/>
  <c r="C319" i="6"/>
  <c r="AD319" i="6" s="1"/>
  <c r="C275" i="6"/>
  <c r="AD275" i="6" s="1"/>
  <c r="C231" i="6"/>
  <c r="AD231" i="6" s="1"/>
  <c r="C187" i="6"/>
  <c r="AD187" i="6" s="1"/>
  <c r="C143" i="6"/>
  <c r="AD143" i="6" s="1"/>
  <c r="C99" i="6"/>
  <c r="AD99" i="6" s="1"/>
  <c r="C55" i="6"/>
  <c r="AD55" i="6" s="1"/>
  <c r="C726" i="6"/>
  <c r="AD726" i="6" s="1"/>
  <c r="C682" i="6"/>
  <c r="AD682" i="6" s="1"/>
  <c r="C638" i="6"/>
  <c r="AD638" i="6" s="1"/>
  <c r="C594" i="6"/>
  <c r="AD594" i="6" s="1"/>
  <c r="C506" i="6"/>
  <c r="AD506" i="6" s="1"/>
  <c r="C462" i="6"/>
  <c r="AD462" i="6" s="1"/>
  <c r="C418" i="6"/>
  <c r="AD418" i="6" s="1"/>
  <c r="C374" i="6"/>
  <c r="AD374" i="6" s="1"/>
  <c r="C330" i="6"/>
  <c r="AD330" i="6" s="1"/>
  <c r="C286" i="6"/>
  <c r="AD286" i="6" s="1"/>
  <c r="C242" i="6"/>
  <c r="AD242" i="6" s="1"/>
  <c r="C198" i="6"/>
  <c r="AD198" i="6" s="1"/>
  <c r="C154" i="6"/>
  <c r="AD154" i="6" s="1"/>
  <c r="C110" i="6"/>
  <c r="AD110" i="6" s="1"/>
  <c r="C66" i="6"/>
  <c r="AD66" i="6" s="1"/>
  <c r="C33" i="6"/>
  <c r="AD33" i="6" s="1"/>
  <c r="C737" i="6"/>
  <c r="AD737" i="6" s="1"/>
  <c r="C693" i="6"/>
  <c r="AD693" i="6" s="1"/>
  <c r="C649" i="6"/>
  <c r="AD649" i="6" s="1"/>
  <c r="C605" i="6"/>
  <c r="AD605" i="6" s="1"/>
  <c r="C561" i="6"/>
  <c r="AD561" i="6" s="1"/>
  <c r="C473" i="6"/>
  <c r="AD473" i="6" s="1"/>
  <c r="C429" i="6"/>
  <c r="AD429" i="6" s="1"/>
  <c r="C385" i="6"/>
  <c r="AD385" i="6" s="1"/>
  <c r="C341" i="6"/>
  <c r="AD341" i="6" s="1"/>
  <c r="C297" i="6"/>
  <c r="AD297" i="6" s="1"/>
  <c r="C253" i="6"/>
  <c r="AD253" i="6" s="1"/>
  <c r="C209" i="6"/>
  <c r="AD209" i="6" s="1"/>
  <c r="C165" i="6"/>
  <c r="AD165" i="6" s="1"/>
  <c r="C121" i="6"/>
  <c r="AD121" i="6" s="1"/>
  <c r="C77" i="6"/>
  <c r="AD77" i="6" s="1"/>
  <c r="C22" i="6"/>
  <c r="AD22" i="6" s="1"/>
  <c r="C748" i="6"/>
  <c r="AD748" i="6" s="1"/>
  <c r="C704" i="6"/>
  <c r="AD704" i="6" s="1"/>
  <c r="C660" i="6"/>
  <c r="AD660" i="6" s="1"/>
  <c r="C616" i="6"/>
  <c r="AD616" i="6" s="1"/>
  <c r="C572" i="6"/>
  <c r="AD572" i="6" s="1"/>
  <c r="C484" i="6"/>
  <c r="AD484" i="6" s="1"/>
  <c r="C440" i="6"/>
  <c r="AD440" i="6" s="1"/>
  <c r="C396" i="6"/>
  <c r="AD396" i="6" s="1"/>
  <c r="C352" i="6"/>
  <c r="AD352" i="6" s="1"/>
  <c r="C308" i="6"/>
  <c r="AD308" i="6" s="1"/>
  <c r="C264" i="6"/>
  <c r="AD264" i="6" s="1"/>
  <c r="C220" i="6"/>
  <c r="AD220" i="6" s="1"/>
  <c r="C176" i="6"/>
  <c r="AD176" i="6" s="1"/>
  <c r="C132" i="6"/>
  <c r="AD132" i="6" s="1"/>
  <c r="C88" i="6"/>
  <c r="AD88" i="6" s="1"/>
  <c r="C44" i="6"/>
  <c r="AD44" i="6" s="1"/>
  <c r="B748" i="6"/>
  <c r="AC748" i="6" s="1"/>
  <c r="B704" i="6"/>
  <c r="AC704" i="6" s="1"/>
  <c r="B660" i="6"/>
  <c r="AC660" i="6" s="1"/>
  <c r="B616" i="6"/>
  <c r="AC616" i="6" s="1"/>
  <c r="B572" i="6"/>
  <c r="AC572" i="6" s="1"/>
  <c r="B484" i="6"/>
  <c r="AC484" i="6" s="1"/>
  <c r="B440" i="6"/>
  <c r="AC440" i="6" s="1"/>
  <c r="B396" i="6"/>
  <c r="AC396" i="6" s="1"/>
  <c r="B352" i="6"/>
  <c r="AC352" i="6" s="1"/>
  <c r="B308" i="6"/>
  <c r="AC308" i="6" s="1"/>
  <c r="B264" i="6"/>
  <c r="AC264" i="6" s="1"/>
  <c r="B220" i="6"/>
  <c r="AC220" i="6" s="1"/>
  <c r="B176" i="6"/>
  <c r="AC176" i="6" s="1"/>
  <c r="B132" i="6"/>
  <c r="AC132" i="6" s="1"/>
  <c r="B88" i="6"/>
  <c r="AC88" i="6" s="1"/>
  <c r="B44" i="6"/>
  <c r="AC44" i="6" s="1"/>
  <c r="B33" i="6"/>
  <c r="AC33" i="6" s="1"/>
  <c r="B759" i="6"/>
  <c r="AC759" i="6" s="1"/>
  <c r="B715" i="6"/>
  <c r="AC715" i="6" s="1"/>
  <c r="B671" i="6"/>
  <c r="AC671" i="6" s="1"/>
  <c r="B627" i="6"/>
  <c r="AC627" i="6" s="1"/>
  <c r="B583" i="6"/>
  <c r="AC583" i="6" s="1"/>
  <c r="B495" i="6"/>
  <c r="AC495" i="6" s="1"/>
  <c r="B451" i="6"/>
  <c r="AC451" i="6" s="1"/>
  <c r="B407" i="6"/>
  <c r="AC407" i="6" s="1"/>
  <c r="B363" i="6"/>
  <c r="AC363" i="6" s="1"/>
  <c r="B319" i="6"/>
  <c r="AC319" i="6" s="1"/>
  <c r="B275" i="6"/>
  <c r="AC275" i="6" s="1"/>
  <c r="B231" i="6"/>
  <c r="AC231" i="6" s="1"/>
  <c r="B187" i="6"/>
  <c r="AC187" i="6" s="1"/>
  <c r="B143" i="6"/>
  <c r="AC143" i="6" s="1"/>
  <c r="B99" i="6"/>
  <c r="AC99" i="6" s="1"/>
  <c r="B55" i="6"/>
  <c r="AC55" i="6" s="1"/>
  <c r="B726" i="6"/>
  <c r="AC726" i="6" s="1"/>
  <c r="B682" i="6"/>
  <c r="AC682" i="6" s="1"/>
  <c r="B638" i="6"/>
  <c r="AC638" i="6" s="1"/>
  <c r="B594" i="6"/>
  <c r="AC594" i="6" s="1"/>
  <c r="B506" i="6"/>
  <c r="AC506" i="6" s="1"/>
  <c r="B462" i="6"/>
  <c r="AC462" i="6" s="1"/>
  <c r="B418" i="6"/>
  <c r="AC418" i="6" s="1"/>
  <c r="B374" i="6"/>
  <c r="AC374" i="6" s="1"/>
  <c r="B330" i="6"/>
  <c r="AC330" i="6" s="1"/>
  <c r="B286" i="6"/>
  <c r="AC286" i="6" s="1"/>
  <c r="B242" i="6"/>
  <c r="AC242" i="6" s="1"/>
  <c r="B198" i="6"/>
  <c r="AC198" i="6" s="1"/>
  <c r="B154" i="6"/>
  <c r="AC154" i="6" s="1"/>
  <c r="B110" i="6"/>
  <c r="AC110" i="6" s="1"/>
  <c r="B66" i="6"/>
  <c r="AC66" i="6" s="1"/>
  <c r="B737" i="6"/>
  <c r="AC737" i="6" s="1"/>
  <c r="B693" i="6"/>
  <c r="AC693" i="6" s="1"/>
  <c r="B649" i="6"/>
  <c r="AC649" i="6" s="1"/>
  <c r="B605" i="6"/>
  <c r="AC605" i="6" s="1"/>
  <c r="B561" i="6"/>
  <c r="AC561" i="6" s="1"/>
  <c r="B473" i="6"/>
  <c r="AC473" i="6" s="1"/>
  <c r="B429" i="6"/>
  <c r="AC429" i="6" s="1"/>
  <c r="B385" i="6"/>
  <c r="AC385" i="6" s="1"/>
  <c r="B341" i="6"/>
  <c r="AC341" i="6" s="1"/>
  <c r="B297" i="6"/>
  <c r="AC297" i="6" s="1"/>
  <c r="B253" i="6"/>
  <c r="AC253" i="6" s="1"/>
  <c r="B209" i="6"/>
  <c r="AC209" i="6" s="1"/>
  <c r="B165" i="6"/>
  <c r="AC165" i="6" s="1"/>
  <c r="B121" i="6"/>
  <c r="AC121" i="6" s="1"/>
  <c r="B77" i="6"/>
  <c r="AC77" i="6" s="1"/>
  <c r="B22" i="6"/>
  <c r="AC22" i="6" s="1"/>
  <c r="AA765" i="6"/>
  <c r="U306" i="7" s="1"/>
  <c r="AA763" i="6"/>
  <c r="Q306" i="7" s="1"/>
  <c r="AA761" i="6"/>
  <c r="M306" i="7" s="1"/>
  <c r="AA759" i="6"/>
  <c r="I306" i="7" s="1"/>
  <c r="Z758" i="6"/>
  <c r="Z753" i="6"/>
  <c r="Z751" i="6"/>
  <c r="Z749" i="6"/>
  <c r="AA747" i="6"/>
  <c r="AA742" i="6"/>
  <c r="AA740" i="6"/>
  <c r="AA738" i="6"/>
  <c r="Z732" i="6"/>
  <c r="Z730" i="6"/>
  <c r="Z728" i="6"/>
  <c r="Z726" i="6"/>
  <c r="AA721" i="6"/>
  <c r="AA719" i="6"/>
  <c r="Z718" i="6"/>
  <c r="Z716" i="6"/>
  <c r="Z710" i="6"/>
  <c r="Z708" i="6"/>
  <c r="AA706" i="6"/>
  <c r="AA703" i="6"/>
  <c r="AA698" i="6"/>
  <c r="Z695" i="6"/>
  <c r="AA693" i="6"/>
  <c r="Z692" i="6"/>
  <c r="Z687" i="6"/>
  <c r="AA685" i="6"/>
  <c r="AA683" i="6"/>
  <c r="Z765" i="6"/>
  <c r="Z763" i="6"/>
  <c r="Z761" i="6"/>
  <c r="Z759" i="6"/>
  <c r="AA754" i="6"/>
  <c r="U420" i="7" s="1"/>
  <c r="AA752" i="6"/>
  <c r="AA750" i="6"/>
  <c r="AA748" i="6"/>
  <c r="Z747" i="6"/>
  <c r="Z742" i="6"/>
  <c r="Z740" i="6"/>
  <c r="Z738" i="6"/>
  <c r="AA736" i="6"/>
  <c r="AA731" i="6"/>
  <c r="AA729" i="6"/>
  <c r="AA727" i="6"/>
  <c r="Z721" i="6"/>
  <c r="Z719" i="6"/>
  <c r="AA717" i="6"/>
  <c r="AA714" i="6"/>
  <c r="AA709" i="6"/>
  <c r="Z706" i="6"/>
  <c r="AA704" i="6"/>
  <c r="Z703" i="6"/>
  <c r="Z698" i="6"/>
  <c r="AA696" i="6"/>
  <c r="AA694" i="6"/>
  <c r="Z693" i="6"/>
  <c r="AA688" i="6"/>
  <c r="AA686" i="6"/>
  <c r="Z685" i="6"/>
  <c r="Z683" i="6"/>
  <c r="Z677" i="6"/>
  <c r="Z675" i="6"/>
  <c r="Z673" i="6"/>
  <c r="Z671" i="6"/>
  <c r="AA764" i="6"/>
  <c r="S306" i="7" s="1"/>
  <c r="AA762" i="6"/>
  <c r="O306" i="7" s="1"/>
  <c r="AA760" i="6"/>
  <c r="K306" i="7" s="1"/>
  <c r="Z754" i="6"/>
  <c r="Z752" i="6"/>
  <c r="Z750" i="6"/>
  <c r="Z748" i="6"/>
  <c r="AA743" i="6"/>
  <c r="AA741" i="6"/>
  <c r="AA739" i="6"/>
  <c r="AA737" i="6"/>
  <c r="Z736" i="6"/>
  <c r="Z731" i="6"/>
  <c r="Z729" i="6"/>
  <c r="Z727" i="6"/>
  <c r="AA725" i="6"/>
  <c r="AA720" i="6"/>
  <c r="Z717" i="6"/>
  <c r="AA715" i="6"/>
  <c r="Z714" i="6"/>
  <c r="Z709" i="6"/>
  <c r="AA707" i="6"/>
  <c r="AA705" i="6"/>
  <c r="Z704" i="6"/>
  <c r="AA699" i="6"/>
  <c r="AA697" i="6"/>
  <c r="Z696" i="6"/>
  <c r="Z694" i="6"/>
  <c r="Z688" i="6"/>
  <c r="Z686" i="6"/>
  <c r="AA684" i="6"/>
  <c r="Z764" i="6"/>
  <c r="Z762" i="6"/>
  <c r="Z760" i="6"/>
  <c r="AA758" i="6"/>
  <c r="G306" i="7" s="1"/>
  <c r="AA753" i="6"/>
  <c r="AA751" i="6"/>
  <c r="AA749" i="6"/>
  <c r="Z743" i="6"/>
  <c r="Z741" i="6"/>
  <c r="Z739" i="6"/>
  <c r="Z737" i="6"/>
  <c r="AA732" i="6"/>
  <c r="AA730" i="6"/>
  <c r="AA728" i="6"/>
  <c r="AA726" i="6"/>
  <c r="Z725" i="6"/>
  <c r="Z720" i="6"/>
  <c r="AA718" i="6"/>
  <c r="AA716" i="6"/>
  <c r="Z715" i="6"/>
  <c r="AA710" i="6"/>
  <c r="AA708" i="6"/>
  <c r="Z707" i="6"/>
  <c r="Z705" i="6"/>
  <c r="Z699" i="6"/>
  <c r="Z697" i="6"/>
  <c r="AA695" i="6"/>
  <c r="AA692" i="6"/>
  <c r="AA687" i="6"/>
  <c r="Z684" i="6"/>
  <c r="AA682" i="6"/>
  <c r="Z681" i="6"/>
  <c r="Z676" i="6"/>
  <c r="Z674" i="6"/>
  <c r="Z672" i="6"/>
  <c r="AA670" i="6"/>
  <c r="Z666" i="6"/>
  <c r="Z664" i="6"/>
  <c r="Z662" i="6"/>
  <c r="Z660" i="6"/>
  <c r="AA655" i="6"/>
  <c r="AA653" i="6"/>
  <c r="AA651" i="6"/>
  <c r="AA649" i="6"/>
  <c r="Z648" i="6"/>
  <c r="Z643" i="6"/>
  <c r="Z641" i="6"/>
  <c r="Z639" i="6"/>
  <c r="AA637" i="6"/>
  <c r="AA632" i="6"/>
  <c r="AA630" i="6"/>
  <c r="AA628" i="6"/>
  <c r="Z622" i="6"/>
  <c r="Z620" i="6"/>
  <c r="Z618" i="6"/>
  <c r="Z616" i="6"/>
  <c r="AA611" i="6"/>
  <c r="AA609" i="6"/>
  <c r="AA607" i="6"/>
  <c r="M30" i="7" s="1"/>
  <c r="AA605" i="6"/>
  <c r="I30" i="7" s="1"/>
  <c r="Z604" i="6"/>
  <c r="G28" i="7" s="1"/>
  <c r="Z599" i="6"/>
  <c r="Z597" i="6"/>
  <c r="Z595" i="6"/>
  <c r="AA593" i="6"/>
  <c r="AA588" i="6"/>
  <c r="AA586" i="6"/>
  <c r="AA584" i="6"/>
  <c r="Z578" i="6"/>
  <c r="U70" i="7" s="1"/>
  <c r="AA576" i="6"/>
  <c r="Q72" i="7" s="1"/>
  <c r="Z575" i="6"/>
  <c r="O70" i="7" s="1"/>
  <c r="Z573" i="6"/>
  <c r="K70" i="7" s="1"/>
  <c r="Z682" i="6"/>
  <c r="AA681" i="6"/>
  <c r="AA677" i="6"/>
  <c r="AA676" i="6"/>
  <c r="AA675" i="6"/>
  <c r="AA674" i="6"/>
  <c r="AA673" i="6"/>
  <c r="AA672" i="6"/>
  <c r="AA671" i="6"/>
  <c r="AA665" i="6"/>
  <c r="AA663" i="6"/>
  <c r="AA661" i="6"/>
  <c r="Z655" i="6"/>
  <c r="Z653" i="6"/>
  <c r="Z651" i="6"/>
  <c r="Z649" i="6"/>
  <c r="AA644" i="6"/>
  <c r="U351" i="7" s="1"/>
  <c r="AA642" i="6"/>
  <c r="AA640" i="6"/>
  <c r="AA638" i="6"/>
  <c r="Z637" i="6"/>
  <c r="Z632" i="6"/>
  <c r="Z630" i="6"/>
  <c r="Z628" i="6"/>
  <c r="AA626" i="6"/>
  <c r="AA621" i="6"/>
  <c r="AA619" i="6"/>
  <c r="Z670" i="6"/>
  <c r="Z665" i="6"/>
  <c r="Z663" i="6"/>
  <c r="Z661" i="6"/>
  <c r="AA659" i="6"/>
  <c r="AA654" i="6"/>
  <c r="AA652" i="6"/>
  <c r="AA650" i="6"/>
  <c r="Z644" i="6"/>
  <c r="Z642" i="6"/>
  <c r="Z640" i="6"/>
  <c r="Z638" i="6"/>
  <c r="AA633" i="6"/>
  <c r="AA631" i="6"/>
  <c r="AA629" i="6"/>
  <c r="AA627" i="6"/>
  <c r="Z626" i="6"/>
  <c r="Z621" i="6"/>
  <c r="Z619" i="6"/>
  <c r="Z617" i="6"/>
  <c r="AA615" i="6"/>
  <c r="AA610" i="6"/>
  <c r="S30" i="7" s="1"/>
  <c r="AA608" i="6"/>
  <c r="O30" i="7" s="1"/>
  <c r="AA606" i="6"/>
  <c r="K30" i="7" s="1"/>
  <c r="Z600" i="6"/>
  <c r="Z598" i="6"/>
  <c r="Z596" i="6"/>
  <c r="Z594" i="6"/>
  <c r="AA589" i="6"/>
  <c r="U125" i="7" s="1"/>
  <c r="AA587" i="6"/>
  <c r="AA585" i="6"/>
  <c r="AA583" i="6"/>
  <c r="Z582" i="6"/>
  <c r="Z577" i="6"/>
  <c r="S70" i="7" s="1"/>
  <c r="Z574" i="6"/>
  <c r="M70" i="7" s="1"/>
  <c r="AA572" i="6"/>
  <c r="I72" i="7" s="1"/>
  <c r="AA664" i="6"/>
  <c r="AA660" i="6"/>
  <c r="AA618" i="6"/>
  <c r="AA617" i="6"/>
  <c r="AA616" i="6"/>
  <c r="Z572" i="6"/>
  <c r="I70" i="7" s="1"/>
  <c r="AA567" i="6"/>
  <c r="AA565" i="6"/>
  <c r="AA563" i="6"/>
  <c r="AA561" i="6"/>
  <c r="Z560" i="6"/>
  <c r="Z511" i="6"/>
  <c r="AA509" i="6"/>
  <c r="AA506" i="6"/>
  <c r="Z505" i="6"/>
  <c r="Z500" i="6"/>
  <c r="Z498" i="6"/>
  <c r="Z496" i="6"/>
  <c r="Z490" i="6"/>
  <c r="AA488" i="6"/>
  <c r="AA486" i="6"/>
  <c r="Z485" i="6"/>
  <c r="AA479" i="6"/>
  <c r="AA477" i="6"/>
  <c r="AA475" i="6"/>
  <c r="AA472" i="6"/>
  <c r="Z654" i="6"/>
  <c r="Z650" i="6"/>
  <c r="AA643" i="6"/>
  <c r="AA639" i="6"/>
  <c r="Z631" i="6"/>
  <c r="Z627" i="6"/>
  <c r="AA620" i="6"/>
  <c r="Z615" i="6"/>
  <c r="Z611" i="6"/>
  <c r="U28" i="7" s="1"/>
  <c r="Z610" i="6"/>
  <c r="S28" i="7" s="1"/>
  <c r="Z609" i="6"/>
  <c r="Q28" i="7" s="1"/>
  <c r="Z608" i="6"/>
  <c r="O28" i="7" s="1"/>
  <c r="Z607" i="6"/>
  <c r="M28" i="7" s="1"/>
  <c r="Z606" i="6"/>
  <c r="K28" i="7" s="1"/>
  <c r="Z605" i="6"/>
  <c r="I28" i="7" s="1"/>
  <c r="AA604" i="6"/>
  <c r="G30" i="7" s="1"/>
  <c r="AA600" i="6"/>
  <c r="AA599" i="6"/>
  <c r="AA598" i="6"/>
  <c r="AA597" i="6"/>
  <c r="AA596" i="6"/>
  <c r="AA595" i="6"/>
  <c r="AA594" i="6"/>
  <c r="Z567" i="6"/>
  <c r="Z565" i="6"/>
  <c r="Z563" i="6"/>
  <c r="Z561" i="6"/>
  <c r="AA512" i="6"/>
  <c r="Z509" i="6"/>
  <c r="AA507" i="6"/>
  <c r="Z506" i="6"/>
  <c r="AA501" i="6"/>
  <c r="AA499" i="6"/>
  <c r="AA497" i="6"/>
  <c r="AA494" i="6"/>
  <c r="AA489" i="6"/>
  <c r="Z488" i="6"/>
  <c r="Z486" i="6"/>
  <c r="AA483" i="6"/>
  <c r="AA666" i="6"/>
  <c r="AA662" i="6"/>
  <c r="Z593" i="6"/>
  <c r="Z589" i="6"/>
  <c r="Z588" i="6"/>
  <c r="Z587" i="6"/>
  <c r="Z586" i="6"/>
  <c r="Z585" i="6"/>
  <c r="Z584" i="6"/>
  <c r="Z583" i="6"/>
  <c r="AA582" i="6"/>
  <c r="AA578" i="6"/>
  <c r="AA577" i="6"/>
  <c r="S72" i="7" s="1"/>
  <c r="AA571" i="6"/>
  <c r="G72" i="7" s="1"/>
  <c r="AA566" i="6"/>
  <c r="AA564" i="6"/>
  <c r="AA562" i="6"/>
  <c r="Z512" i="6"/>
  <c r="AA510" i="6"/>
  <c r="AA508" i="6"/>
  <c r="Z507" i="6"/>
  <c r="Z501" i="6"/>
  <c r="Z499" i="6"/>
  <c r="Z497" i="6"/>
  <c r="AA495" i="6"/>
  <c r="Z494" i="6"/>
  <c r="Z489" i="6"/>
  <c r="AA487" i="6"/>
  <c r="AA484" i="6"/>
  <c r="Z483" i="6"/>
  <c r="AA478" i="6"/>
  <c r="AA476" i="6"/>
  <c r="AA474" i="6"/>
  <c r="Z473" i="6"/>
  <c r="AA468" i="6"/>
  <c r="AA466" i="6"/>
  <c r="AA464" i="6"/>
  <c r="AA461" i="6"/>
  <c r="AA456" i="6"/>
  <c r="AA454" i="6"/>
  <c r="Z659" i="6"/>
  <c r="Z652" i="6"/>
  <c r="AA648" i="6"/>
  <c r="AA641" i="6"/>
  <c r="Z633" i="6"/>
  <c r="Z629" i="6"/>
  <c r="AA622" i="6"/>
  <c r="Z576" i="6"/>
  <c r="Q70" i="7" s="1"/>
  <c r="AA575" i="6"/>
  <c r="O72" i="7" s="1"/>
  <c r="AA574" i="6"/>
  <c r="M72" i="7" s="1"/>
  <c r="AA573" i="6"/>
  <c r="K72" i="7" s="1"/>
  <c r="Z571" i="6"/>
  <c r="G70" i="7" s="1"/>
  <c r="Z566" i="6"/>
  <c r="Z564" i="6"/>
  <c r="Z562" i="6"/>
  <c r="AA560" i="6"/>
  <c r="AA511" i="6"/>
  <c r="Z510" i="6"/>
  <c r="Z508" i="6"/>
  <c r="AA505" i="6"/>
  <c r="AA500" i="6"/>
  <c r="AA498" i="6"/>
  <c r="AA496" i="6"/>
  <c r="Z495" i="6"/>
  <c r="AA490" i="6"/>
  <c r="Z487" i="6"/>
  <c r="AA485" i="6"/>
  <c r="Z484" i="6"/>
  <c r="Z478" i="6"/>
  <c r="Z476" i="6"/>
  <c r="Z474" i="6"/>
  <c r="Z468" i="6"/>
  <c r="Z466" i="6"/>
  <c r="Z464" i="6"/>
  <c r="AA462" i="6"/>
  <c r="Z461" i="6"/>
  <c r="Z456" i="6"/>
  <c r="Z454" i="6"/>
  <c r="Z452" i="6"/>
  <c r="Z477" i="6"/>
  <c r="AA473" i="6"/>
  <c r="Z457" i="6"/>
  <c r="Z455" i="6"/>
  <c r="AA453" i="6"/>
  <c r="Z451" i="6"/>
  <c r="AA446" i="6"/>
  <c r="AA444" i="6"/>
  <c r="AA442" i="6"/>
  <c r="Z441" i="6"/>
  <c r="Z435" i="6"/>
  <c r="Z433" i="6"/>
  <c r="Z431" i="6"/>
  <c r="AA428" i="6"/>
  <c r="AA423" i="6"/>
  <c r="AA421" i="6"/>
  <c r="AA419" i="6"/>
  <c r="Z418" i="6"/>
  <c r="AA413" i="6"/>
  <c r="AA411" i="6"/>
  <c r="AA409" i="6"/>
  <c r="AA407" i="6"/>
  <c r="Z406" i="6"/>
  <c r="Z401" i="6"/>
  <c r="Z398" i="6"/>
  <c r="AA396" i="6"/>
  <c r="Z395" i="6"/>
  <c r="Z390" i="6"/>
  <c r="Z388" i="6"/>
  <c r="Z386" i="6"/>
  <c r="AA384" i="6"/>
  <c r="AA379" i="6"/>
  <c r="AA377" i="6"/>
  <c r="AA375" i="6"/>
  <c r="Z369" i="6"/>
  <c r="Z367" i="6"/>
  <c r="Z365" i="6"/>
  <c r="Z363" i="6"/>
  <c r="AA358" i="6"/>
  <c r="AA356" i="6"/>
  <c r="AA354" i="6"/>
  <c r="AA352" i="6"/>
  <c r="Z351" i="6"/>
  <c r="Z346" i="6"/>
  <c r="AA344" i="6"/>
  <c r="AA342" i="6"/>
  <c r="Z341" i="6"/>
  <c r="AA336" i="6"/>
  <c r="AA334" i="6"/>
  <c r="AA332" i="6"/>
  <c r="AA330" i="6"/>
  <c r="Z329" i="6"/>
  <c r="Z324" i="6"/>
  <c r="Z322" i="6"/>
  <c r="Z320" i="6"/>
  <c r="Z314" i="6"/>
  <c r="Z312" i="6"/>
  <c r="Z310" i="6"/>
  <c r="Z453" i="6"/>
  <c r="Z446" i="6"/>
  <c r="Z444" i="6"/>
  <c r="Z442" i="6"/>
  <c r="AA439" i="6"/>
  <c r="AA434" i="6"/>
  <c r="AA432" i="6"/>
  <c r="AA429" i="6"/>
  <c r="Z428" i="6"/>
  <c r="Z423" i="6"/>
  <c r="Z421" i="6"/>
  <c r="Z419" i="6"/>
  <c r="Z413" i="6"/>
  <c r="Z411" i="6"/>
  <c r="Z409" i="6"/>
  <c r="Z407" i="6"/>
  <c r="AA402" i="6"/>
  <c r="AA399" i="6"/>
  <c r="AA397" i="6"/>
  <c r="Z396" i="6"/>
  <c r="AA391" i="6"/>
  <c r="AA389" i="6"/>
  <c r="AA387" i="6"/>
  <c r="AA385" i="6"/>
  <c r="Z384" i="6"/>
  <c r="Z379" i="6"/>
  <c r="Z377" i="6"/>
  <c r="Z375" i="6"/>
  <c r="AA373" i="6"/>
  <c r="AA368" i="6"/>
  <c r="AA366" i="6"/>
  <c r="AA364" i="6"/>
  <c r="Z358" i="6"/>
  <c r="Z356" i="6"/>
  <c r="Z354" i="6"/>
  <c r="Z352" i="6"/>
  <c r="AA347" i="6"/>
  <c r="AA345" i="6"/>
  <c r="Z344" i="6"/>
  <c r="Z342" i="6"/>
  <c r="Z336" i="6"/>
  <c r="Z334" i="6"/>
  <c r="Z479" i="6"/>
  <c r="Z475" i="6"/>
  <c r="AA467" i="6"/>
  <c r="AA465" i="6"/>
  <c r="AA463" i="6"/>
  <c r="AA452" i="6"/>
  <c r="AA450" i="6"/>
  <c r="AA445" i="6"/>
  <c r="AA443" i="6"/>
  <c r="AA440" i="6"/>
  <c r="Z439" i="6"/>
  <c r="Z434" i="6"/>
  <c r="Z432" i="6"/>
  <c r="AA430" i="6"/>
  <c r="Z429" i="6"/>
  <c r="AA424" i="6"/>
  <c r="AA422" i="6"/>
  <c r="AA420" i="6"/>
  <c r="AA417" i="6"/>
  <c r="AA412" i="6"/>
  <c r="AA410" i="6"/>
  <c r="AA408" i="6"/>
  <c r="Z402" i="6"/>
  <c r="AA400" i="6"/>
  <c r="Z399" i="6"/>
  <c r="Z397" i="6"/>
  <c r="Z391" i="6"/>
  <c r="Z389" i="6"/>
  <c r="Z387" i="6"/>
  <c r="Z385" i="6"/>
  <c r="AA380" i="6"/>
  <c r="AA378" i="6"/>
  <c r="AA376" i="6"/>
  <c r="AA374" i="6"/>
  <c r="Z373" i="6"/>
  <c r="Z368" i="6"/>
  <c r="Z366" i="6"/>
  <c r="Z364" i="6"/>
  <c r="AA362" i="6"/>
  <c r="AA357" i="6"/>
  <c r="AA355" i="6"/>
  <c r="AA353" i="6"/>
  <c r="Z347" i="6"/>
  <c r="Z345" i="6"/>
  <c r="AA343" i="6"/>
  <c r="AA340" i="6"/>
  <c r="AA335" i="6"/>
  <c r="AA333" i="6"/>
  <c r="AA331" i="6"/>
  <c r="Z325" i="6"/>
  <c r="Z323" i="6"/>
  <c r="Z321" i="6"/>
  <c r="AA319" i="6"/>
  <c r="Z318" i="6"/>
  <c r="Z472" i="6"/>
  <c r="Z467" i="6"/>
  <c r="Z465" i="6"/>
  <c r="Z463" i="6"/>
  <c r="Z462" i="6"/>
  <c r="AA457" i="6"/>
  <c r="AA455" i="6"/>
  <c r="AA451" i="6"/>
  <c r="Z450" i="6"/>
  <c r="Z445" i="6"/>
  <c r="Z443" i="6"/>
  <c r="AA441" i="6"/>
  <c r="Z440" i="6"/>
  <c r="AA435" i="6"/>
  <c r="AA433" i="6"/>
  <c r="AA431" i="6"/>
  <c r="Z430" i="6"/>
  <c r="Z424" i="6"/>
  <c r="Z422" i="6"/>
  <c r="Z420" i="6"/>
  <c r="AA418" i="6"/>
  <c r="Z417" i="6"/>
  <c r="Z412" i="6"/>
  <c r="Z410" i="6"/>
  <c r="Z408" i="6"/>
  <c r="AA406" i="6"/>
  <c r="AA401" i="6"/>
  <c r="Z400" i="6"/>
  <c r="AA398" i="6"/>
  <c r="AA395" i="6"/>
  <c r="AA390" i="6"/>
  <c r="AA388" i="6"/>
  <c r="AA386" i="6"/>
  <c r="Z380" i="6"/>
  <c r="Z378" i="6"/>
  <c r="Z376" i="6"/>
  <c r="Z374" i="6"/>
  <c r="AA369" i="6"/>
  <c r="AA367" i="6"/>
  <c r="AA365" i="6"/>
  <c r="AA363" i="6"/>
  <c r="Z362" i="6"/>
  <c r="Z355" i="6"/>
  <c r="AA351" i="6"/>
  <c r="Z343" i="6"/>
  <c r="AA314" i="6"/>
  <c r="AA313" i="6"/>
  <c r="AA310" i="6"/>
  <c r="Z308" i="6"/>
  <c r="AA303" i="6"/>
  <c r="U290" i="7" s="1"/>
  <c r="AA301" i="6"/>
  <c r="Q290" i="7" s="1"/>
  <c r="AA299" i="6"/>
  <c r="M290" i="7" s="1"/>
  <c r="AA296" i="6"/>
  <c r="G290" i="7" s="1"/>
  <c r="AA291" i="6"/>
  <c r="S167" i="7" s="1"/>
  <c r="AA289" i="6"/>
  <c r="O167" i="7" s="1"/>
  <c r="AA287" i="6"/>
  <c r="K167" i="7" s="1"/>
  <c r="Z281" i="6"/>
  <c r="Z279" i="6"/>
  <c r="Z277" i="6"/>
  <c r="Z275" i="6"/>
  <c r="AA270" i="6"/>
  <c r="U335" i="7" s="1"/>
  <c r="AA268" i="6"/>
  <c r="Q335" i="7" s="1"/>
  <c r="AA266" i="6"/>
  <c r="M335" i="7" s="1"/>
  <c r="AA264" i="6"/>
  <c r="I335" i="7" s="1"/>
  <c r="Z263" i="6"/>
  <c r="Z258" i="6"/>
  <c r="Z256" i="6"/>
  <c r="Z254" i="6"/>
  <c r="AA252" i="6"/>
  <c r="G225" i="7" s="1"/>
  <c r="AA247" i="6"/>
  <c r="S286" i="7" s="1"/>
  <c r="AA245" i="6"/>
  <c r="O286" i="7" s="1"/>
  <c r="AA243" i="6"/>
  <c r="K286" i="7" s="1"/>
  <c r="Z237" i="6"/>
  <c r="Z235" i="6"/>
  <c r="Z233" i="6"/>
  <c r="Z231" i="6"/>
  <c r="AA226" i="6"/>
  <c r="U392" i="7" s="1"/>
  <c r="AA224" i="6"/>
  <c r="Q392" i="7" s="1"/>
  <c r="AA222" i="6"/>
  <c r="M392" i="7" s="1"/>
  <c r="AA220" i="6"/>
  <c r="I392" i="7" s="1"/>
  <c r="Z219" i="6"/>
  <c r="Z214" i="6"/>
  <c r="Z212" i="6"/>
  <c r="Z210" i="6"/>
  <c r="AA208" i="6"/>
  <c r="G331" i="7" s="1"/>
  <c r="AA203" i="6"/>
  <c r="S282" i="7" s="1"/>
  <c r="AA201" i="6"/>
  <c r="O282" i="7" s="1"/>
  <c r="AA199" i="6"/>
  <c r="K282" i="7" s="1"/>
  <c r="Z193" i="6"/>
  <c r="Z191" i="6"/>
  <c r="Z189" i="6"/>
  <c r="Z187" i="6"/>
  <c r="AA182" i="6"/>
  <c r="AA180" i="6"/>
  <c r="AA178" i="6"/>
  <c r="AA176" i="6"/>
  <c r="Z175" i="6"/>
  <c r="Z170" i="6"/>
  <c r="Z168" i="6"/>
  <c r="Z166" i="6"/>
  <c r="AA164" i="6"/>
  <c r="AA159" i="6"/>
  <c r="AA157" i="6"/>
  <c r="AA155" i="6"/>
  <c r="Z149" i="6"/>
  <c r="Z147" i="6"/>
  <c r="Z145" i="6"/>
  <c r="Z143" i="6"/>
  <c r="Z138" i="6"/>
  <c r="Z136" i="6"/>
  <c r="Z134" i="6"/>
  <c r="Z132" i="6"/>
  <c r="Z127" i="6"/>
  <c r="Z125" i="6"/>
  <c r="Z123" i="6"/>
  <c r="Z121" i="6"/>
  <c r="Z116" i="6"/>
  <c r="Z114" i="6"/>
  <c r="Z112" i="6"/>
  <c r="Z110" i="6"/>
  <c r="Z105" i="6"/>
  <c r="Z103" i="6"/>
  <c r="Z101" i="6"/>
  <c r="Z99" i="6"/>
  <c r="Z94" i="6"/>
  <c r="Z92" i="6"/>
  <c r="Z90" i="6"/>
  <c r="Z88" i="6"/>
  <c r="Z83" i="6"/>
  <c r="Z81" i="6"/>
  <c r="Z79" i="6"/>
  <c r="Z77" i="6"/>
  <c r="Z72" i="6"/>
  <c r="Z70" i="6"/>
  <c r="Z68" i="6"/>
  <c r="Z340" i="6"/>
  <c r="Z313" i="6"/>
  <c r="AA309" i="6"/>
  <c r="Z303" i="6"/>
  <c r="Z301" i="6"/>
  <c r="Z299" i="6"/>
  <c r="AA297" i="6"/>
  <c r="I290" i="7" s="1"/>
  <c r="Z296" i="6"/>
  <c r="Z291" i="6"/>
  <c r="Z289" i="6"/>
  <c r="Z287" i="6"/>
  <c r="AA285" i="6"/>
  <c r="G167" i="7" s="1"/>
  <c r="AA280" i="6"/>
  <c r="S117" i="7" s="1"/>
  <c r="AA278" i="6"/>
  <c r="O117" i="7" s="1"/>
  <c r="AA276" i="6"/>
  <c r="K117" i="7" s="1"/>
  <c r="Z270" i="6"/>
  <c r="Z268" i="6"/>
  <c r="Z266" i="6"/>
  <c r="Z264" i="6"/>
  <c r="AA259" i="6"/>
  <c r="U225" i="7" s="1"/>
  <c r="AA257" i="6"/>
  <c r="Q225" i="7" s="1"/>
  <c r="AA255" i="6"/>
  <c r="M225" i="7" s="1"/>
  <c r="AA253" i="6"/>
  <c r="I225" i="7" s="1"/>
  <c r="Z252" i="6"/>
  <c r="Z247" i="6"/>
  <c r="Z245" i="6"/>
  <c r="Z243" i="6"/>
  <c r="AA241" i="6"/>
  <c r="G286" i="7" s="1"/>
  <c r="AA236" i="6"/>
  <c r="S221" i="7" s="1"/>
  <c r="AA234" i="6"/>
  <c r="O221" i="7" s="1"/>
  <c r="AA232" i="6"/>
  <c r="K221" i="7" s="1"/>
  <c r="Z226" i="6"/>
  <c r="Z224" i="6"/>
  <c r="Z222" i="6"/>
  <c r="Z220" i="6"/>
  <c r="AA215" i="6"/>
  <c r="U331" i="7" s="1"/>
  <c r="AA213" i="6"/>
  <c r="Q331" i="7" s="1"/>
  <c r="AA211" i="6"/>
  <c r="M331" i="7" s="1"/>
  <c r="AA209" i="6"/>
  <c r="I331" i="7" s="1"/>
  <c r="Z208" i="6"/>
  <c r="Z203" i="6"/>
  <c r="Z201" i="6"/>
  <c r="Z199" i="6"/>
  <c r="AA197" i="6"/>
  <c r="G282" i="7" s="1"/>
  <c r="AA192" i="6"/>
  <c r="AA190" i="6"/>
  <c r="AA188" i="6"/>
  <c r="Z182" i="6"/>
  <c r="Z180" i="6"/>
  <c r="Z178" i="6"/>
  <c r="Z176" i="6"/>
  <c r="AA171" i="6"/>
  <c r="AA169" i="6"/>
  <c r="AA167" i="6"/>
  <c r="AA165" i="6"/>
  <c r="Z164" i="6"/>
  <c r="Z159" i="6"/>
  <c r="Z157" i="6"/>
  <c r="Z155" i="6"/>
  <c r="AA153" i="6"/>
  <c r="AA148" i="6"/>
  <c r="AA146" i="6"/>
  <c r="AA144" i="6"/>
  <c r="AA142" i="6"/>
  <c r="AA137" i="6"/>
  <c r="AA135" i="6"/>
  <c r="AA133" i="6"/>
  <c r="AA131" i="6"/>
  <c r="AA126" i="6"/>
  <c r="AA124" i="6"/>
  <c r="AA122" i="6"/>
  <c r="AA120" i="6"/>
  <c r="AA115" i="6"/>
  <c r="AA113" i="6"/>
  <c r="AA111" i="6"/>
  <c r="Z357" i="6"/>
  <c r="Z353" i="6"/>
  <c r="AA346" i="6"/>
  <c r="AA341" i="6"/>
  <c r="Z333" i="6"/>
  <c r="Z332" i="6"/>
  <c r="Z331" i="6"/>
  <c r="Z330" i="6"/>
  <c r="AA329" i="6"/>
  <c r="AA325" i="6"/>
  <c r="AA324" i="6"/>
  <c r="AA323" i="6"/>
  <c r="AA322" i="6"/>
  <c r="AA321" i="6"/>
  <c r="AA320" i="6"/>
  <c r="AA312" i="6"/>
  <c r="AA311" i="6"/>
  <c r="Z309" i="6"/>
  <c r="AA307" i="6"/>
  <c r="AA302" i="6"/>
  <c r="S290" i="7" s="1"/>
  <c r="AA300" i="6"/>
  <c r="O290" i="7" s="1"/>
  <c r="AA298" i="6"/>
  <c r="K290" i="7" s="1"/>
  <c r="Z297" i="6"/>
  <c r="AA292" i="6"/>
  <c r="U167" i="7" s="1"/>
  <c r="AA290" i="6"/>
  <c r="Q167" i="7" s="1"/>
  <c r="AA288" i="6"/>
  <c r="M167" i="7" s="1"/>
  <c r="AA286" i="6"/>
  <c r="I167" i="7" s="1"/>
  <c r="Z285" i="6"/>
  <c r="Z280" i="6"/>
  <c r="Z278" i="6"/>
  <c r="Z276" i="6"/>
  <c r="AA274" i="6"/>
  <c r="G117" i="7" s="1"/>
  <c r="AA269" i="6"/>
  <c r="S335" i="7" s="1"/>
  <c r="AA267" i="6"/>
  <c r="O335" i="7" s="1"/>
  <c r="AA265" i="6"/>
  <c r="K335" i="7" s="1"/>
  <c r="Z259" i="6"/>
  <c r="Z257" i="6"/>
  <c r="Z255" i="6"/>
  <c r="Z253" i="6"/>
  <c r="AA248" i="6"/>
  <c r="U286" i="7" s="1"/>
  <c r="AA246" i="6"/>
  <c r="Q286" i="7" s="1"/>
  <c r="AA244" i="6"/>
  <c r="M286" i="7" s="1"/>
  <c r="AA242" i="6"/>
  <c r="I286" i="7" s="1"/>
  <c r="Z241" i="6"/>
  <c r="Z236" i="6"/>
  <c r="Z234" i="6"/>
  <c r="Z232" i="6"/>
  <c r="AA230" i="6"/>
  <c r="G221" i="7" s="1"/>
  <c r="AA225" i="6"/>
  <c r="S392" i="7" s="1"/>
  <c r="AA223" i="6"/>
  <c r="O392" i="7" s="1"/>
  <c r="AA221" i="6"/>
  <c r="K392" i="7" s="1"/>
  <c r="Z215" i="6"/>
  <c r="Z213" i="6"/>
  <c r="Z211" i="6"/>
  <c r="Z209" i="6"/>
  <c r="AA204" i="6"/>
  <c r="U282" i="7" s="1"/>
  <c r="AA202" i="6"/>
  <c r="Q282" i="7" s="1"/>
  <c r="AA200" i="6"/>
  <c r="M282" i="7" s="1"/>
  <c r="AA198" i="6"/>
  <c r="I282" i="7" s="1"/>
  <c r="Z197" i="6"/>
  <c r="Z192" i="6"/>
  <c r="Z190" i="6"/>
  <c r="Z188" i="6"/>
  <c r="AA186" i="6"/>
  <c r="AA181" i="6"/>
  <c r="AA179" i="6"/>
  <c r="AA177" i="6"/>
  <c r="Z171" i="6"/>
  <c r="Z169" i="6"/>
  <c r="Z167" i="6"/>
  <c r="Z165" i="6"/>
  <c r="AA160" i="6"/>
  <c r="AA158" i="6"/>
  <c r="AA156" i="6"/>
  <c r="AA154" i="6"/>
  <c r="Z153" i="6"/>
  <c r="Z148" i="6"/>
  <c r="Z335" i="6"/>
  <c r="Z319" i="6"/>
  <c r="AA318" i="6"/>
  <c r="Z311" i="6"/>
  <c r="AA308" i="6"/>
  <c r="Z307" i="6"/>
  <c r="Z302" i="6"/>
  <c r="Z300" i="6"/>
  <c r="Z298" i="6"/>
  <c r="Z292" i="6"/>
  <c r="Z290" i="6"/>
  <c r="Z288" i="6"/>
  <c r="Z286" i="6"/>
  <c r="AA281" i="6"/>
  <c r="U117" i="7" s="1"/>
  <c r="AA279" i="6"/>
  <c r="Q117" i="7" s="1"/>
  <c r="AA277" i="6"/>
  <c r="M117" i="7" s="1"/>
  <c r="AA275" i="6"/>
  <c r="I117" i="7" s="1"/>
  <c r="Z274" i="6"/>
  <c r="Z269" i="6"/>
  <c r="Z267" i="6"/>
  <c r="Z265" i="6"/>
  <c r="AA263" i="6"/>
  <c r="G335" i="7" s="1"/>
  <c r="AA258" i="6"/>
  <c r="S225" i="7" s="1"/>
  <c r="AA256" i="6"/>
  <c r="O225" i="7" s="1"/>
  <c r="AA254" i="6"/>
  <c r="K225" i="7" s="1"/>
  <c r="Z248" i="6"/>
  <c r="Z246" i="6"/>
  <c r="Z244" i="6"/>
  <c r="Z242" i="6"/>
  <c r="AA237" i="6"/>
  <c r="U221" i="7" s="1"/>
  <c r="AA235" i="6"/>
  <c r="Q221" i="7" s="1"/>
  <c r="AA233" i="6"/>
  <c r="M221" i="7" s="1"/>
  <c r="AA231" i="6"/>
  <c r="I221" i="7" s="1"/>
  <c r="Z230" i="6"/>
  <c r="Z225" i="6"/>
  <c r="Z223" i="6"/>
  <c r="Z221" i="6"/>
  <c r="AA219" i="6"/>
  <c r="G392" i="7" s="1"/>
  <c r="AA214" i="6"/>
  <c r="S331" i="7" s="1"/>
  <c r="AA212" i="6"/>
  <c r="O331" i="7" s="1"/>
  <c r="AA210" i="6"/>
  <c r="K331" i="7" s="1"/>
  <c r="Z204" i="6"/>
  <c r="Z202" i="6"/>
  <c r="Z200" i="6"/>
  <c r="Z198" i="6"/>
  <c r="AA193" i="6"/>
  <c r="U217" i="7" s="1"/>
  <c r="AA191" i="6"/>
  <c r="Q217" i="7" s="1"/>
  <c r="AA189" i="6"/>
  <c r="M217" i="7" s="1"/>
  <c r="AA187" i="6"/>
  <c r="Z186" i="6"/>
  <c r="Z181" i="6"/>
  <c r="Z179" i="6"/>
  <c r="Z177" i="6"/>
  <c r="AA175" i="6"/>
  <c r="G113" i="7" s="1"/>
  <c r="AA170" i="6"/>
  <c r="AA168" i="6"/>
  <c r="AA166" i="6"/>
  <c r="Z160" i="6"/>
  <c r="Z158" i="6"/>
  <c r="Z156" i="6"/>
  <c r="Z154" i="6"/>
  <c r="AA149" i="6"/>
  <c r="AA147" i="6"/>
  <c r="AA145" i="6"/>
  <c r="AA143" i="6"/>
  <c r="AA138" i="6"/>
  <c r="AA136" i="6"/>
  <c r="AA134" i="6"/>
  <c r="AA132" i="6"/>
  <c r="AA127" i="6"/>
  <c r="AA125" i="6"/>
  <c r="AA123" i="6"/>
  <c r="AA121" i="6"/>
  <c r="AA116" i="6"/>
  <c r="AA114" i="6"/>
  <c r="AA112" i="6"/>
  <c r="AA110" i="6"/>
  <c r="AA105" i="6"/>
  <c r="AA103" i="6"/>
  <c r="AA101" i="6"/>
  <c r="AA99" i="6"/>
  <c r="I327" i="7" s="1"/>
  <c r="AA94" i="6"/>
  <c r="U384" i="7" s="1"/>
  <c r="AA92" i="6"/>
  <c r="AA90" i="6"/>
  <c r="AA88" i="6"/>
  <c r="AA83" i="6"/>
  <c r="AA81" i="6"/>
  <c r="AA79" i="6"/>
  <c r="AA77" i="6"/>
  <c r="AA72" i="6"/>
  <c r="AA70" i="6"/>
  <c r="AA68" i="6"/>
  <c r="Z146" i="6"/>
  <c r="Z135" i="6"/>
  <c r="Z124" i="6"/>
  <c r="Z113" i="6"/>
  <c r="AA104" i="6"/>
  <c r="AA100" i="6"/>
  <c r="AA93" i="6"/>
  <c r="AA89" i="6"/>
  <c r="AA82" i="6"/>
  <c r="AA78" i="6"/>
  <c r="AA71" i="6"/>
  <c r="AA67" i="6"/>
  <c r="AA65" i="6"/>
  <c r="AA60" i="6"/>
  <c r="AA58" i="6"/>
  <c r="AA56" i="6"/>
  <c r="AA54" i="6"/>
  <c r="AA49" i="6"/>
  <c r="AA47" i="6"/>
  <c r="AA45" i="6"/>
  <c r="AA43" i="6"/>
  <c r="Z35" i="6"/>
  <c r="Z27" i="6"/>
  <c r="Z23" i="6"/>
  <c r="AA35" i="6"/>
  <c r="AA22" i="6"/>
  <c r="I105" i="7" s="1"/>
  <c r="AA26" i="6"/>
  <c r="Q105" i="7" s="1"/>
  <c r="Z21" i="6"/>
  <c r="Z144" i="6"/>
  <c r="Z133" i="6"/>
  <c r="Z122" i="6"/>
  <c r="Z111" i="6"/>
  <c r="Z104" i="6"/>
  <c r="Z100" i="6"/>
  <c r="Z93" i="6"/>
  <c r="Z89" i="6"/>
  <c r="Z82" i="6"/>
  <c r="Z78" i="6"/>
  <c r="Z71" i="6"/>
  <c r="Z67" i="6"/>
  <c r="Z65" i="6"/>
  <c r="Z60" i="6"/>
  <c r="Z58" i="6"/>
  <c r="Z56" i="6"/>
  <c r="Z54" i="6"/>
  <c r="Z49" i="6"/>
  <c r="Z47" i="6"/>
  <c r="Z45" i="6"/>
  <c r="Z43" i="6"/>
  <c r="Z38" i="6"/>
  <c r="Z34" i="6"/>
  <c r="Z26" i="6"/>
  <c r="Z22" i="6"/>
  <c r="AA38" i="6"/>
  <c r="AA34" i="6"/>
  <c r="AA23" i="6"/>
  <c r="K105" i="7" s="1"/>
  <c r="AA27" i="6"/>
  <c r="S105" i="7" s="1"/>
  <c r="Z142" i="6"/>
  <c r="Z131" i="6"/>
  <c r="Z120" i="6"/>
  <c r="AA109" i="6"/>
  <c r="AA102" i="6"/>
  <c r="O327" i="7" s="1"/>
  <c r="AA98" i="6"/>
  <c r="AA91" i="6"/>
  <c r="AA87" i="6"/>
  <c r="G384" i="7" s="1"/>
  <c r="AA80" i="6"/>
  <c r="AA76" i="6"/>
  <c r="AA69" i="6"/>
  <c r="AA66" i="6"/>
  <c r="AA59" i="6"/>
  <c r="AA57" i="6"/>
  <c r="AA55" i="6"/>
  <c r="AA48" i="6"/>
  <c r="AA46" i="6"/>
  <c r="AA44" i="6"/>
  <c r="Z37" i="6"/>
  <c r="Z33" i="6"/>
  <c r="Z25" i="6"/>
  <c r="I5" i="7"/>
  <c r="AA37" i="6"/>
  <c r="AA33" i="6"/>
  <c r="AA24" i="6"/>
  <c r="M105" i="7" s="1"/>
  <c r="Z137" i="6"/>
  <c r="Z126" i="6"/>
  <c r="Z115" i="6"/>
  <c r="Z109" i="6"/>
  <c r="Z102" i="6"/>
  <c r="Z98" i="6"/>
  <c r="Z91" i="6"/>
  <c r="Z87" i="6"/>
  <c r="Z80" i="6"/>
  <c r="Z76" i="6"/>
  <c r="Z69" i="6"/>
  <c r="Z66" i="6"/>
  <c r="Z59" i="6"/>
  <c r="Z57" i="6"/>
  <c r="Z55" i="6"/>
  <c r="Z48" i="6"/>
  <c r="Z46" i="6"/>
  <c r="Z44" i="6"/>
  <c r="Z36" i="6"/>
  <c r="Z32" i="6"/>
  <c r="Z24" i="6"/>
  <c r="AA36" i="6"/>
  <c r="AA32" i="6"/>
  <c r="AA25" i="6"/>
  <c r="O105" i="7" s="1"/>
  <c r="AA21" i="6"/>
  <c r="G105" i="7" s="1"/>
  <c r="B725" i="6"/>
  <c r="AC725" i="6" s="1"/>
  <c r="B681" i="6"/>
  <c r="AC681" i="6" s="1"/>
  <c r="B637" i="6"/>
  <c r="AC637" i="6" s="1"/>
  <c r="B593" i="6"/>
  <c r="AC593" i="6" s="1"/>
  <c r="B505" i="6"/>
  <c r="AC505" i="6" s="1"/>
  <c r="B461" i="6"/>
  <c r="AC461" i="6" s="1"/>
  <c r="B417" i="6"/>
  <c r="AC417" i="6" s="1"/>
  <c r="B373" i="6"/>
  <c r="AC373" i="6" s="1"/>
  <c r="B329" i="6"/>
  <c r="AC329" i="6" s="1"/>
  <c r="B285" i="6"/>
  <c r="AC285" i="6" s="1"/>
  <c r="B241" i="6"/>
  <c r="AC241" i="6" s="1"/>
  <c r="B197" i="6"/>
  <c r="AC197" i="6" s="1"/>
  <c r="B153" i="6"/>
  <c r="AC153" i="6" s="1"/>
  <c r="B109" i="6"/>
  <c r="AC109" i="6" s="1"/>
  <c r="B65" i="6"/>
  <c r="AC65" i="6" s="1"/>
  <c r="B32" i="6"/>
  <c r="AC32" i="6" s="1"/>
  <c r="B21" i="6"/>
  <c r="AC21" i="6" s="1"/>
  <c r="B736" i="6"/>
  <c r="AC736" i="6" s="1"/>
  <c r="B692" i="6"/>
  <c r="AC692" i="6" s="1"/>
  <c r="B648" i="6"/>
  <c r="AC648" i="6" s="1"/>
  <c r="B604" i="6"/>
  <c r="AC604" i="6" s="1"/>
  <c r="B560" i="6"/>
  <c r="AC560" i="6" s="1"/>
  <c r="B472" i="6"/>
  <c r="AC472" i="6" s="1"/>
  <c r="B428" i="6"/>
  <c r="AC428" i="6" s="1"/>
  <c r="B384" i="6"/>
  <c r="AC384" i="6" s="1"/>
  <c r="B340" i="6"/>
  <c r="AC340" i="6" s="1"/>
  <c r="B296" i="6"/>
  <c r="AC296" i="6" s="1"/>
  <c r="B252" i="6"/>
  <c r="AC252" i="6" s="1"/>
  <c r="B208" i="6"/>
  <c r="AC208" i="6" s="1"/>
  <c r="B164" i="6"/>
  <c r="AC164" i="6" s="1"/>
  <c r="B120" i="6"/>
  <c r="AC120" i="6" s="1"/>
  <c r="B76" i="6"/>
  <c r="AC76" i="6" s="1"/>
  <c r="B747" i="6"/>
  <c r="AC747" i="6" s="1"/>
  <c r="B703" i="6"/>
  <c r="AC703" i="6" s="1"/>
  <c r="B659" i="6"/>
  <c r="AC659" i="6" s="1"/>
  <c r="B615" i="6"/>
  <c r="AC615" i="6" s="1"/>
  <c r="B571" i="6"/>
  <c r="AC571" i="6" s="1"/>
  <c r="B483" i="6"/>
  <c r="AC483" i="6" s="1"/>
  <c r="B439" i="6"/>
  <c r="AC439" i="6" s="1"/>
  <c r="B395" i="6"/>
  <c r="AC395" i="6" s="1"/>
  <c r="B351" i="6"/>
  <c r="AC351" i="6" s="1"/>
  <c r="B307" i="6"/>
  <c r="AC307" i="6" s="1"/>
  <c r="B263" i="6"/>
  <c r="AC263" i="6" s="1"/>
  <c r="B219" i="6"/>
  <c r="AC219" i="6" s="1"/>
  <c r="B175" i="6"/>
  <c r="AC175" i="6" s="1"/>
  <c r="B131" i="6"/>
  <c r="AC131" i="6" s="1"/>
  <c r="B87" i="6"/>
  <c r="AC87" i="6" s="1"/>
  <c r="B43" i="6"/>
  <c r="AC43" i="6" s="1"/>
  <c r="B758" i="6"/>
  <c r="AC758" i="6" s="1"/>
  <c r="B714" i="6"/>
  <c r="AC714" i="6" s="1"/>
  <c r="B670" i="6"/>
  <c r="AC670" i="6" s="1"/>
  <c r="B626" i="6"/>
  <c r="AC626" i="6" s="1"/>
  <c r="B582" i="6"/>
  <c r="AC582" i="6" s="1"/>
  <c r="B494" i="6"/>
  <c r="AC494" i="6" s="1"/>
  <c r="B450" i="6"/>
  <c r="AC450" i="6" s="1"/>
  <c r="B406" i="6"/>
  <c r="AC406" i="6" s="1"/>
  <c r="B362" i="6"/>
  <c r="AC362" i="6" s="1"/>
  <c r="B318" i="6"/>
  <c r="AC318" i="6" s="1"/>
  <c r="B274" i="6"/>
  <c r="AC274" i="6" s="1"/>
  <c r="B230" i="6"/>
  <c r="AC230" i="6" s="1"/>
  <c r="B186" i="6"/>
  <c r="AC186" i="6" s="1"/>
  <c r="B142" i="6"/>
  <c r="AC142" i="6" s="1"/>
  <c r="B98" i="6"/>
  <c r="AC98" i="6" s="1"/>
  <c r="B54" i="6"/>
  <c r="AC54" i="6" s="1"/>
  <c r="C742" i="6"/>
  <c r="AD742" i="6" s="1"/>
  <c r="C698" i="6"/>
  <c r="AD698" i="6" s="1"/>
  <c r="C654" i="6"/>
  <c r="AD654" i="6" s="1"/>
  <c r="C610" i="6"/>
  <c r="AD610" i="6" s="1"/>
  <c r="C566" i="6"/>
  <c r="AD566" i="6" s="1"/>
  <c r="C478" i="6"/>
  <c r="AD478" i="6" s="1"/>
  <c r="C434" i="6"/>
  <c r="AD434" i="6" s="1"/>
  <c r="C390" i="6"/>
  <c r="AD390" i="6" s="1"/>
  <c r="C346" i="6"/>
  <c r="AD346" i="6" s="1"/>
  <c r="C302" i="6"/>
  <c r="AD302" i="6" s="1"/>
  <c r="C258" i="6"/>
  <c r="AD258" i="6" s="1"/>
  <c r="C214" i="6"/>
  <c r="AD214" i="6" s="1"/>
  <c r="C170" i="6"/>
  <c r="AD170" i="6" s="1"/>
  <c r="C126" i="6"/>
  <c r="AD126" i="6" s="1"/>
  <c r="C82" i="6"/>
  <c r="AD82" i="6" s="1"/>
  <c r="C753" i="6"/>
  <c r="AD753" i="6" s="1"/>
  <c r="C709" i="6"/>
  <c r="AD709" i="6" s="1"/>
  <c r="C665" i="6"/>
  <c r="AD665" i="6" s="1"/>
  <c r="C621" i="6"/>
  <c r="AD621" i="6" s="1"/>
  <c r="C577" i="6"/>
  <c r="AD577" i="6" s="1"/>
  <c r="C489" i="6"/>
  <c r="AD489" i="6" s="1"/>
  <c r="C445" i="6"/>
  <c r="AD445" i="6" s="1"/>
  <c r="C401" i="6"/>
  <c r="AD401" i="6" s="1"/>
  <c r="C357" i="6"/>
  <c r="AD357" i="6" s="1"/>
  <c r="C313" i="6"/>
  <c r="AD313" i="6" s="1"/>
  <c r="C269" i="6"/>
  <c r="AD269" i="6" s="1"/>
  <c r="C225" i="6"/>
  <c r="AD225" i="6" s="1"/>
  <c r="C181" i="6"/>
  <c r="AD181" i="6" s="1"/>
  <c r="C137" i="6"/>
  <c r="AD137" i="6" s="1"/>
  <c r="C93" i="6"/>
  <c r="AD93" i="6" s="1"/>
  <c r="C49" i="6"/>
  <c r="AD49" i="6" s="1"/>
  <c r="C764" i="6"/>
  <c r="AD764" i="6" s="1"/>
  <c r="C720" i="6"/>
  <c r="AD720" i="6" s="1"/>
  <c r="C676" i="6"/>
  <c r="AD676" i="6" s="1"/>
  <c r="C632" i="6"/>
  <c r="AD632" i="6" s="1"/>
  <c r="C588" i="6"/>
  <c r="AD588" i="6" s="1"/>
  <c r="C500" i="6"/>
  <c r="AD500" i="6" s="1"/>
  <c r="C456" i="6"/>
  <c r="AD456" i="6" s="1"/>
  <c r="C412" i="6"/>
  <c r="AD412" i="6" s="1"/>
  <c r="C368" i="6"/>
  <c r="AD368" i="6" s="1"/>
  <c r="C324" i="6"/>
  <c r="AD324" i="6" s="1"/>
  <c r="C280" i="6"/>
  <c r="AD280" i="6" s="1"/>
  <c r="C236" i="6"/>
  <c r="AD236" i="6" s="1"/>
  <c r="C192" i="6"/>
  <c r="AD192" i="6" s="1"/>
  <c r="C148" i="6"/>
  <c r="AD148" i="6" s="1"/>
  <c r="C104" i="6"/>
  <c r="AD104" i="6" s="1"/>
  <c r="C60" i="6"/>
  <c r="AD60" i="6" s="1"/>
  <c r="C731" i="6"/>
  <c r="AD731" i="6" s="1"/>
  <c r="C687" i="6"/>
  <c r="AD687" i="6" s="1"/>
  <c r="C643" i="6"/>
  <c r="AD643" i="6" s="1"/>
  <c r="C599" i="6"/>
  <c r="AD599" i="6" s="1"/>
  <c r="C511" i="6"/>
  <c r="AD511" i="6" s="1"/>
  <c r="C467" i="6"/>
  <c r="AD467" i="6" s="1"/>
  <c r="C423" i="6"/>
  <c r="AD423" i="6" s="1"/>
  <c r="C379" i="6"/>
  <c r="AD379" i="6" s="1"/>
  <c r="C335" i="6"/>
  <c r="AD335" i="6" s="1"/>
  <c r="C291" i="6"/>
  <c r="AD291" i="6" s="1"/>
  <c r="C247" i="6"/>
  <c r="AD247" i="6" s="1"/>
  <c r="C203" i="6"/>
  <c r="AD203" i="6" s="1"/>
  <c r="C159" i="6"/>
  <c r="AD159" i="6" s="1"/>
  <c r="C115" i="6"/>
  <c r="AD115" i="6" s="1"/>
  <c r="C71" i="6"/>
  <c r="AD71" i="6" s="1"/>
  <c r="C38" i="6"/>
  <c r="AD38" i="6" s="1"/>
  <c r="C27" i="6"/>
  <c r="AD27" i="6" s="1"/>
  <c r="B754" i="6"/>
  <c r="AC754" i="6" s="1"/>
  <c r="B710" i="6"/>
  <c r="AC710" i="6" s="1"/>
  <c r="B666" i="6"/>
  <c r="AC666" i="6" s="1"/>
  <c r="B622" i="6"/>
  <c r="AC622" i="6" s="1"/>
  <c r="B578" i="6"/>
  <c r="AC578" i="6" s="1"/>
  <c r="B490" i="6"/>
  <c r="AC490" i="6" s="1"/>
  <c r="B446" i="6"/>
  <c r="AC446" i="6" s="1"/>
  <c r="B402" i="6"/>
  <c r="AC402" i="6" s="1"/>
  <c r="B358" i="6"/>
  <c r="AC358" i="6" s="1"/>
  <c r="B314" i="6"/>
  <c r="AC314" i="6" s="1"/>
  <c r="B270" i="6"/>
  <c r="AC270" i="6" s="1"/>
  <c r="B226" i="6"/>
  <c r="AC226" i="6" s="1"/>
  <c r="B182" i="6"/>
  <c r="AC182" i="6" s="1"/>
  <c r="B138" i="6"/>
  <c r="AC138" i="6" s="1"/>
  <c r="B94" i="6"/>
  <c r="AC94" i="6" s="1"/>
  <c r="B50" i="6"/>
  <c r="AC50" i="6" s="1"/>
  <c r="B765" i="6"/>
  <c r="AC765" i="6" s="1"/>
  <c r="B721" i="6"/>
  <c r="AC721" i="6" s="1"/>
  <c r="B677" i="6"/>
  <c r="AC677" i="6" s="1"/>
  <c r="B633" i="6"/>
  <c r="AC633" i="6" s="1"/>
  <c r="B589" i="6"/>
  <c r="AC589" i="6" s="1"/>
  <c r="B501" i="6"/>
  <c r="AC501" i="6" s="1"/>
  <c r="B457" i="6"/>
  <c r="AC457" i="6" s="1"/>
  <c r="B413" i="6"/>
  <c r="AC413" i="6" s="1"/>
  <c r="B369" i="6"/>
  <c r="AC369" i="6" s="1"/>
  <c r="B325" i="6"/>
  <c r="AC325" i="6" s="1"/>
  <c r="B281" i="6"/>
  <c r="AC281" i="6" s="1"/>
  <c r="B237" i="6"/>
  <c r="AC237" i="6" s="1"/>
  <c r="B193" i="6"/>
  <c r="AC193" i="6" s="1"/>
  <c r="B149" i="6"/>
  <c r="AC149" i="6" s="1"/>
  <c r="B105" i="6"/>
  <c r="AC105" i="6" s="1"/>
  <c r="B61" i="6"/>
  <c r="AC61" i="6" s="1"/>
  <c r="B732" i="6"/>
  <c r="AC732" i="6" s="1"/>
  <c r="B688" i="6"/>
  <c r="AC688" i="6" s="1"/>
  <c r="B644" i="6"/>
  <c r="AC644" i="6" s="1"/>
  <c r="B600" i="6"/>
  <c r="AC600" i="6" s="1"/>
  <c r="B512" i="6"/>
  <c r="AC512" i="6" s="1"/>
  <c r="B468" i="6"/>
  <c r="AC468" i="6" s="1"/>
  <c r="B424" i="6"/>
  <c r="AC424" i="6" s="1"/>
  <c r="B380" i="6"/>
  <c r="AC380" i="6" s="1"/>
  <c r="B336" i="6"/>
  <c r="AC336" i="6" s="1"/>
  <c r="B292" i="6"/>
  <c r="AC292" i="6" s="1"/>
  <c r="B248" i="6"/>
  <c r="AC248" i="6" s="1"/>
  <c r="B204" i="6"/>
  <c r="AC204" i="6" s="1"/>
  <c r="B160" i="6"/>
  <c r="AC160" i="6" s="1"/>
  <c r="B116" i="6"/>
  <c r="AC116" i="6" s="1"/>
  <c r="B72" i="6"/>
  <c r="AC72" i="6" s="1"/>
  <c r="B743" i="6"/>
  <c r="AC743" i="6" s="1"/>
  <c r="B699" i="6"/>
  <c r="AC699" i="6" s="1"/>
  <c r="B655" i="6"/>
  <c r="AC655" i="6" s="1"/>
  <c r="B611" i="6"/>
  <c r="AC611" i="6" s="1"/>
  <c r="B567" i="6"/>
  <c r="AC567" i="6" s="1"/>
  <c r="B479" i="6"/>
  <c r="AC479" i="6" s="1"/>
  <c r="B435" i="6"/>
  <c r="AC435" i="6" s="1"/>
  <c r="B391" i="6"/>
  <c r="AC391" i="6" s="1"/>
  <c r="B347" i="6"/>
  <c r="AC347" i="6" s="1"/>
  <c r="B303" i="6"/>
  <c r="AC303" i="6" s="1"/>
  <c r="B259" i="6"/>
  <c r="AC259" i="6" s="1"/>
  <c r="B215" i="6"/>
  <c r="AC215" i="6" s="1"/>
  <c r="B171" i="6"/>
  <c r="AC171" i="6" s="1"/>
  <c r="B127" i="6"/>
  <c r="AC127" i="6" s="1"/>
  <c r="B83" i="6"/>
  <c r="AC83" i="6" s="1"/>
  <c r="B752" i="6"/>
  <c r="AC752" i="6" s="1"/>
  <c r="B708" i="6"/>
  <c r="AC708" i="6" s="1"/>
  <c r="B664" i="6"/>
  <c r="AC664" i="6" s="1"/>
  <c r="B620" i="6"/>
  <c r="AC620" i="6" s="1"/>
  <c r="B576" i="6"/>
  <c r="AC576" i="6" s="1"/>
  <c r="B488" i="6"/>
  <c r="AC488" i="6" s="1"/>
  <c r="B444" i="6"/>
  <c r="AC444" i="6" s="1"/>
  <c r="B400" i="6"/>
  <c r="AC400" i="6" s="1"/>
  <c r="B356" i="6"/>
  <c r="AC356" i="6" s="1"/>
  <c r="B312" i="6"/>
  <c r="AC312" i="6" s="1"/>
  <c r="B268" i="6"/>
  <c r="AC268" i="6" s="1"/>
  <c r="B224" i="6"/>
  <c r="AC224" i="6" s="1"/>
  <c r="B180" i="6"/>
  <c r="AC180" i="6" s="1"/>
  <c r="B136" i="6"/>
  <c r="AC136" i="6" s="1"/>
  <c r="B92" i="6"/>
  <c r="AC92" i="6" s="1"/>
  <c r="B48" i="6"/>
  <c r="AC48" i="6" s="1"/>
  <c r="B763" i="6"/>
  <c r="AC763" i="6" s="1"/>
  <c r="B719" i="6"/>
  <c r="AC719" i="6" s="1"/>
  <c r="B675" i="6"/>
  <c r="AC675" i="6" s="1"/>
  <c r="B631" i="6"/>
  <c r="AC631" i="6" s="1"/>
  <c r="B587" i="6"/>
  <c r="AC587" i="6" s="1"/>
  <c r="B499" i="6"/>
  <c r="AC499" i="6" s="1"/>
  <c r="B455" i="6"/>
  <c r="AC455" i="6" s="1"/>
  <c r="B411" i="6"/>
  <c r="AC411" i="6" s="1"/>
  <c r="B367" i="6"/>
  <c r="AC367" i="6" s="1"/>
  <c r="B323" i="6"/>
  <c r="AC323" i="6" s="1"/>
  <c r="B279" i="6"/>
  <c r="AC279" i="6" s="1"/>
  <c r="B235" i="6"/>
  <c r="AC235" i="6" s="1"/>
  <c r="B191" i="6"/>
  <c r="AC191" i="6" s="1"/>
  <c r="B147" i="6"/>
  <c r="AC147" i="6" s="1"/>
  <c r="B103" i="6"/>
  <c r="AC103" i="6" s="1"/>
  <c r="B59" i="6"/>
  <c r="AC59" i="6" s="1"/>
  <c r="B730" i="6"/>
  <c r="AC730" i="6" s="1"/>
  <c r="B686" i="6"/>
  <c r="AC686" i="6" s="1"/>
  <c r="B642" i="6"/>
  <c r="AC642" i="6" s="1"/>
  <c r="B598" i="6"/>
  <c r="AC598" i="6" s="1"/>
  <c r="B510" i="6"/>
  <c r="AC510" i="6" s="1"/>
  <c r="B466" i="6"/>
  <c r="AC466" i="6" s="1"/>
  <c r="B422" i="6"/>
  <c r="AC422" i="6" s="1"/>
  <c r="B378" i="6"/>
  <c r="AC378" i="6" s="1"/>
  <c r="B334" i="6"/>
  <c r="AC334" i="6" s="1"/>
  <c r="B290" i="6"/>
  <c r="AC290" i="6" s="1"/>
  <c r="B246" i="6"/>
  <c r="AC246" i="6" s="1"/>
  <c r="B202" i="6"/>
  <c r="AC202" i="6" s="1"/>
  <c r="B158" i="6"/>
  <c r="AC158" i="6" s="1"/>
  <c r="B114" i="6"/>
  <c r="AC114" i="6" s="1"/>
  <c r="B70" i="6"/>
  <c r="AC70" i="6" s="1"/>
  <c r="B37" i="6"/>
  <c r="AC37" i="6" s="1"/>
  <c r="B741" i="6"/>
  <c r="AC741" i="6" s="1"/>
  <c r="B697" i="6"/>
  <c r="AC697" i="6" s="1"/>
  <c r="B653" i="6"/>
  <c r="AC653" i="6" s="1"/>
  <c r="B609" i="6"/>
  <c r="AC609" i="6" s="1"/>
  <c r="B565" i="6"/>
  <c r="AC565" i="6" s="1"/>
  <c r="B477" i="6"/>
  <c r="AC477" i="6" s="1"/>
  <c r="B433" i="6"/>
  <c r="AC433" i="6" s="1"/>
  <c r="B389" i="6"/>
  <c r="AC389" i="6" s="1"/>
  <c r="B345" i="6"/>
  <c r="AC345" i="6" s="1"/>
  <c r="B301" i="6"/>
  <c r="AC301" i="6" s="1"/>
  <c r="B257" i="6"/>
  <c r="AC257" i="6" s="1"/>
  <c r="B213" i="6"/>
  <c r="AC213" i="6" s="1"/>
  <c r="B169" i="6"/>
  <c r="AC169" i="6" s="1"/>
  <c r="B125" i="6"/>
  <c r="AC125" i="6" s="1"/>
  <c r="B81" i="6"/>
  <c r="AC81" i="6" s="1"/>
  <c r="B26" i="6"/>
  <c r="AC26" i="6" s="1"/>
  <c r="C761" i="6"/>
  <c r="AD761" i="6" s="1"/>
  <c r="C717" i="6"/>
  <c r="AD717" i="6" s="1"/>
  <c r="C673" i="6"/>
  <c r="AD673" i="6" s="1"/>
  <c r="C629" i="6"/>
  <c r="AD629" i="6" s="1"/>
  <c r="C585" i="6"/>
  <c r="AD585" i="6" s="1"/>
  <c r="C497" i="6"/>
  <c r="AD497" i="6" s="1"/>
  <c r="C453" i="6"/>
  <c r="AD453" i="6" s="1"/>
  <c r="C409" i="6"/>
  <c r="AD409" i="6" s="1"/>
  <c r="C365" i="6"/>
  <c r="AD365" i="6" s="1"/>
  <c r="C321" i="6"/>
  <c r="AD321" i="6" s="1"/>
  <c r="C277" i="6"/>
  <c r="AD277" i="6" s="1"/>
  <c r="C233" i="6"/>
  <c r="AD233" i="6" s="1"/>
  <c r="C189" i="6"/>
  <c r="AD189" i="6" s="1"/>
  <c r="C145" i="6"/>
  <c r="AD145" i="6" s="1"/>
  <c r="C101" i="6"/>
  <c r="AD101" i="6" s="1"/>
  <c r="C57" i="6"/>
  <c r="AD57" i="6" s="1"/>
  <c r="C24" i="6"/>
  <c r="AD24" i="6" s="1"/>
  <c r="C728" i="6"/>
  <c r="AD728" i="6" s="1"/>
  <c r="C684" i="6"/>
  <c r="AD684" i="6" s="1"/>
  <c r="C640" i="6"/>
  <c r="AD640" i="6" s="1"/>
  <c r="C596" i="6"/>
  <c r="AD596" i="6" s="1"/>
  <c r="C508" i="6"/>
  <c r="AD508" i="6" s="1"/>
  <c r="C464" i="6"/>
  <c r="AD464" i="6" s="1"/>
  <c r="C420" i="6"/>
  <c r="AD420" i="6" s="1"/>
  <c r="C376" i="6"/>
  <c r="AD376" i="6" s="1"/>
  <c r="C332" i="6"/>
  <c r="AD332" i="6" s="1"/>
  <c r="C288" i="6"/>
  <c r="AD288" i="6" s="1"/>
  <c r="C244" i="6"/>
  <c r="AD244" i="6" s="1"/>
  <c r="C200" i="6"/>
  <c r="AD200" i="6" s="1"/>
  <c r="C156" i="6"/>
  <c r="AD156" i="6" s="1"/>
  <c r="C112" i="6"/>
  <c r="AD112" i="6" s="1"/>
  <c r="C68" i="6"/>
  <c r="AD68" i="6" s="1"/>
  <c r="C35" i="6"/>
  <c r="AD35" i="6" s="1"/>
  <c r="C739" i="6"/>
  <c r="AD739" i="6" s="1"/>
  <c r="C695" i="6"/>
  <c r="AD695" i="6" s="1"/>
  <c r="C651" i="6"/>
  <c r="AD651" i="6" s="1"/>
  <c r="C607" i="6"/>
  <c r="AD607" i="6" s="1"/>
  <c r="C563" i="6"/>
  <c r="AD563" i="6" s="1"/>
  <c r="C475" i="6"/>
  <c r="AD475" i="6" s="1"/>
  <c r="C431" i="6"/>
  <c r="AD431" i="6" s="1"/>
  <c r="C387" i="6"/>
  <c r="AD387" i="6" s="1"/>
  <c r="C343" i="6"/>
  <c r="AD343" i="6" s="1"/>
  <c r="C299" i="6"/>
  <c r="AD299" i="6" s="1"/>
  <c r="C255" i="6"/>
  <c r="AD255" i="6" s="1"/>
  <c r="C211" i="6"/>
  <c r="AD211" i="6" s="1"/>
  <c r="C167" i="6"/>
  <c r="AD167" i="6" s="1"/>
  <c r="C123" i="6"/>
  <c r="AD123" i="6" s="1"/>
  <c r="C79" i="6"/>
  <c r="AD79" i="6" s="1"/>
  <c r="C750" i="6"/>
  <c r="AD750" i="6" s="1"/>
  <c r="C706" i="6"/>
  <c r="AD706" i="6" s="1"/>
  <c r="C662" i="6"/>
  <c r="AD662" i="6" s="1"/>
  <c r="C618" i="6"/>
  <c r="AD618" i="6" s="1"/>
  <c r="C574" i="6"/>
  <c r="AD574" i="6" s="1"/>
  <c r="C486" i="6"/>
  <c r="AD486" i="6" s="1"/>
  <c r="C442" i="6"/>
  <c r="AD442" i="6" s="1"/>
  <c r="C398" i="6"/>
  <c r="AD398" i="6" s="1"/>
  <c r="C354" i="6"/>
  <c r="AD354" i="6" s="1"/>
  <c r="C310" i="6"/>
  <c r="AD310" i="6" s="1"/>
  <c r="C266" i="6"/>
  <c r="AD266" i="6" s="1"/>
  <c r="C222" i="6"/>
  <c r="AD222" i="6" s="1"/>
  <c r="C178" i="6"/>
  <c r="AD178" i="6" s="1"/>
  <c r="C134" i="6"/>
  <c r="AD134" i="6" s="1"/>
  <c r="C90" i="6"/>
  <c r="AD90" i="6" s="1"/>
  <c r="C46" i="6"/>
  <c r="AD46" i="6" s="1"/>
  <c r="B750" i="6"/>
  <c r="AC750" i="6" s="1"/>
  <c r="B706" i="6"/>
  <c r="AC706" i="6" s="1"/>
  <c r="B662" i="6"/>
  <c r="AC662" i="6" s="1"/>
  <c r="B618" i="6"/>
  <c r="AC618" i="6" s="1"/>
  <c r="B574" i="6"/>
  <c r="AC574" i="6" s="1"/>
  <c r="B486" i="6"/>
  <c r="AC486" i="6" s="1"/>
  <c r="B442" i="6"/>
  <c r="AC442" i="6" s="1"/>
  <c r="B398" i="6"/>
  <c r="AC398" i="6" s="1"/>
  <c r="B354" i="6"/>
  <c r="AC354" i="6" s="1"/>
  <c r="B310" i="6"/>
  <c r="AC310" i="6" s="1"/>
  <c r="B266" i="6"/>
  <c r="AC266" i="6" s="1"/>
  <c r="B222" i="6"/>
  <c r="AC222" i="6" s="1"/>
  <c r="B178" i="6"/>
  <c r="AC178" i="6" s="1"/>
  <c r="B134" i="6"/>
  <c r="AC134" i="6" s="1"/>
  <c r="B90" i="6"/>
  <c r="AC90" i="6" s="1"/>
  <c r="B46" i="6"/>
  <c r="AC46" i="6" s="1"/>
  <c r="B24" i="6"/>
  <c r="AC24" i="6" s="1"/>
  <c r="B761" i="6"/>
  <c r="AC761" i="6" s="1"/>
  <c r="B717" i="6"/>
  <c r="AC717" i="6" s="1"/>
  <c r="B673" i="6"/>
  <c r="AC673" i="6" s="1"/>
  <c r="B629" i="6"/>
  <c r="AC629" i="6" s="1"/>
  <c r="B585" i="6"/>
  <c r="AC585" i="6" s="1"/>
  <c r="B497" i="6"/>
  <c r="AC497" i="6" s="1"/>
  <c r="B453" i="6"/>
  <c r="AC453" i="6" s="1"/>
  <c r="B409" i="6"/>
  <c r="AC409" i="6" s="1"/>
  <c r="B365" i="6"/>
  <c r="AC365" i="6" s="1"/>
  <c r="B321" i="6"/>
  <c r="AC321" i="6" s="1"/>
  <c r="B277" i="6"/>
  <c r="AC277" i="6" s="1"/>
  <c r="B233" i="6"/>
  <c r="AC233" i="6" s="1"/>
  <c r="B189" i="6"/>
  <c r="AC189" i="6" s="1"/>
  <c r="B145" i="6"/>
  <c r="AC145" i="6" s="1"/>
  <c r="B101" i="6"/>
  <c r="AC101" i="6" s="1"/>
  <c r="B57" i="6"/>
  <c r="AC57" i="6" s="1"/>
  <c r="B728" i="6"/>
  <c r="AC728" i="6" s="1"/>
  <c r="B684" i="6"/>
  <c r="AC684" i="6" s="1"/>
  <c r="B640" i="6"/>
  <c r="AC640" i="6" s="1"/>
  <c r="B596" i="6"/>
  <c r="AC596" i="6" s="1"/>
  <c r="B508" i="6"/>
  <c r="AC508" i="6" s="1"/>
  <c r="B464" i="6"/>
  <c r="AC464" i="6" s="1"/>
  <c r="B420" i="6"/>
  <c r="AC420" i="6" s="1"/>
  <c r="B376" i="6"/>
  <c r="AC376" i="6" s="1"/>
  <c r="B332" i="6"/>
  <c r="AC332" i="6" s="1"/>
  <c r="B288" i="6"/>
  <c r="AC288" i="6" s="1"/>
  <c r="B244" i="6"/>
  <c r="AC244" i="6" s="1"/>
  <c r="B200" i="6"/>
  <c r="AC200" i="6" s="1"/>
  <c r="B156" i="6"/>
  <c r="AC156" i="6" s="1"/>
  <c r="B112" i="6"/>
  <c r="AC112" i="6" s="1"/>
  <c r="B68" i="6"/>
  <c r="AC68" i="6" s="1"/>
  <c r="B35" i="6"/>
  <c r="AC35" i="6" s="1"/>
  <c r="B739" i="6"/>
  <c r="AC739" i="6" s="1"/>
  <c r="B695" i="6"/>
  <c r="AC695" i="6" s="1"/>
  <c r="B651" i="6"/>
  <c r="AC651" i="6" s="1"/>
  <c r="B607" i="6"/>
  <c r="AC607" i="6" s="1"/>
  <c r="B563" i="6"/>
  <c r="AC563" i="6" s="1"/>
  <c r="B475" i="6"/>
  <c r="AC475" i="6" s="1"/>
  <c r="B431" i="6"/>
  <c r="AC431" i="6" s="1"/>
  <c r="B387" i="6"/>
  <c r="AC387" i="6" s="1"/>
  <c r="B343" i="6"/>
  <c r="AC343" i="6" s="1"/>
  <c r="B299" i="6"/>
  <c r="AC299" i="6" s="1"/>
  <c r="B255" i="6"/>
  <c r="AC255" i="6" s="1"/>
  <c r="B211" i="6"/>
  <c r="AC211" i="6" s="1"/>
  <c r="B167" i="6"/>
  <c r="AC167" i="6" s="1"/>
  <c r="B123" i="6"/>
  <c r="AC123" i="6" s="1"/>
  <c r="B79" i="6"/>
  <c r="AC79" i="6" s="1"/>
  <c r="C738" i="6"/>
  <c r="AD738" i="6" s="1"/>
  <c r="C694" i="6"/>
  <c r="AD694" i="6" s="1"/>
  <c r="C650" i="6"/>
  <c r="AD650" i="6" s="1"/>
  <c r="C606" i="6"/>
  <c r="AD606" i="6" s="1"/>
  <c r="C562" i="6"/>
  <c r="AD562" i="6" s="1"/>
  <c r="C474" i="6"/>
  <c r="AD474" i="6" s="1"/>
  <c r="C430" i="6"/>
  <c r="AD430" i="6" s="1"/>
  <c r="C386" i="6"/>
  <c r="AD386" i="6" s="1"/>
  <c r="C342" i="6"/>
  <c r="AD342" i="6" s="1"/>
  <c r="C298" i="6"/>
  <c r="AD298" i="6" s="1"/>
  <c r="C254" i="6"/>
  <c r="AD254" i="6" s="1"/>
  <c r="C210" i="6"/>
  <c r="AD210" i="6" s="1"/>
  <c r="C166" i="6"/>
  <c r="AD166" i="6" s="1"/>
  <c r="C122" i="6"/>
  <c r="AD122" i="6" s="1"/>
  <c r="C78" i="6"/>
  <c r="AD78" i="6" s="1"/>
  <c r="C749" i="6"/>
  <c r="AD749" i="6" s="1"/>
  <c r="C705" i="6"/>
  <c r="AD705" i="6" s="1"/>
  <c r="C661" i="6"/>
  <c r="AD661" i="6" s="1"/>
  <c r="C617" i="6"/>
  <c r="AD617" i="6" s="1"/>
  <c r="C573" i="6"/>
  <c r="AD573" i="6" s="1"/>
  <c r="C485" i="6"/>
  <c r="AD485" i="6" s="1"/>
  <c r="C441" i="6"/>
  <c r="AD441" i="6" s="1"/>
  <c r="C397" i="6"/>
  <c r="AD397" i="6" s="1"/>
  <c r="C353" i="6"/>
  <c r="AD353" i="6" s="1"/>
  <c r="C309" i="6"/>
  <c r="AD309" i="6" s="1"/>
  <c r="C265" i="6"/>
  <c r="AD265" i="6" s="1"/>
  <c r="C221" i="6"/>
  <c r="AD221" i="6" s="1"/>
  <c r="C177" i="6"/>
  <c r="AD177" i="6" s="1"/>
  <c r="C133" i="6"/>
  <c r="AD133" i="6" s="1"/>
  <c r="C89" i="6"/>
  <c r="AD89" i="6" s="1"/>
  <c r="C45" i="6"/>
  <c r="AD45" i="6" s="1"/>
  <c r="C760" i="6"/>
  <c r="AD760" i="6" s="1"/>
  <c r="C716" i="6"/>
  <c r="AD716" i="6" s="1"/>
  <c r="C672" i="6"/>
  <c r="AD672" i="6" s="1"/>
  <c r="C628" i="6"/>
  <c r="AD628" i="6" s="1"/>
  <c r="C584" i="6"/>
  <c r="AD584" i="6" s="1"/>
  <c r="C496" i="6"/>
  <c r="AD496" i="6" s="1"/>
  <c r="C452" i="6"/>
  <c r="AD452" i="6" s="1"/>
  <c r="C408" i="6"/>
  <c r="AD408" i="6" s="1"/>
  <c r="C364" i="6"/>
  <c r="AD364" i="6" s="1"/>
  <c r="C320" i="6"/>
  <c r="AD320" i="6" s="1"/>
  <c r="C276" i="6"/>
  <c r="AD276" i="6" s="1"/>
  <c r="C232" i="6"/>
  <c r="AD232" i="6" s="1"/>
  <c r="C188" i="6"/>
  <c r="AD188" i="6" s="1"/>
  <c r="C144" i="6"/>
  <c r="AD144" i="6" s="1"/>
  <c r="C100" i="6"/>
  <c r="AD100" i="6" s="1"/>
  <c r="C56" i="6"/>
  <c r="AD56" i="6" s="1"/>
  <c r="C727" i="6"/>
  <c r="AD727" i="6" s="1"/>
  <c r="C683" i="6"/>
  <c r="AD683" i="6" s="1"/>
  <c r="C639" i="6"/>
  <c r="AD639" i="6" s="1"/>
  <c r="C595" i="6"/>
  <c r="AD595" i="6" s="1"/>
  <c r="C507" i="6"/>
  <c r="AD507" i="6" s="1"/>
  <c r="C463" i="6"/>
  <c r="AD463" i="6" s="1"/>
  <c r="C419" i="6"/>
  <c r="AD419" i="6" s="1"/>
  <c r="C375" i="6"/>
  <c r="AD375" i="6" s="1"/>
  <c r="C331" i="6"/>
  <c r="AD331" i="6" s="1"/>
  <c r="C287" i="6"/>
  <c r="AD287" i="6" s="1"/>
  <c r="C243" i="6"/>
  <c r="AD243" i="6" s="1"/>
  <c r="C199" i="6"/>
  <c r="AD199" i="6" s="1"/>
  <c r="C155" i="6"/>
  <c r="AD155" i="6" s="1"/>
  <c r="C111" i="6"/>
  <c r="AD111" i="6" s="1"/>
  <c r="C67" i="6"/>
  <c r="AD67" i="6" s="1"/>
  <c r="C34" i="6"/>
  <c r="AD34" i="6" s="1"/>
  <c r="C23" i="6"/>
  <c r="AD23" i="6" s="1"/>
  <c r="C170" i="3"/>
  <c r="F169" i="3"/>
  <c r="H169" i="3" s="1"/>
  <c r="C177" i="15" s="1"/>
  <c r="D169" i="3"/>
  <c r="I977" i="6" s="1"/>
  <c r="D32" i="2"/>
  <c r="B5" i="15" s="1"/>
  <c r="P15" i="1"/>
  <c r="V839" i="6" l="1"/>
  <c r="U840" i="6"/>
  <c r="V817" i="6"/>
  <c r="U839" i="6"/>
  <c r="P819" i="6"/>
  <c r="S307" i="7" s="1"/>
  <c r="P818" i="6"/>
  <c r="O190" i="6"/>
  <c r="U807" i="6"/>
  <c r="U816" i="6"/>
  <c r="P840" i="6"/>
  <c r="P841" i="6"/>
  <c r="S192" i="7" s="1"/>
  <c r="P842" i="6"/>
  <c r="U192" i="7" s="1"/>
  <c r="U817" i="6"/>
  <c r="O816" i="6"/>
  <c r="U819" i="6"/>
  <c r="V819" i="6"/>
  <c r="S309" i="7" s="1"/>
  <c r="V818" i="6"/>
  <c r="V840" i="6"/>
  <c r="V816" i="6"/>
  <c r="M241" i="7"/>
  <c r="O573" i="6"/>
  <c r="AI574" i="6" s="1"/>
  <c r="O608" i="6"/>
  <c r="AI609" i="6" s="1"/>
  <c r="O365" i="6"/>
  <c r="AI369" i="6" s="1"/>
  <c r="O574" i="6"/>
  <c r="O604" i="6"/>
  <c r="V807" i="6"/>
  <c r="Q252" i="7" s="1"/>
  <c r="O572" i="6"/>
  <c r="O594" i="6"/>
  <c r="AI600" i="6" s="1"/>
  <c r="O597" i="6"/>
  <c r="O364" i="6"/>
  <c r="V808" i="6"/>
  <c r="O575" i="6"/>
  <c r="O563" i="6"/>
  <c r="O599" i="6"/>
  <c r="P807" i="6"/>
  <c r="Q250" i="7" s="1"/>
  <c r="U795" i="6"/>
  <c r="P806" i="6"/>
  <c r="V795" i="6"/>
  <c r="O136" i="7" s="1"/>
  <c r="V797" i="6"/>
  <c r="S136" i="7" s="1"/>
  <c r="P798" i="6"/>
  <c r="U134" i="7" s="1"/>
  <c r="U797" i="6"/>
  <c r="O798" i="6"/>
  <c r="AI797" i="6" s="1"/>
  <c r="U808" i="6"/>
  <c r="O566" i="6"/>
  <c r="AI567" i="6" s="1"/>
  <c r="O577" i="6"/>
  <c r="AI578" i="6" s="1"/>
  <c r="O605" i="6"/>
  <c r="O362" i="6"/>
  <c r="AI363" i="6" s="1"/>
  <c r="O363" i="6"/>
  <c r="O564" i="6"/>
  <c r="O607" i="6"/>
  <c r="AI605" i="6" s="1"/>
  <c r="O593" i="6"/>
  <c r="O598" i="6"/>
  <c r="O367" i="6"/>
  <c r="O366" i="6"/>
  <c r="O387" i="6"/>
  <c r="AI386" i="6" s="1"/>
  <c r="O388" i="6"/>
  <c r="O384" i="6"/>
  <c r="O454" i="6"/>
  <c r="AI457" i="6" s="1"/>
  <c r="O560" i="6"/>
  <c r="O562" i="6"/>
  <c r="O567" i="6"/>
  <c r="O609" i="6"/>
  <c r="AI611" i="6" s="1"/>
  <c r="O576" i="6"/>
  <c r="O368" i="6"/>
  <c r="O386" i="6"/>
  <c r="O391" i="6"/>
  <c r="O389" i="6"/>
  <c r="AI391" i="6" s="1"/>
  <c r="O561" i="6"/>
  <c r="O606" i="6"/>
  <c r="AI608" i="6" s="1"/>
  <c r="O611" i="6"/>
  <c r="AI610" i="6" s="1"/>
  <c r="O22" i="6"/>
  <c r="O71" i="6"/>
  <c r="O188" i="6"/>
  <c r="O455" i="6"/>
  <c r="O453" i="6"/>
  <c r="O68" i="6"/>
  <c r="O66" i="6"/>
  <c r="AI72" i="6" s="1"/>
  <c r="O187" i="6"/>
  <c r="AI193" i="6" s="1"/>
  <c r="O189" i="6"/>
  <c r="O191" i="6"/>
  <c r="O450" i="6"/>
  <c r="AI452" i="6" s="1"/>
  <c r="O67" i="6"/>
  <c r="O65" i="6"/>
  <c r="O192" i="6"/>
  <c r="O69" i="6"/>
  <c r="O72" i="6"/>
  <c r="O451" i="6"/>
  <c r="O186" i="6"/>
  <c r="Q237" i="7"/>
  <c r="O80" i="6"/>
  <c r="O82" i="6"/>
  <c r="U156" i="7"/>
  <c r="O81" i="6"/>
  <c r="AI83" i="6" s="1"/>
  <c r="O77" i="6"/>
  <c r="O79" i="6"/>
  <c r="O83" i="6"/>
  <c r="I217" i="7"/>
  <c r="O14" i="7"/>
  <c r="P896" i="6"/>
  <c r="S41" i="7" s="1"/>
  <c r="P895" i="6"/>
  <c r="Q41" i="7" s="1"/>
  <c r="O241" i="7"/>
  <c r="G237" i="7"/>
  <c r="Q302" i="7"/>
  <c r="Q30" i="7"/>
  <c r="K237" i="7"/>
  <c r="U237" i="7"/>
  <c r="U302" i="7"/>
  <c r="U30" i="7"/>
  <c r="U408" i="7"/>
  <c r="U72" i="7"/>
  <c r="O416" i="7"/>
  <c r="S237" i="7"/>
  <c r="I237" i="7"/>
  <c r="M237" i="7"/>
  <c r="O237" i="7"/>
  <c r="U416" i="7"/>
  <c r="AC890" i="6"/>
  <c r="O890" i="6"/>
  <c r="G42" i="7" s="1"/>
  <c r="S241" i="7"/>
  <c r="D19" i="16"/>
  <c r="S8" i="13"/>
  <c r="K3" i="11"/>
  <c r="W8" i="14"/>
  <c r="Q4" i="12"/>
  <c r="E16" i="15"/>
  <c r="I339" i="7"/>
  <c r="U396" i="7"/>
  <c r="S396" i="7"/>
  <c r="O339" i="7"/>
  <c r="G396" i="7"/>
  <c r="K396" i="7"/>
  <c r="Q339" i="7"/>
  <c r="M396" i="7"/>
  <c r="G339" i="7"/>
  <c r="O396" i="7"/>
  <c r="Q396" i="7"/>
  <c r="K339" i="7"/>
  <c r="M339" i="7"/>
  <c r="S339" i="7"/>
  <c r="U339" i="7"/>
  <c r="I396" i="7"/>
  <c r="G22" i="7"/>
  <c r="U175" i="7"/>
  <c r="AH313" i="6"/>
  <c r="O274" i="7"/>
  <c r="I233" i="7"/>
  <c r="Q327" i="7"/>
  <c r="U327" i="7"/>
  <c r="S327" i="7"/>
  <c r="G388" i="7"/>
  <c r="G14" i="7"/>
  <c r="M213" i="7"/>
  <c r="Q213" i="7"/>
  <c r="M22" i="7"/>
  <c r="O343" i="7"/>
  <c r="M404" i="7"/>
  <c r="I274" i="7"/>
  <c r="I22" i="7"/>
  <c r="I175" i="7"/>
  <c r="I302" i="7"/>
  <c r="K343" i="7"/>
  <c r="K274" i="7"/>
  <c r="G175" i="7"/>
  <c r="Q175" i="7"/>
  <c r="U274" i="7"/>
  <c r="U22" i="7"/>
  <c r="I412" i="7"/>
  <c r="Q274" i="7"/>
  <c r="Q22" i="7"/>
  <c r="I367" i="7"/>
  <c r="I404" i="7"/>
  <c r="AF643" i="6"/>
  <c r="S274" i="7"/>
  <c r="O12" i="12"/>
  <c r="Q12" i="12"/>
  <c r="K1" i="13"/>
  <c r="L8" i="13" s="1"/>
  <c r="R208" i="7"/>
  <c r="R265" i="7" s="1"/>
  <c r="T3" i="4"/>
  <c r="I16" i="15"/>
  <c r="J3" i="4"/>
  <c r="AN3" i="5"/>
  <c r="R6" i="7"/>
  <c r="R100" i="7"/>
  <c r="R154" i="7" s="1"/>
  <c r="F2" i="8"/>
  <c r="O3" i="11"/>
  <c r="AD3" i="4"/>
  <c r="O3" i="5"/>
  <c r="Y3" i="5"/>
  <c r="AS3" i="5"/>
  <c r="H19" i="16"/>
  <c r="R9" i="7"/>
  <c r="R51" i="7" s="1"/>
  <c r="AI3" i="4"/>
  <c r="O3" i="4"/>
  <c r="M4" i="12"/>
  <c r="AI3" i="5"/>
  <c r="J3" i="5"/>
  <c r="N8" i="14"/>
  <c r="R322" i="7"/>
  <c r="R379" i="7" s="1"/>
  <c r="R436" i="7" s="1"/>
  <c r="G3" i="9"/>
  <c r="AN3" i="4"/>
  <c r="AS3" i="4"/>
  <c r="Y3" i="4"/>
  <c r="T3" i="5"/>
  <c r="AD3" i="5"/>
  <c r="AE11" i="8"/>
  <c r="AK11" i="8" s="1"/>
  <c r="AG445" i="6"/>
  <c r="AE280" i="6"/>
  <c r="AG104" i="6"/>
  <c r="AI863" i="6"/>
  <c r="AH1072" i="6"/>
  <c r="AH291" i="6"/>
  <c r="AH126" i="6"/>
  <c r="AF335" i="6"/>
  <c r="AE313" i="6"/>
  <c r="AJ961" i="6"/>
  <c r="AF1072" i="6"/>
  <c r="Q351" i="7"/>
  <c r="AE346" i="6"/>
  <c r="AG368" i="6"/>
  <c r="AF478" i="6"/>
  <c r="AF82" i="6"/>
  <c r="AG335" i="6"/>
  <c r="AE478" i="6"/>
  <c r="AE665" i="6"/>
  <c r="AF434" i="6"/>
  <c r="AF346" i="6"/>
  <c r="AF368" i="6"/>
  <c r="AG126" i="6"/>
  <c r="AH148" i="6"/>
  <c r="AF225" i="6"/>
  <c r="M367" i="7"/>
  <c r="AH170" i="6"/>
  <c r="AG401" i="6"/>
  <c r="AG1072" i="6"/>
  <c r="AF38" i="6"/>
  <c r="AH269" i="6"/>
  <c r="AH423" i="6"/>
  <c r="AE566" i="6"/>
  <c r="AH258" i="6"/>
  <c r="AH49" i="6"/>
  <c r="AG819" i="6"/>
  <c r="AG676" i="6"/>
  <c r="AF1061" i="6"/>
  <c r="AG511" i="6"/>
  <c r="AH412" i="6"/>
  <c r="AH511" i="6"/>
  <c r="AF566" i="6"/>
  <c r="AG489" i="6"/>
  <c r="AH588" i="6"/>
  <c r="AF379" i="6"/>
  <c r="AF324" i="6"/>
  <c r="AE423" i="6"/>
  <c r="AE258" i="6"/>
  <c r="AE49" i="6"/>
  <c r="AH676" i="6"/>
  <c r="AI885" i="6"/>
  <c r="AJ916" i="6"/>
  <c r="AF489" i="6"/>
  <c r="AE588" i="6"/>
  <c r="AF423" i="6"/>
  <c r="AF258" i="6"/>
  <c r="AF49" i="6"/>
  <c r="AE676" i="6"/>
  <c r="AJ817" i="6"/>
  <c r="AJ917" i="6"/>
  <c r="AF995" i="6"/>
  <c r="AG357" i="6"/>
  <c r="AJ806" i="6"/>
  <c r="AJ905" i="6"/>
  <c r="AJ872" i="6"/>
  <c r="AG907" i="6"/>
  <c r="AG93" i="6"/>
  <c r="AG247" i="6"/>
  <c r="AF863" i="6"/>
  <c r="AE863" i="6"/>
  <c r="AH907" i="6"/>
  <c r="AH687" i="6"/>
  <c r="AH610" i="6"/>
  <c r="AH577" i="6"/>
  <c r="AG731" i="6"/>
  <c r="AH764" i="6"/>
  <c r="AH698" i="6"/>
  <c r="AH632" i="6"/>
  <c r="AG709" i="6"/>
  <c r="AE742" i="6"/>
  <c r="AG687" i="6"/>
  <c r="AG698" i="6"/>
  <c r="AF93" i="6"/>
  <c r="AH599" i="6"/>
  <c r="AI1105" i="6"/>
  <c r="AH797" i="6"/>
  <c r="AH1105" i="6"/>
  <c r="AG797" i="6"/>
  <c r="AE599" i="6"/>
  <c r="AE610" i="6"/>
  <c r="AE577" i="6"/>
  <c r="AE632" i="6"/>
  <c r="AF599" i="6"/>
  <c r="AF610" i="6"/>
  <c r="AF577" i="6"/>
  <c r="AF632" i="6"/>
  <c r="AJ927" i="6"/>
  <c r="M327" i="7"/>
  <c r="M274" i="7"/>
  <c r="AF940" i="6"/>
  <c r="U16" i="12"/>
  <c r="K32" i="12"/>
  <c r="I28" i="12"/>
  <c r="K28" i="12"/>
  <c r="Q16" i="12"/>
  <c r="O16" i="12"/>
  <c r="AF852" i="6"/>
  <c r="K351" i="7"/>
  <c r="AG38" i="6"/>
  <c r="AH27" i="6"/>
  <c r="AE269" i="6"/>
  <c r="AG643" i="6"/>
  <c r="AG434" i="6"/>
  <c r="AG82" i="6"/>
  <c r="AG225" i="6"/>
  <c r="AF60" i="6"/>
  <c r="AI880" i="6"/>
  <c r="AJ913" i="6"/>
  <c r="Y51" i="8"/>
  <c r="AE51" i="8" s="1"/>
  <c r="O351" i="7"/>
  <c r="AE753" i="6"/>
  <c r="AE115" i="6"/>
  <c r="AF269" i="6"/>
  <c r="AH643" i="6"/>
  <c r="AH434" i="6"/>
  <c r="AH82" i="6"/>
  <c r="AH225" i="6"/>
  <c r="AG60" i="6"/>
  <c r="AJ880" i="6"/>
  <c r="AJ892" i="6"/>
  <c r="AG973" i="6"/>
  <c r="K408" i="7"/>
  <c r="I408" i="7"/>
  <c r="AF753" i="6"/>
  <c r="AF115" i="6"/>
  <c r="AF445" i="6"/>
  <c r="AG1028" i="6"/>
  <c r="S408" i="7"/>
  <c r="AF731" i="6"/>
  <c r="AF742" i="6"/>
  <c r="AE291" i="6"/>
  <c r="AF665" i="6"/>
  <c r="AE148" i="6"/>
  <c r="AG214" i="6"/>
  <c r="AE401" i="6"/>
  <c r="AF280" i="6"/>
  <c r="AE1061" i="6"/>
  <c r="AF874" i="6"/>
  <c r="M298" i="7"/>
  <c r="AF27" i="6"/>
  <c r="AH731" i="6"/>
  <c r="AE511" i="6"/>
  <c r="AG742" i="6"/>
  <c r="AG566" i="6"/>
  <c r="AE709" i="6"/>
  <c r="AH489" i="6"/>
  <c r="AF764" i="6"/>
  <c r="AF588" i="6"/>
  <c r="AH38" i="6"/>
  <c r="AG753" i="6"/>
  <c r="AF291" i="6"/>
  <c r="AG115" i="6"/>
  <c r="AG478" i="6"/>
  <c r="AE126" i="6"/>
  <c r="AG665" i="6"/>
  <c r="AH445" i="6"/>
  <c r="AF148" i="6"/>
  <c r="AF181" i="6"/>
  <c r="AH654" i="6"/>
  <c r="AF401" i="6"/>
  <c r="AE104" i="6"/>
  <c r="AH60" i="6"/>
  <c r="AJ928" i="6"/>
  <c r="AJ934" i="6"/>
  <c r="AJ939" i="6"/>
  <c r="AJ946" i="6"/>
  <c r="AG1105" i="6"/>
  <c r="AF1105" i="6"/>
  <c r="AE797" i="6"/>
  <c r="AG533" i="6"/>
  <c r="AG984" i="6"/>
  <c r="AE874" i="6"/>
  <c r="AE940" i="6"/>
  <c r="AG775" i="6"/>
  <c r="AG841" i="6"/>
  <c r="J18" i="14"/>
  <c r="J26" i="14" s="1"/>
  <c r="K26" i="14" s="1"/>
  <c r="AD181" i="15"/>
  <c r="AH709" i="6"/>
  <c r="AE764" i="6"/>
  <c r="AG654" i="6"/>
  <c r="AG203" i="6"/>
  <c r="AG1083" i="6"/>
  <c r="AG940" i="6"/>
  <c r="S298" i="7"/>
  <c r="AE27" i="6"/>
  <c r="AG236" i="6"/>
  <c r="AF654" i="6"/>
  <c r="AH280" i="6"/>
  <c r="AF104" i="6"/>
  <c r="AJ914" i="6"/>
  <c r="AH533" i="6"/>
  <c r="AH984" i="6"/>
  <c r="AE819" i="6"/>
  <c r="AH775" i="6"/>
  <c r="J14" i="14"/>
  <c r="J22" i="14" s="1"/>
  <c r="K22" i="14" s="1"/>
  <c r="I24" i="12"/>
  <c r="M28" i="12"/>
  <c r="K20" i="12"/>
  <c r="AH1028" i="6"/>
  <c r="AH841" i="6"/>
  <c r="AE1028" i="6"/>
  <c r="AF841" i="6"/>
  <c r="AH192" i="6"/>
  <c r="AF390" i="6"/>
  <c r="AF302" i="6"/>
  <c r="AF720" i="6"/>
  <c r="AE137" i="6"/>
  <c r="AE379" i="6"/>
  <c r="AF357" i="6"/>
  <c r="AG412" i="6"/>
  <c r="AE467" i="6"/>
  <c r="AE500" i="6"/>
  <c r="AJ879" i="6"/>
  <c r="AI879" i="6"/>
  <c r="AJ873" i="6"/>
  <c r="AI896" i="6"/>
  <c r="AH159" i="6"/>
  <c r="AE390" i="6"/>
  <c r="AE720" i="6"/>
  <c r="AF71" i="6"/>
  <c r="AE621" i="6"/>
  <c r="AG456" i="6"/>
  <c r="AJ918" i="6"/>
  <c r="S4" i="12"/>
  <c r="L9" i="7"/>
  <c r="L51" i="7" s="1"/>
  <c r="L208" i="7"/>
  <c r="L265" i="7" s="1"/>
  <c r="L322" i="7"/>
  <c r="L379" i="7" s="1"/>
  <c r="L436" i="7" s="1"/>
  <c r="L100" i="7"/>
  <c r="L154" i="7" s="1"/>
  <c r="AG522" i="6"/>
  <c r="AF808" i="6"/>
  <c r="AG1017" i="6"/>
  <c r="G950" i="6"/>
  <c r="AJ907" i="6"/>
  <c r="AJ951" i="6"/>
  <c r="E3" i="9"/>
  <c r="AD176" i="15"/>
  <c r="AJ940" i="6"/>
  <c r="AG1061" i="6"/>
  <c r="AG874" i="6"/>
  <c r="AE1094" i="6"/>
  <c r="M2" i="8"/>
  <c r="G961" i="6"/>
  <c r="AG13" i="5"/>
  <c r="AD142" i="15" s="1"/>
  <c r="M65" i="5"/>
  <c r="M47" i="5"/>
  <c r="M29" i="5"/>
  <c r="M13" i="5"/>
  <c r="Z142" i="15" s="1"/>
  <c r="AQ65" i="5"/>
  <c r="AQ47" i="5"/>
  <c r="AQ29" i="5"/>
  <c r="AF142" i="15"/>
  <c r="AL47" i="4"/>
  <c r="G962" i="6" s="1"/>
  <c r="P961" i="6" s="1"/>
  <c r="Q254" i="7" s="1"/>
  <c r="AL29" i="4"/>
  <c r="AE171" i="15" s="1"/>
  <c r="AL65" i="4"/>
  <c r="G973" i="6" s="1"/>
  <c r="P973" i="6" s="1"/>
  <c r="S368" i="7" s="1"/>
  <c r="AB65" i="4"/>
  <c r="G971" i="6" s="1"/>
  <c r="P971" i="6" s="1"/>
  <c r="O368" i="7" s="1"/>
  <c r="AB47" i="4"/>
  <c r="G960" i="6" s="1"/>
  <c r="P960" i="6" s="1"/>
  <c r="O254" i="7" s="1"/>
  <c r="AB29" i="4"/>
  <c r="AC171" i="15" s="1"/>
  <c r="W65" i="5"/>
  <c r="W47" i="5"/>
  <c r="W29" i="5"/>
  <c r="W13" i="5"/>
  <c r="AB142" i="15" s="1"/>
  <c r="R47" i="4"/>
  <c r="G958" i="6" s="1"/>
  <c r="R29" i="4"/>
  <c r="AA171" i="15" s="1"/>
  <c r="R65" i="4"/>
  <c r="G969" i="6" s="1"/>
  <c r="AQ65" i="4"/>
  <c r="G974" i="6" s="1"/>
  <c r="AQ47" i="4"/>
  <c r="AQ29" i="4"/>
  <c r="R65" i="5"/>
  <c r="R47" i="5"/>
  <c r="R29" i="5"/>
  <c r="R13" i="5"/>
  <c r="AA142" i="15" s="1"/>
  <c r="AB65" i="5"/>
  <c r="AB47" i="5"/>
  <c r="AB29" i="5"/>
  <c r="AB13" i="5"/>
  <c r="AC142" i="15" s="1"/>
  <c r="W65" i="4"/>
  <c r="G970" i="6" s="1"/>
  <c r="W47" i="4"/>
  <c r="G959" i="6" s="1"/>
  <c r="W29" i="4"/>
  <c r="AB171" i="15" s="1"/>
  <c r="M29" i="4"/>
  <c r="Z171" i="15" s="1"/>
  <c r="M65" i="4"/>
  <c r="G968" i="6" s="1"/>
  <c r="P968" i="6" s="1"/>
  <c r="I368" i="7" s="1"/>
  <c r="M47" i="4"/>
  <c r="G957" i="6" s="1"/>
  <c r="H65" i="4"/>
  <c r="G967" i="6" s="1"/>
  <c r="H47" i="4"/>
  <c r="G956" i="6" s="1"/>
  <c r="P956" i="6" s="1"/>
  <c r="G254" i="7" s="1"/>
  <c r="H29" i="4"/>
  <c r="Y171" i="15" s="1"/>
  <c r="AL65" i="5"/>
  <c r="AL47" i="5"/>
  <c r="AL29" i="5"/>
  <c r="AL13" i="5"/>
  <c r="AE142" i="15" s="1"/>
  <c r="H65" i="5"/>
  <c r="H47" i="5"/>
  <c r="H29" i="5"/>
  <c r="H13" i="5"/>
  <c r="Y142" i="15" s="1"/>
  <c r="G298" i="7"/>
  <c r="I351" i="7"/>
  <c r="M351" i="7"/>
  <c r="L6" i="7"/>
  <c r="AE522" i="6"/>
  <c r="AE1017" i="6"/>
  <c r="AE808" i="6"/>
  <c r="AF973" i="6"/>
  <c r="AH1094" i="6"/>
  <c r="M408" i="7"/>
  <c r="G408" i="7"/>
  <c r="Q408" i="7"/>
  <c r="AH335" i="6"/>
  <c r="AG346" i="6"/>
  <c r="AF313" i="6"/>
  <c r="AH368" i="6"/>
  <c r="AG379" i="6"/>
  <c r="AG390" i="6"/>
  <c r="AH357" i="6"/>
  <c r="AE412" i="6"/>
  <c r="AE687" i="6"/>
  <c r="AE698" i="6"/>
  <c r="AH93" i="6"/>
  <c r="AG720" i="6"/>
  <c r="AJ960" i="6"/>
  <c r="AJ924" i="6"/>
  <c r="AJ935" i="6"/>
  <c r="AJ949" i="6"/>
  <c r="AF522" i="6"/>
  <c r="AF907" i="6"/>
  <c r="AH1017" i="6"/>
  <c r="AG863" i="6"/>
  <c r="AG808" i="6"/>
  <c r="AE533" i="6"/>
  <c r="AE984" i="6"/>
  <c r="AH973" i="6"/>
  <c r="AF819" i="6"/>
  <c r="AF1094" i="6"/>
  <c r="AE775" i="6"/>
  <c r="AI808" i="6"/>
  <c r="AJ906" i="6"/>
  <c r="AG896" i="6"/>
  <c r="AG951" i="6"/>
  <c r="I213" i="7"/>
  <c r="M179" i="7"/>
  <c r="I416" i="7"/>
  <c r="Q416" i="7"/>
  <c r="I14" i="7"/>
  <c r="AH962" i="6"/>
  <c r="AG1039" i="6"/>
  <c r="AG929" i="6"/>
  <c r="AE918" i="6"/>
  <c r="AH885" i="6"/>
  <c r="AJ938" i="6"/>
  <c r="AJ894" i="6"/>
  <c r="AJ895" i="6"/>
  <c r="AE555" i="6"/>
  <c r="AH830" i="6"/>
  <c r="I388" i="7"/>
  <c r="O408" i="7"/>
  <c r="G302" i="7"/>
  <c r="S302" i="7"/>
  <c r="G351" i="7"/>
  <c r="AE159" i="6"/>
  <c r="AE170" i="6"/>
  <c r="AF137" i="6"/>
  <c r="AE192" i="6"/>
  <c r="AF467" i="6"/>
  <c r="AG302" i="6"/>
  <c r="AF500" i="6"/>
  <c r="AG324" i="6"/>
  <c r="AH214" i="6"/>
  <c r="AG181" i="6"/>
  <c r="AH236" i="6"/>
  <c r="AH247" i="6"/>
  <c r="AG71" i="6"/>
  <c r="AF621" i="6"/>
  <c r="AH456" i="6"/>
  <c r="AH203" i="6"/>
  <c r="V792" i="6"/>
  <c r="AJ902" i="6"/>
  <c r="AJ929" i="6"/>
  <c r="AI830" i="6"/>
  <c r="AH1083" i="6"/>
  <c r="AE962" i="6"/>
  <c r="AH1039" i="6"/>
  <c r="AG918" i="6"/>
  <c r="AG555" i="6"/>
  <c r="AG995" i="6"/>
  <c r="AE929" i="6"/>
  <c r="AF885" i="6"/>
  <c r="AF830" i="6"/>
  <c r="AE1006" i="6"/>
  <c r="O18" i="7"/>
  <c r="G60" i="7"/>
  <c r="O298" i="7"/>
  <c r="S351" i="7"/>
  <c r="AF159" i="6"/>
  <c r="AF170" i="6"/>
  <c r="AG137" i="6"/>
  <c r="AF192" i="6"/>
  <c r="AG467" i="6"/>
  <c r="AH302" i="6"/>
  <c r="AG500" i="6"/>
  <c r="AH324" i="6"/>
  <c r="AE214" i="6"/>
  <c r="AH181" i="6"/>
  <c r="AE236" i="6"/>
  <c r="AE247" i="6"/>
  <c r="AH71" i="6"/>
  <c r="AG621" i="6"/>
  <c r="AE456" i="6"/>
  <c r="AE203" i="6"/>
  <c r="AJ957" i="6"/>
  <c r="V773" i="6"/>
  <c r="O362" i="7" s="1"/>
  <c r="U770" i="6"/>
  <c r="U792" i="6"/>
  <c r="P813" i="6"/>
  <c r="AJ950" i="6"/>
  <c r="AE1083" i="6"/>
  <c r="AF962" i="6"/>
  <c r="AE1039" i="6"/>
  <c r="AH918" i="6"/>
  <c r="AH555" i="6"/>
  <c r="AH995" i="6"/>
  <c r="AH929" i="6"/>
  <c r="AE885" i="6"/>
  <c r="AE830" i="6"/>
  <c r="AG1050" i="6"/>
  <c r="AG852" i="6"/>
  <c r="G294" i="7"/>
  <c r="U404" i="7"/>
  <c r="AJ962" i="6"/>
  <c r="P794" i="6"/>
  <c r="P850" i="6"/>
  <c r="AI848" i="6"/>
  <c r="P937" i="6"/>
  <c r="M425" i="7" s="1"/>
  <c r="AH1050" i="6"/>
  <c r="AF1006" i="6"/>
  <c r="I270" i="7"/>
  <c r="K18" i="7"/>
  <c r="S388" i="7"/>
  <c r="U772" i="6"/>
  <c r="V533" i="6"/>
  <c r="AE1050" i="6"/>
  <c r="AG1006" i="6"/>
  <c r="J12" i="14"/>
  <c r="J20" i="14" s="1"/>
  <c r="K20" i="14" s="1"/>
  <c r="Q56" i="7"/>
  <c r="S213" i="7"/>
  <c r="Q404" i="7"/>
  <c r="P825" i="6"/>
  <c r="P838" i="6"/>
  <c r="P863" i="6"/>
  <c r="V783" i="6"/>
  <c r="M423" i="7" s="1"/>
  <c r="U343" i="7"/>
  <c r="U179" i="7"/>
  <c r="S229" i="7"/>
  <c r="P795" i="6"/>
  <c r="U784" i="6"/>
  <c r="V784" i="6"/>
  <c r="O423" i="7" s="1"/>
  <c r="U803" i="6"/>
  <c r="P893" i="6"/>
  <c r="M41" i="7" s="1"/>
  <c r="P827" i="6"/>
  <c r="P846" i="6"/>
  <c r="G56" i="7"/>
  <c r="I171" i="7"/>
  <c r="Q191" i="7"/>
  <c r="G191" i="7"/>
  <c r="K56" i="7"/>
  <c r="Q412" i="7"/>
  <c r="S416" i="7"/>
  <c r="AI891" i="6"/>
  <c r="S171" i="7"/>
  <c r="S294" i="7"/>
  <c r="U400" i="7"/>
  <c r="M400" i="7"/>
  <c r="I229" i="7"/>
  <c r="K22" i="7"/>
  <c r="G179" i="7"/>
  <c r="U347" i="7"/>
  <c r="M270" i="7"/>
  <c r="U18" i="7"/>
  <c r="O278" i="7"/>
  <c r="M113" i="7"/>
  <c r="O233" i="7"/>
  <c r="Q233" i="7"/>
  <c r="I195" i="7"/>
  <c r="AF544" i="6"/>
  <c r="AH896" i="6"/>
  <c r="M195" i="7"/>
  <c r="AG544" i="6"/>
  <c r="AG786" i="6"/>
  <c r="S22" i="7"/>
  <c r="Q294" i="7"/>
  <c r="G68" i="7"/>
  <c r="K412" i="7"/>
  <c r="S412" i="7"/>
  <c r="K302" i="7"/>
  <c r="M416" i="7"/>
  <c r="M302" i="7"/>
  <c r="M68" i="7"/>
  <c r="K355" i="7"/>
  <c r="G310" i="7"/>
  <c r="I137" i="7"/>
  <c r="J17" i="14"/>
  <c r="J25" i="14" s="1"/>
  <c r="K25" i="14" s="1"/>
  <c r="G141" i="7"/>
  <c r="O412" i="7"/>
  <c r="G129" i="7"/>
  <c r="O141" i="7"/>
  <c r="K327" i="7"/>
  <c r="G404" i="7"/>
  <c r="S121" i="7"/>
  <c r="U294" i="7"/>
  <c r="M412" i="7"/>
  <c r="O302" i="7"/>
  <c r="O68" i="7"/>
  <c r="Q68" i="7"/>
  <c r="U359" i="7"/>
  <c r="S129" i="7"/>
  <c r="M140" i="7"/>
  <c r="Q420" i="7"/>
  <c r="G420" i="7"/>
  <c r="G133" i="7"/>
  <c r="O249" i="7"/>
  <c r="O359" i="7"/>
  <c r="O137" i="7"/>
  <c r="O363" i="7"/>
  <c r="O253" i="7"/>
  <c r="S141" i="7"/>
  <c r="M133" i="7"/>
  <c r="Q249" i="7"/>
  <c r="M363" i="7"/>
  <c r="Q424" i="7"/>
  <c r="Q367" i="7"/>
  <c r="G367" i="7"/>
  <c r="K179" i="7"/>
  <c r="I179" i="7"/>
  <c r="S64" i="7"/>
  <c r="I347" i="7"/>
  <c r="S68" i="7"/>
  <c r="G183" i="7"/>
  <c r="U68" i="7"/>
  <c r="U133" i="7"/>
  <c r="U187" i="7"/>
  <c r="S362" i="7"/>
  <c r="S138" i="7"/>
  <c r="S364" i="7"/>
  <c r="Q364" i="7"/>
  <c r="K133" i="7"/>
  <c r="K420" i="7"/>
  <c r="S133" i="7"/>
  <c r="S249" i="7"/>
  <c r="S359" i="7"/>
  <c r="S137" i="7"/>
  <c r="S363" i="7"/>
  <c r="S253" i="7"/>
  <c r="Q133" i="7"/>
  <c r="I359" i="7"/>
  <c r="M137" i="7"/>
  <c r="Q363" i="7"/>
  <c r="I141" i="7"/>
  <c r="K367" i="7"/>
  <c r="S367" i="7"/>
  <c r="Q14" i="7"/>
  <c r="O270" i="7"/>
  <c r="O384" i="7"/>
  <c r="K159" i="7"/>
  <c r="M384" i="7"/>
  <c r="M388" i="7"/>
  <c r="Q278" i="7"/>
  <c r="S113" i="7"/>
  <c r="Q343" i="7"/>
  <c r="S175" i="7"/>
  <c r="Q179" i="7"/>
  <c r="K60" i="7"/>
  <c r="O171" i="7"/>
  <c r="O294" i="7"/>
  <c r="Q400" i="7"/>
  <c r="O229" i="7"/>
  <c r="K121" i="7"/>
  <c r="O179" i="7"/>
  <c r="Q60" i="7"/>
  <c r="M171" i="7"/>
  <c r="O22" i="7"/>
  <c r="M294" i="7"/>
  <c r="Q121" i="7"/>
  <c r="O347" i="7"/>
  <c r="G347" i="7"/>
  <c r="G64" i="7"/>
  <c r="Q241" i="7"/>
  <c r="M233" i="7"/>
  <c r="M347" i="7"/>
  <c r="I241" i="7"/>
  <c r="G241" i="7"/>
  <c r="U183" i="7"/>
  <c r="K416" i="7"/>
  <c r="I68" i="7"/>
  <c r="G416" i="7"/>
  <c r="U191" i="7"/>
  <c r="U249" i="7"/>
  <c r="K187" i="7"/>
  <c r="I129" i="7"/>
  <c r="I245" i="7"/>
  <c r="M129" i="7"/>
  <c r="O191" i="7"/>
  <c r="M355" i="7"/>
  <c r="Q362" i="7"/>
  <c r="O140" i="7"/>
  <c r="Q140" i="7"/>
  <c r="Q366" i="7"/>
  <c r="V538" i="6"/>
  <c r="I420" i="7"/>
  <c r="O420" i="7"/>
  <c r="G249" i="7"/>
  <c r="G359" i="7"/>
  <c r="G137" i="7"/>
  <c r="G363" i="7"/>
  <c r="K141" i="7"/>
  <c r="I249" i="7"/>
  <c r="M359" i="7"/>
  <c r="M141" i="7"/>
  <c r="O367" i="7"/>
  <c r="S179" i="7"/>
  <c r="U60" i="7"/>
  <c r="K347" i="7"/>
  <c r="U121" i="7"/>
  <c r="K68" i="7"/>
  <c r="S140" i="7"/>
  <c r="S366" i="7"/>
  <c r="O366" i="7"/>
  <c r="M366" i="7"/>
  <c r="M420" i="7"/>
  <c r="O133" i="7"/>
  <c r="S420" i="7"/>
  <c r="K249" i="7"/>
  <c r="K359" i="7"/>
  <c r="K137" i="7"/>
  <c r="K363" i="7"/>
  <c r="K253" i="7"/>
  <c r="I133" i="7"/>
  <c r="M249" i="7"/>
  <c r="Q359" i="7"/>
  <c r="I363" i="7"/>
  <c r="Q141" i="7"/>
  <c r="P938" i="6"/>
  <c r="O425" i="7" s="1"/>
  <c r="P839" i="6"/>
  <c r="M12" i="12"/>
  <c r="S28" i="12"/>
  <c r="V838" i="6"/>
  <c r="U838" i="6"/>
  <c r="M20" i="12"/>
  <c r="Y11" i="13"/>
  <c r="U529" i="6"/>
  <c r="G327" i="7"/>
  <c r="S270" i="7"/>
  <c r="S384" i="7"/>
  <c r="Q136" i="7"/>
  <c r="G274" i="7"/>
  <c r="K229" i="7"/>
  <c r="K298" i="7"/>
  <c r="S355" i="7"/>
  <c r="P532" i="6"/>
  <c r="G163" i="7"/>
  <c r="O404" i="7"/>
  <c r="K183" i="7"/>
  <c r="M26" i="7"/>
  <c r="O26" i="7"/>
  <c r="Q129" i="7"/>
  <c r="S245" i="7"/>
  <c r="S195" i="7"/>
  <c r="S14" i="7"/>
  <c r="U388" i="7"/>
  <c r="O129" i="7"/>
  <c r="K310" i="7"/>
  <c r="M14" i="7"/>
  <c r="Q18" i="7"/>
  <c r="K278" i="7"/>
  <c r="I113" i="7"/>
  <c r="M343" i="7"/>
  <c r="M121" i="7"/>
  <c r="K233" i="7"/>
  <c r="I298" i="7"/>
  <c r="Q125" i="7"/>
  <c r="K191" i="7"/>
  <c r="Q137" i="7"/>
  <c r="I56" i="7"/>
  <c r="M159" i="7"/>
  <c r="G213" i="7"/>
  <c r="K14" i="7"/>
  <c r="O56" i="7"/>
  <c r="O159" i="7"/>
  <c r="Q270" i="7"/>
  <c r="Q384" i="7"/>
  <c r="Q388" i="7"/>
  <c r="Q163" i="7"/>
  <c r="Q109" i="7"/>
  <c r="S18" i="7"/>
  <c r="U278" i="7"/>
  <c r="G217" i="7"/>
  <c r="K388" i="7"/>
  <c r="K163" i="7"/>
  <c r="K109" i="7"/>
  <c r="I18" i="7"/>
  <c r="K217" i="7"/>
  <c r="S278" i="7"/>
  <c r="Q113" i="7"/>
  <c r="O60" i="7"/>
  <c r="O121" i="7"/>
  <c r="S343" i="7"/>
  <c r="O175" i="7"/>
  <c r="Q171" i="7"/>
  <c r="O400" i="7"/>
  <c r="Q229" i="7"/>
  <c r="I121" i="7"/>
  <c r="K64" i="7"/>
  <c r="U241" i="7"/>
  <c r="S404" i="7"/>
  <c r="S233" i="7"/>
  <c r="G125" i="7"/>
  <c r="M64" i="7"/>
  <c r="Q347" i="7"/>
  <c r="Q298" i="7"/>
  <c r="K241" i="7"/>
  <c r="I125" i="7"/>
  <c r="I183" i="7"/>
  <c r="O125" i="7"/>
  <c r="O183" i="7"/>
  <c r="I26" i="7"/>
  <c r="K129" i="7"/>
  <c r="I191" i="7"/>
  <c r="O187" i="7"/>
  <c r="M245" i="7"/>
  <c r="Q26" i="7"/>
  <c r="S191" i="7"/>
  <c r="Q355" i="7"/>
  <c r="U129" i="7"/>
  <c r="G355" i="7"/>
  <c r="M252" i="7"/>
  <c r="O252" i="7"/>
  <c r="V531" i="6"/>
  <c r="P533" i="6"/>
  <c r="G424" i="7"/>
  <c r="G253" i="7"/>
  <c r="O310" i="7"/>
  <c r="Q195" i="7"/>
  <c r="I424" i="7"/>
  <c r="M253" i="7"/>
  <c r="I310" i="7"/>
  <c r="K195" i="7"/>
  <c r="AC956" i="6"/>
  <c r="AJ956" i="6" s="1"/>
  <c r="I255" i="7"/>
  <c r="G255" i="7"/>
  <c r="O255" i="7"/>
  <c r="M255" i="7"/>
  <c r="J16" i="14"/>
  <c r="J24" i="14" s="1"/>
  <c r="K24" i="14" s="1"/>
  <c r="M56" i="7"/>
  <c r="Q159" i="7"/>
  <c r="O213" i="7"/>
  <c r="S56" i="7"/>
  <c r="S159" i="7"/>
  <c r="K213" i="7"/>
  <c r="U270" i="7"/>
  <c r="U14" i="7"/>
  <c r="U213" i="7"/>
  <c r="U56" i="7"/>
  <c r="U163" i="7"/>
  <c r="U109" i="7"/>
  <c r="I278" i="7"/>
  <c r="K113" i="7"/>
  <c r="O388" i="7"/>
  <c r="O163" i="7"/>
  <c r="O109" i="7"/>
  <c r="M18" i="7"/>
  <c r="O217" i="7"/>
  <c r="G18" i="7"/>
  <c r="U113" i="7"/>
  <c r="I343" i="7"/>
  <c r="M175" i="7"/>
  <c r="I400" i="7"/>
  <c r="S60" i="7"/>
  <c r="G343" i="7"/>
  <c r="G400" i="7"/>
  <c r="G229" i="7"/>
  <c r="I60" i="7"/>
  <c r="U171" i="7"/>
  <c r="S400" i="7"/>
  <c r="U229" i="7"/>
  <c r="O64" i="7"/>
  <c r="G121" i="7"/>
  <c r="Q64" i="7"/>
  <c r="U412" i="7"/>
  <c r="U233" i="7"/>
  <c r="U298" i="7"/>
  <c r="M125" i="7"/>
  <c r="M183" i="7"/>
  <c r="G26" i="7"/>
  <c r="S125" i="7"/>
  <c r="S183" i="7"/>
  <c r="Q187" i="7"/>
  <c r="M191" i="7"/>
  <c r="O355" i="7"/>
  <c r="Q245" i="7"/>
  <c r="U26" i="7"/>
  <c r="S187" i="7"/>
  <c r="G245" i="7"/>
  <c r="U355" i="7"/>
  <c r="G187" i="7"/>
  <c r="K245" i="7"/>
  <c r="O250" i="7"/>
  <c r="S250" i="7"/>
  <c r="P531" i="6"/>
  <c r="V532" i="6"/>
  <c r="K424" i="7"/>
  <c r="S310" i="7"/>
  <c r="M424" i="7"/>
  <c r="Q253" i="7"/>
  <c r="M310" i="7"/>
  <c r="O195" i="7"/>
  <c r="AC912" i="6"/>
  <c r="AJ912" i="6" s="1"/>
  <c r="K198" i="7"/>
  <c r="I198" i="7"/>
  <c r="G198" i="7"/>
  <c r="M198" i="7"/>
  <c r="K255" i="7"/>
  <c r="G159" i="7"/>
  <c r="G270" i="7"/>
  <c r="I384" i="7"/>
  <c r="I163" i="7"/>
  <c r="I109" i="7"/>
  <c r="M278" i="7"/>
  <c r="O113" i="7"/>
  <c r="S163" i="7"/>
  <c r="S109" i="7"/>
  <c r="S217" i="7"/>
  <c r="G171" i="7"/>
  <c r="K171" i="7"/>
  <c r="K294" i="7"/>
  <c r="K404" i="7"/>
  <c r="M60" i="7"/>
  <c r="I294" i="7"/>
  <c r="I64" i="7"/>
  <c r="S347" i="7"/>
  <c r="U64" i="7"/>
  <c r="G233" i="7"/>
  <c r="Q183" i="7"/>
  <c r="G412" i="7"/>
  <c r="S26" i="7"/>
  <c r="U245" i="7"/>
  <c r="I355" i="7"/>
  <c r="K26" i="7"/>
  <c r="M187" i="7"/>
  <c r="O245" i="7"/>
  <c r="S423" i="7"/>
  <c r="O424" i="7"/>
  <c r="Q310" i="7"/>
  <c r="AC967" i="6"/>
  <c r="AE967" i="6" s="1"/>
  <c r="I369" i="7"/>
  <c r="O426" i="7"/>
  <c r="G426" i="7"/>
  <c r="G369" i="7"/>
  <c r="M426" i="7"/>
  <c r="M369" i="7"/>
  <c r="K426" i="7"/>
  <c r="K369" i="7"/>
  <c r="Q426" i="7"/>
  <c r="I426" i="7"/>
  <c r="AC945" i="6"/>
  <c r="AJ945" i="6" s="1"/>
  <c r="K144" i="7"/>
  <c r="Q144" i="7"/>
  <c r="I144" i="7"/>
  <c r="O144" i="7"/>
  <c r="G144" i="7"/>
  <c r="M144" i="7"/>
  <c r="U555" i="6"/>
  <c r="J13" i="14"/>
  <c r="J21" i="14" s="1"/>
  <c r="K21" i="14" s="1"/>
  <c r="P939" i="6"/>
  <c r="Q425" i="7" s="1"/>
  <c r="I159" i="7"/>
  <c r="K270" i="7"/>
  <c r="K384" i="7"/>
  <c r="M163" i="7"/>
  <c r="M109" i="7"/>
  <c r="G109" i="7"/>
  <c r="G278" i="7"/>
  <c r="K175" i="7"/>
  <c r="K400" i="7"/>
  <c r="M229" i="7"/>
  <c r="K125" i="7"/>
  <c r="I187" i="7"/>
  <c r="S194" i="7"/>
  <c r="S252" i="7"/>
  <c r="S424" i="7"/>
  <c r="I253" i="7"/>
  <c r="G195" i="7"/>
  <c r="AC923" i="6"/>
  <c r="AJ923" i="6" s="1"/>
  <c r="K312" i="7"/>
  <c r="Q312" i="7"/>
  <c r="G312" i="7"/>
  <c r="M312" i="7"/>
  <c r="AC901" i="6"/>
  <c r="AJ901" i="6" s="1"/>
  <c r="K91" i="7"/>
  <c r="I91" i="7"/>
  <c r="O91" i="7"/>
  <c r="G91" i="7"/>
  <c r="M91" i="7"/>
  <c r="J15" i="14"/>
  <c r="J23" i="14" s="1"/>
  <c r="K23" i="14" s="1"/>
  <c r="U521" i="6"/>
  <c r="U551" i="6"/>
  <c r="K12" i="12"/>
  <c r="U20" i="12"/>
  <c r="O24" i="12"/>
  <c r="I20" i="12"/>
  <c r="P772" i="6"/>
  <c r="P862" i="6"/>
  <c r="P803" i="6"/>
  <c r="U773" i="6"/>
  <c r="U794" i="6"/>
  <c r="U858" i="6"/>
  <c r="V858" i="6"/>
  <c r="P824" i="6"/>
  <c r="U836" i="6"/>
  <c r="V803" i="6"/>
  <c r="AU967" i="6"/>
  <c r="AT967" i="6"/>
  <c r="P780" i="6"/>
  <c r="I78" i="11"/>
  <c r="J78" i="11" s="1"/>
  <c r="V772" i="6"/>
  <c r="M362" i="7" s="1"/>
  <c r="P857" i="6"/>
  <c r="L13" i="14"/>
  <c r="L21" i="14"/>
  <c r="AI807" i="6"/>
  <c r="AI791" i="6"/>
  <c r="U862" i="6"/>
  <c r="V860" i="6"/>
  <c r="P517" i="6"/>
  <c r="AH951" i="6"/>
  <c r="AH786" i="6"/>
  <c r="L26" i="14"/>
  <c r="L18" i="14"/>
  <c r="L17" i="14"/>
  <c r="L25" i="14"/>
  <c r="L24" i="14"/>
  <c r="L16" i="14"/>
  <c r="P770" i="6"/>
  <c r="P796" i="6"/>
  <c r="AI852" i="6"/>
  <c r="U522" i="6"/>
  <c r="AH544" i="6"/>
  <c r="AE951" i="6"/>
  <c r="AF896" i="6"/>
  <c r="AE786" i="6"/>
  <c r="AE852" i="6"/>
  <c r="L20" i="14"/>
  <c r="L12" i="14"/>
  <c r="L23" i="14"/>
  <c r="L15" i="14"/>
  <c r="L19" i="14"/>
  <c r="L11" i="14"/>
  <c r="P773" i="6"/>
  <c r="P792" i="6"/>
  <c r="AI522" i="6"/>
  <c r="U519" i="6"/>
  <c r="L22" i="14"/>
  <c r="L14" i="14"/>
  <c r="K11" i="14"/>
  <c r="L7" i="13"/>
  <c r="Z13" i="13"/>
  <c r="Z12" i="13"/>
  <c r="Y15" i="13"/>
  <c r="Z15" i="13"/>
  <c r="Z16" i="13"/>
  <c r="Y17" i="13"/>
  <c r="Y10" i="13"/>
  <c r="Z11" i="13"/>
  <c r="Z14" i="13"/>
  <c r="Z10" i="13"/>
  <c r="Y13" i="13"/>
  <c r="Y14" i="13"/>
  <c r="Y16" i="13"/>
  <c r="Z17" i="13"/>
  <c r="K19" i="14"/>
  <c r="AI836" i="6"/>
  <c r="V825" i="6"/>
  <c r="V847" i="6"/>
  <c r="AI775" i="6"/>
  <c r="P860" i="6"/>
  <c r="V836" i="6"/>
  <c r="P805" i="6"/>
  <c r="AI802" i="6"/>
  <c r="P774" i="6"/>
  <c r="P817" i="6"/>
  <c r="P858" i="6"/>
  <c r="P861" i="6"/>
  <c r="P836" i="6"/>
  <c r="P835" i="6"/>
  <c r="AI947" i="6"/>
  <c r="P847" i="6"/>
  <c r="AI870" i="6"/>
  <c r="P891" i="6"/>
  <c r="I41" i="7" s="1"/>
  <c r="AI892" i="6"/>
  <c r="V543" i="6"/>
  <c r="U552" i="6"/>
  <c r="AI555" i="6"/>
  <c r="AB18" i="15"/>
  <c r="L19" i="13"/>
  <c r="L11" i="13"/>
  <c r="AC5" i="7"/>
  <c r="AC50" i="7"/>
  <c r="AC264" i="7"/>
  <c r="AC435" i="7"/>
  <c r="AC321" i="7"/>
  <c r="AC99" i="7"/>
  <c r="AC207" i="7"/>
  <c r="AC378" i="7"/>
  <c r="AC153" i="7"/>
  <c r="Q5" i="9"/>
  <c r="X7" i="7"/>
  <c r="X101" i="7"/>
  <c r="X323" i="7"/>
  <c r="X380" i="7"/>
  <c r="X155" i="7"/>
  <c r="X266" i="7"/>
  <c r="X437" i="7"/>
  <c r="X52" i="7"/>
  <c r="X209" i="7"/>
  <c r="AC18" i="15"/>
  <c r="L18" i="13"/>
  <c r="L10" i="13"/>
  <c r="Z7" i="7"/>
  <c r="Z101" i="7"/>
  <c r="Z437" i="7"/>
  <c r="Z323" i="7"/>
  <c r="Z155" i="7"/>
  <c r="Z52" i="7"/>
  <c r="Z380" i="7"/>
  <c r="Z209" i="7"/>
  <c r="Z266" i="7"/>
  <c r="P802" i="6"/>
  <c r="G250" i="7" s="1"/>
  <c r="V770" i="6"/>
  <c r="U861" i="6"/>
  <c r="F439" i="7"/>
  <c r="H4" i="6"/>
  <c r="AB435" i="7"/>
  <c r="AB5" i="7"/>
  <c r="AB207" i="7"/>
  <c r="AB50" i="7"/>
  <c r="AB264" i="7"/>
  <c r="AB378" i="7"/>
  <c r="AB321" i="7"/>
  <c r="AB99" i="7"/>
  <c r="AB153" i="7"/>
  <c r="AB323" i="7"/>
  <c r="AB7" i="7"/>
  <c r="AB266" i="7"/>
  <c r="AB209" i="7"/>
  <c r="AB437" i="7"/>
  <c r="AB101" i="7"/>
  <c r="AB380" i="7"/>
  <c r="AB52" i="7"/>
  <c r="AB155" i="7"/>
  <c r="AA18" i="15"/>
  <c r="L24" i="13"/>
  <c r="L16" i="13"/>
  <c r="H12" i="15"/>
  <c r="J15" i="13"/>
  <c r="J23" i="13" s="1"/>
  <c r="W52" i="7"/>
  <c r="W7" i="7"/>
  <c r="W101" i="7"/>
  <c r="W437" i="7"/>
  <c r="W380" i="7"/>
  <c r="W266" i="7"/>
  <c r="W323" i="7"/>
  <c r="W209" i="7"/>
  <c r="W155" i="7"/>
  <c r="X435" i="7"/>
  <c r="X5" i="7"/>
  <c r="X378" i="7"/>
  <c r="X99" i="7"/>
  <c r="X153" i="7"/>
  <c r="X207" i="7"/>
  <c r="X50" i="7"/>
  <c r="X321" i="7"/>
  <c r="X264" i="7"/>
  <c r="AD50" i="7"/>
  <c r="AD5" i="7"/>
  <c r="AD99" i="7"/>
  <c r="AD378" i="7"/>
  <c r="AD321" i="7"/>
  <c r="AD435" i="7"/>
  <c r="AD264" i="7"/>
  <c r="AD207" i="7"/>
  <c r="AD153" i="7"/>
  <c r="AA207" i="7"/>
  <c r="AA153" i="7"/>
  <c r="AA378" i="7"/>
  <c r="AA5" i="7"/>
  <c r="AA264" i="7"/>
  <c r="AA321" i="7"/>
  <c r="AA99" i="7"/>
  <c r="AA50" i="7"/>
  <c r="AA435" i="7"/>
  <c r="L22" i="13"/>
  <c r="Y18" i="15"/>
  <c r="L14" i="13"/>
  <c r="AA17" i="15"/>
  <c r="J16" i="13"/>
  <c r="H7" i="15"/>
  <c r="AC7" i="7"/>
  <c r="AC437" i="7"/>
  <c r="AC52" i="7"/>
  <c r="AC155" i="7"/>
  <c r="AC209" i="7"/>
  <c r="AC323" i="7"/>
  <c r="AC266" i="7"/>
  <c r="AC380" i="7"/>
  <c r="AC101" i="7"/>
  <c r="AI769" i="6"/>
  <c r="P769" i="6"/>
  <c r="P775" i="6"/>
  <c r="V794" i="6"/>
  <c r="I77" i="11"/>
  <c r="J77" i="11" s="1"/>
  <c r="P791" i="6"/>
  <c r="G134" i="7" s="1"/>
  <c r="P797" i="6"/>
  <c r="S134" i="7" s="1"/>
  <c r="U860" i="6"/>
  <c r="V861" i="6"/>
  <c r="O309" i="7" s="1"/>
  <c r="V862" i="6"/>
  <c r="AI841" i="6"/>
  <c r="U825" i="6"/>
  <c r="AJ825" i="6" s="1"/>
  <c r="P849" i="6"/>
  <c r="U847" i="6"/>
  <c r="P890" i="6"/>
  <c r="G41" i="7" s="1"/>
  <c r="P894" i="6"/>
  <c r="O41" i="7" s="1"/>
  <c r="AI544" i="6"/>
  <c r="P550" i="6"/>
  <c r="V555" i="6"/>
  <c r="D4" i="6"/>
  <c r="I4" i="6" s="1"/>
  <c r="Z50" i="7"/>
  <c r="Z378" i="7"/>
  <c r="Z5" i="7"/>
  <c r="Z321" i="7"/>
  <c r="Z207" i="7"/>
  <c r="Z264" i="7"/>
  <c r="Z99" i="7"/>
  <c r="Z435" i="7"/>
  <c r="Z153" i="7"/>
  <c r="AA7" i="7"/>
  <c r="AA266" i="7"/>
  <c r="AA101" i="7"/>
  <c r="AA209" i="7"/>
  <c r="AA52" i="7"/>
  <c r="AA437" i="7"/>
  <c r="AA155" i="7"/>
  <c r="AA323" i="7"/>
  <c r="AA380" i="7"/>
  <c r="L25" i="13"/>
  <c r="AE18" i="15"/>
  <c r="L17" i="13"/>
  <c r="Y17" i="15"/>
  <c r="H5" i="15"/>
  <c r="J14" i="13"/>
  <c r="Z17" i="15"/>
  <c r="H6" i="15"/>
  <c r="J13" i="13"/>
  <c r="AB17" i="15"/>
  <c r="H8" i="15"/>
  <c r="J11" i="13"/>
  <c r="W207" i="7"/>
  <c r="W5" i="7"/>
  <c r="W99" i="7"/>
  <c r="W153" i="7"/>
  <c r="W264" i="7"/>
  <c r="W50" i="7"/>
  <c r="W321" i="7"/>
  <c r="W435" i="7"/>
  <c r="W378" i="7"/>
  <c r="AI770" i="6"/>
  <c r="AI862" i="6"/>
  <c r="AI890" i="6"/>
  <c r="AD18" i="15"/>
  <c r="L20" i="13"/>
  <c r="L12" i="13"/>
  <c r="C4" i="6"/>
  <c r="H10" i="15"/>
  <c r="AD17" i="15"/>
  <c r="J12" i="13"/>
  <c r="H9" i="15"/>
  <c r="J10" i="13"/>
  <c r="AC17" i="15"/>
  <c r="Y207" i="7"/>
  <c r="Y5" i="7"/>
  <c r="Y435" i="7"/>
  <c r="Y99" i="7"/>
  <c r="Y378" i="7"/>
  <c r="Y321" i="7"/>
  <c r="Y50" i="7"/>
  <c r="Y153" i="7"/>
  <c r="Y264" i="7"/>
  <c r="AD7" i="7"/>
  <c r="AD52" i="7"/>
  <c r="AD209" i="7"/>
  <c r="AD380" i="7"/>
  <c r="AD266" i="7"/>
  <c r="AD323" i="7"/>
  <c r="AD155" i="7"/>
  <c r="AD437" i="7"/>
  <c r="AD101" i="7"/>
  <c r="Z18" i="15"/>
  <c r="L21" i="13"/>
  <c r="L13" i="13"/>
  <c r="AF18" i="15"/>
  <c r="L23" i="13"/>
  <c r="L15" i="13"/>
  <c r="Y7" i="7"/>
  <c r="Y437" i="7"/>
  <c r="Y101" i="7"/>
  <c r="Y155" i="7"/>
  <c r="Y380" i="7"/>
  <c r="Y209" i="7"/>
  <c r="Y266" i="7"/>
  <c r="Y52" i="7"/>
  <c r="Y323" i="7"/>
  <c r="H11" i="15"/>
  <c r="J17" i="13"/>
  <c r="AJ774" i="6"/>
  <c r="AI829" i="6"/>
  <c r="AJ885" i="6"/>
  <c r="AJ884" i="6"/>
  <c r="AI884" i="6"/>
  <c r="U785" i="6"/>
  <c r="P786" i="6"/>
  <c r="AI874" i="6"/>
  <c r="P869" i="6"/>
  <c r="P871" i="6"/>
  <c r="V869" i="6"/>
  <c r="V814" i="6"/>
  <c r="P783" i="6"/>
  <c r="U783" i="6"/>
  <c r="AJ785" i="6" s="1"/>
  <c r="P785" i="6"/>
  <c r="Q421" i="7" s="1"/>
  <c r="P784" i="6"/>
  <c r="P868" i="6"/>
  <c r="P873" i="6"/>
  <c r="Q138" i="7" s="1"/>
  <c r="V892" i="6"/>
  <c r="V785" i="6"/>
  <c r="AI846" i="6"/>
  <c r="P814" i="6"/>
  <c r="AI780" i="6"/>
  <c r="U781" i="6"/>
  <c r="V781" i="6"/>
  <c r="AI786" i="6"/>
  <c r="AI824" i="6"/>
  <c r="U869" i="6"/>
  <c r="AI813" i="6"/>
  <c r="P816" i="6"/>
  <c r="U814" i="6"/>
  <c r="AJ818" i="6" s="1"/>
  <c r="P781" i="6"/>
  <c r="AI868" i="6"/>
  <c r="P872" i="6"/>
  <c r="O138" i="7" s="1"/>
  <c r="V958" i="6"/>
  <c r="U859" i="6"/>
  <c r="U958" i="6"/>
  <c r="AJ958" i="6" s="1"/>
  <c r="AI925" i="6"/>
  <c r="U925" i="6"/>
  <c r="AJ925" i="6" s="1"/>
  <c r="U936" i="6"/>
  <c r="AJ936" i="6" s="1"/>
  <c r="U804" i="6"/>
  <c r="AI815" i="6"/>
  <c r="AI903" i="6"/>
  <c r="AJ915" i="6"/>
  <c r="U826" i="6"/>
  <c r="AJ826" i="6" s="1"/>
  <c r="P936" i="6"/>
  <c r="K425" i="7" s="1"/>
  <c r="AI804" i="6"/>
  <c r="U815" i="6"/>
  <c r="AJ815" i="6" s="1"/>
  <c r="U837" i="6"/>
  <c r="AI838" i="6"/>
  <c r="V947" i="6"/>
  <c r="U782" i="6"/>
  <c r="P826" i="6"/>
  <c r="P870" i="6"/>
  <c r="AJ893" i="6"/>
  <c r="U771" i="6"/>
  <c r="U793" i="6"/>
  <c r="AI881" i="6"/>
  <c r="P881" i="6"/>
  <c r="U881" i="6"/>
  <c r="AJ881" i="6" s="1"/>
  <c r="V914" i="6"/>
  <c r="V936" i="6"/>
  <c r="U848" i="6"/>
  <c r="U870" i="6"/>
  <c r="P804" i="6"/>
  <c r="AI958" i="6"/>
  <c r="U903" i="6"/>
  <c r="AJ903" i="6" s="1"/>
  <c r="V903" i="6"/>
  <c r="AI914" i="6"/>
  <c r="U947" i="6"/>
  <c r="AJ947" i="6" s="1"/>
  <c r="P782" i="6"/>
  <c r="AI826" i="6"/>
  <c r="U518" i="6"/>
  <c r="V529" i="6"/>
  <c r="U540" i="6"/>
  <c r="V518" i="6"/>
  <c r="P551" i="6"/>
  <c r="P529" i="6"/>
  <c r="V528" i="6"/>
  <c r="U517" i="6"/>
  <c r="P539" i="6"/>
  <c r="V550" i="6"/>
  <c r="P935" i="6"/>
  <c r="I425" i="7" s="1"/>
  <c r="U528" i="6"/>
  <c r="AH783" i="6"/>
  <c r="AG783" i="6"/>
  <c r="AF783" i="6"/>
  <c r="AE783" i="6"/>
  <c r="AF838" i="6"/>
  <c r="AH838" i="6"/>
  <c r="AE838" i="6"/>
  <c r="AG838" i="6"/>
  <c r="AE893" i="6"/>
  <c r="AF893" i="6"/>
  <c r="AH893" i="6"/>
  <c r="AG893" i="6"/>
  <c r="AH937" i="6"/>
  <c r="AG937" i="6"/>
  <c r="AE937" i="6"/>
  <c r="AF937" i="6"/>
  <c r="AE992" i="6"/>
  <c r="AH992" i="6"/>
  <c r="AG992" i="6"/>
  <c r="AF992" i="6"/>
  <c r="AH926" i="6"/>
  <c r="AF926" i="6"/>
  <c r="AG926" i="6"/>
  <c r="AE926" i="6"/>
  <c r="AG1080" i="6"/>
  <c r="AF1080" i="6"/>
  <c r="AE1080" i="6"/>
  <c r="AH1080" i="6"/>
  <c r="AM1102" i="6"/>
  <c r="AK1102" i="6" s="1"/>
  <c r="AG1102" i="6"/>
  <c r="AN1102" i="6"/>
  <c r="AI1102" i="6"/>
  <c r="AJ1102" i="6"/>
  <c r="AE1102" i="6"/>
  <c r="AF1102" i="6"/>
  <c r="AH1102" i="6"/>
  <c r="AE530" i="6"/>
  <c r="AH530" i="6"/>
  <c r="AG530" i="6"/>
  <c r="AF530" i="6"/>
  <c r="AI533" i="6"/>
  <c r="AI538" i="6"/>
  <c r="AE9" i="8"/>
  <c r="AK9" i="8" s="1"/>
  <c r="Y22" i="8"/>
  <c r="AE22" i="8" s="1"/>
  <c r="P522" i="6"/>
  <c r="V527" i="6"/>
  <c r="V549" i="6"/>
  <c r="AI549" i="6"/>
  <c r="AI875" i="6"/>
  <c r="AE875" i="6"/>
  <c r="AF875" i="6"/>
  <c r="AH875" i="6"/>
  <c r="AG875" i="6"/>
  <c r="AF809" i="6"/>
  <c r="AH809" i="6"/>
  <c r="AG809" i="6"/>
  <c r="AI809" i="6"/>
  <c r="AE809" i="6"/>
  <c r="AH864" i="6"/>
  <c r="AG864" i="6"/>
  <c r="AI864" i="6"/>
  <c r="AE864" i="6"/>
  <c r="AF864" i="6"/>
  <c r="AE908" i="6"/>
  <c r="AH908" i="6"/>
  <c r="AJ908" i="6"/>
  <c r="AG908" i="6"/>
  <c r="AI908" i="6"/>
  <c r="AF908" i="6"/>
  <c r="AH963" i="6"/>
  <c r="AF963" i="6"/>
  <c r="AG963" i="6"/>
  <c r="AI963" i="6"/>
  <c r="AJ963" i="6"/>
  <c r="AE963" i="6"/>
  <c r="AE1018" i="6"/>
  <c r="AH1018" i="6"/>
  <c r="AG1018" i="6"/>
  <c r="AI1018" i="6"/>
  <c r="AF1018" i="6"/>
  <c r="AG1095" i="6"/>
  <c r="AI1095" i="6"/>
  <c r="AE1095" i="6"/>
  <c r="AF1095" i="6"/>
  <c r="AH1095" i="6"/>
  <c r="AI1073" i="6"/>
  <c r="AG1073" i="6"/>
  <c r="AE1073" i="6"/>
  <c r="AF1073" i="6"/>
  <c r="AH1073" i="6"/>
  <c r="AI556" i="6"/>
  <c r="AE556" i="6"/>
  <c r="AF556" i="6"/>
  <c r="AH556" i="6"/>
  <c r="AG556" i="6"/>
  <c r="Y25" i="8"/>
  <c r="AE25" i="8" s="1"/>
  <c r="AE12" i="8"/>
  <c r="AK12" i="8" s="1"/>
  <c r="AH846" i="6"/>
  <c r="AG846" i="6"/>
  <c r="AE846" i="6"/>
  <c r="AF846" i="6"/>
  <c r="AH890" i="6"/>
  <c r="AG890" i="6"/>
  <c r="AE890" i="6"/>
  <c r="AF890" i="6"/>
  <c r="AE769" i="6"/>
  <c r="AH769" i="6"/>
  <c r="AG769" i="6"/>
  <c r="AF769" i="6"/>
  <c r="AE791" i="6"/>
  <c r="AH791" i="6"/>
  <c r="AG791" i="6"/>
  <c r="AF791" i="6"/>
  <c r="AF1011" i="6"/>
  <c r="AE1011" i="6"/>
  <c r="AH1011" i="6"/>
  <c r="AG1011" i="6"/>
  <c r="AF934" i="6"/>
  <c r="AG934" i="6"/>
  <c r="AE934" i="6"/>
  <c r="AH934" i="6"/>
  <c r="AE989" i="6"/>
  <c r="AH989" i="6"/>
  <c r="AG989" i="6"/>
  <c r="AF989" i="6"/>
  <c r="AH1077" i="6"/>
  <c r="AG1077" i="6"/>
  <c r="AF1077" i="6"/>
  <c r="AE1077" i="6"/>
  <c r="AE527" i="6"/>
  <c r="AH527" i="6"/>
  <c r="AG527" i="6"/>
  <c r="AF527" i="6"/>
  <c r="AH538" i="6"/>
  <c r="AG538" i="6"/>
  <c r="AE538" i="6"/>
  <c r="AF538" i="6"/>
  <c r="AG792" i="6"/>
  <c r="AF792" i="6"/>
  <c r="AE792" i="6"/>
  <c r="AH792" i="6"/>
  <c r="AE847" i="6"/>
  <c r="AF847" i="6"/>
  <c r="AG847" i="6"/>
  <c r="AH847" i="6"/>
  <c r="AE858" i="6"/>
  <c r="AG858" i="6"/>
  <c r="AH858" i="6"/>
  <c r="AF858" i="6"/>
  <c r="AF946" i="6"/>
  <c r="AE946" i="6"/>
  <c r="AH946" i="6"/>
  <c r="AG946" i="6"/>
  <c r="AG1001" i="6"/>
  <c r="AF1001" i="6"/>
  <c r="AE1001" i="6"/>
  <c r="AH1001" i="6"/>
  <c r="AF1034" i="6"/>
  <c r="AE1034" i="6"/>
  <c r="AH1034" i="6"/>
  <c r="AG1034" i="6"/>
  <c r="AG1056" i="6"/>
  <c r="AF1056" i="6"/>
  <c r="AE1056" i="6"/>
  <c r="AH1056" i="6"/>
  <c r="AH550" i="6"/>
  <c r="AF550" i="6"/>
  <c r="AG550" i="6"/>
  <c r="AE550" i="6"/>
  <c r="AE39" i="8"/>
  <c r="AK39" i="8" s="1"/>
  <c r="Y53" i="8"/>
  <c r="AE53" i="8" s="1"/>
  <c r="AG804" i="6"/>
  <c r="AF804" i="6"/>
  <c r="AE804" i="6"/>
  <c r="AH804" i="6"/>
  <c r="AE815" i="6"/>
  <c r="AG815" i="6"/>
  <c r="AF815" i="6"/>
  <c r="AH815" i="6"/>
  <c r="AH870" i="6"/>
  <c r="AG870" i="6"/>
  <c r="AE870" i="6"/>
  <c r="AF870" i="6"/>
  <c r="AF914" i="6"/>
  <c r="AH914" i="6"/>
  <c r="AE914" i="6"/>
  <c r="AG914" i="6"/>
  <c r="AH969" i="6"/>
  <c r="AG969" i="6"/>
  <c r="AF969" i="6"/>
  <c r="AE969" i="6"/>
  <c r="AG903" i="6"/>
  <c r="AE903" i="6"/>
  <c r="AH903" i="6"/>
  <c r="AF903" i="6"/>
  <c r="AJ1101" i="6"/>
  <c r="AN1101" i="6"/>
  <c r="AL1101" i="6" s="1"/>
  <c r="AF1101" i="6"/>
  <c r="AH1101" i="6"/>
  <c r="AI1101" i="6"/>
  <c r="AG1101" i="6"/>
  <c r="AE1101" i="6"/>
  <c r="AM1101" i="6"/>
  <c r="AK1101" i="6" s="1"/>
  <c r="AG1079" i="6"/>
  <c r="AF1079" i="6"/>
  <c r="AE1079" i="6"/>
  <c r="AH1079" i="6"/>
  <c r="AG540" i="6"/>
  <c r="AF540" i="6"/>
  <c r="AE540" i="6"/>
  <c r="AH540" i="6"/>
  <c r="V517" i="6"/>
  <c r="V519" i="6"/>
  <c r="U530" i="6"/>
  <c r="U539" i="6"/>
  <c r="U550" i="6"/>
  <c r="AE806" i="6"/>
  <c r="AH806" i="6"/>
  <c r="AG806" i="6"/>
  <c r="AF806" i="6"/>
  <c r="AE817" i="6"/>
  <c r="AG817" i="6"/>
  <c r="AF817" i="6"/>
  <c r="AH817" i="6"/>
  <c r="AF872" i="6"/>
  <c r="AG872" i="6"/>
  <c r="AH872" i="6"/>
  <c r="AE872" i="6"/>
  <c r="AG916" i="6"/>
  <c r="AE916" i="6"/>
  <c r="AH916" i="6"/>
  <c r="AF916" i="6"/>
  <c r="AF971" i="6"/>
  <c r="AE971" i="6"/>
  <c r="AH971" i="6"/>
  <c r="AG971" i="6"/>
  <c r="AG905" i="6"/>
  <c r="AE905" i="6"/>
  <c r="AF905" i="6"/>
  <c r="AH905" i="6"/>
  <c r="AG1103" i="6"/>
  <c r="AI1103" i="6"/>
  <c r="AN1103" i="6"/>
  <c r="AL1103" i="6" s="1"/>
  <c r="AJ1103" i="6"/>
  <c r="AH1103" i="6"/>
  <c r="AF1103" i="6"/>
  <c r="AM1103" i="6"/>
  <c r="AK1103" i="6" s="1"/>
  <c r="AE1103" i="6"/>
  <c r="AE1081" i="6"/>
  <c r="AH1081" i="6"/>
  <c r="AG1081" i="6"/>
  <c r="AF1081" i="6"/>
  <c r="AF542" i="6"/>
  <c r="AE542" i="6"/>
  <c r="AG542" i="6"/>
  <c r="AH542" i="6"/>
  <c r="AF829" i="6"/>
  <c r="AH829" i="6"/>
  <c r="AE829" i="6"/>
  <c r="AG829" i="6"/>
  <c r="AH884" i="6"/>
  <c r="AF884" i="6"/>
  <c r="AG884" i="6"/>
  <c r="AE884" i="6"/>
  <c r="AF818" i="6"/>
  <c r="AH818" i="6"/>
  <c r="AE818" i="6"/>
  <c r="AG818" i="6"/>
  <c r="AF983" i="6"/>
  <c r="AE983" i="6"/>
  <c r="AH983" i="6"/>
  <c r="AG983" i="6"/>
  <c r="AF917" i="6"/>
  <c r="AH917" i="6"/>
  <c r="AG917" i="6"/>
  <c r="AE917" i="6"/>
  <c r="AF972" i="6"/>
  <c r="AE972" i="6"/>
  <c r="AH972" i="6"/>
  <c r="AG972" i="6"/>
  <c r="AG1049" i="6"/>
  <c r="AF1049" i="6"/>
  <c r="AE1049" i="6"/>
  <c r="AH1049" i="6"/>
  <c r="AG1027" i="6"/>
  <c r="AF1027" i="6"/>
  <c r="AE1027" i="6"/>
  <c r="AH1027" i="6"/>
  <c r="AF521" i="6"/>
  <c r="AG521" i="6"/>
  <c r="AH521" i="6"/>
  <c r="AE521" i="6"/>
  <c r="Y21" i="8"/>
  <c r="AE21" i="8" s="1"/>
  <c r="AE8" i="8"/>
  <c r="AK8" i="8" s="1"/>
  <c r="AF827" i="6"/>
  <c r="AH827" i="6"/>
  <c r="AE827" i="6"/>
  <c r="AG827" i="6"/>
  <c r="AG882" i="6"/>
  <c r="AE882" i="6"/>
  <c r="AH882" i="6"/>
  <c r="AF882" i="6"/>
  <c r="AG772" i="6"/>
  <c r="AF772" i="6"/>
  <c r="AE772" i="6"/>
  <c r="AH772" i="6"/>
  <c r="AG981" i="6"/>
  <c r="AF981" i="6"/>
  <c r="AE981" i="6"/>
  <c r="AH981" i="6"/>
  <c r="AF915" i="6"/>
  <c r="AH915" i="6"/>
  <c r="AG915" i="6"/>
  <c r="AE915" i="6"/>
  <c r="AH970" i="6"/>
  <c r="AG970" i="6"/>
  <c r="AF970" i="6"/>
  <c r="AE970" i="6"/>
  <c r="AE1047" i="6"/>
  <c r="AH1047" i="6"/>
  <c r="AG1047" i="6"/>
  <c r="AF1047" i="6"/>
  <c r="AE1025" i="6"/>
  <c r="AH1025" i="6"/>
  <c r="AG1025" i="6"/>
  <c r="AF1025" i="6"/>
  <c r="AE552" i="6"/>
  <c r="AG552" i="6"/>
  <c r="AH552" i="6"/>
  <c r="AF552" i="6"/>
  <c r="AI516" i="6"/>
  <c r="U527" i="6"/>
  <c r="AJ527" i="6" s="1"/>
  <c r="U542" i="6"/>
  <c r="V552" i="6"/>
  <c r="AE35" i="8"/>
  <c r="AK35" i="8" s="1"/>
  <c r="Y49" i="8"/>
  <c r="AE49" i="8" s="1"/>
  <c r="V520" i="6"/>
  <c r="P519" i="6"/>
  <c r="U531" i="6"/>
  <c r="P541" i="6"/>
  <c r="V544" i="6"/>
  <c r="U553" i="6"/>
  <c r="AF798" i="6"/>
  <c r="AH798" i="6"/>
  <c r="AG798" i="6"/>
  <c r="AI798" i="6"/>
  <c r="AE798" i="6"/>
  <c r="AF853" i="6"/>
  <c r="AE853" i="6"/>
  <c r="AG853" i="6"/>
  <c r="AI853" i="6"/>
  <c r="AH853" i="6"/>
  <c r="AG897" i="6"/>
  <c r="AI897" i="6"/>
  <c r="AH897" i="6"/>
  <c r="AE897" i="6"/>
  <c r="AF897" i="6"/>
  <c r="AH952" i="6"/>
  <c r="AF952" i="6"/>
  <c r="AG952" i="6"/>
  <c r="AE952" i="6"/>
  <c r="AJ952" i="6"/>
  <c r="AI952" i="6"/>
  <c r="AG1007" i="6"/>
  <c r="AI1007" i="6"/>
  <c r="AE1007" i="6"/>
  <c r="AF1007" i="6"/>
  <c r="AH1007" i="6"/>
  <c r="AE1040" i="6"/>
  <c r="AF1040" i="6"/>
  <c r="AH1040" i="6"/>
  <c r="AG1040" i="6"/>
  <c r="AI1040" i="6"/>
  <c r="AI1062" i="6"/>
  <c r="AG1062" i="6"/>
  <c r="AE1062" i="6"/>
  <c r="AF1062" i="6"/>
  <c r="AH1062" i="6"/>
  <c r="AI545" i="6"/>
  <c r="AG545" i="6"/>
  <c r="AE545" i="6"/>
  <c r="AF545" i="6"/>
  <c r="AH545" i="6"/>
  <c r="AE38" i="8"/>
  <c r="AK38" i="8" s="1"/>
  <c r="Y52" i="8"/>
  <c r="AE52" i="8" s="1"/>
  <c r="AH813" i="6"/>
  <c r="AG813" i="6"/>
  <c r="AF813" i="6"/>
  <c r="AE813" i="6"/>
  <c r="AE780" i="6"/>
  <c r="AH780" i="6"/>
  <c r="AG780" i="6"/>
  <c r="AF780" i="6"/>
  <c r="AF835" i="6"/>
  <c r="AG835" i="6"/>
  <c r="AE835" i="6"/>
  <c r="AH835" i="6"/>
  <c r="AE879" i="6"/>
  <c r="AG879" i="6"/>
  <c r="AF879" i="6"/>
  <c r="AH879" i="6"/>
  <c r="AF1033" i="6"/>
  <c r="AE1033" i="6"/>
  <c r="AH1033" i="6"/>
  <c r="AG1033" i="6"/>
  <c r="E29" i="9"/>
  <c r="E112" i="9"/>
  <c r="E158" i="9"/>
  <c r="E97" i="9"/>
  <c r="E75" i="9"/>
  <c r="E52" i="9"/>
  <c r="E134" i="9"/>
  <c r="AH549" i="6"/>
  <c r="AE549" i="6"/>
  <c r="AG549" i="6"/>
  <c r="AF549" i="6"/>
  <c r="AF781" i="6"/>
  <c r="AE781" i="6"/>
  <c r="AH781" i="6"/>
  <c r="AG781" i="6"/>
  <c r="AF836" i="6"/>
  <c r="AH836" i="6"/>
  <c r="AE836" i="6"/>
  <c r="AG836" i="6"/>
  <c r="AF891" i="6"/>
  <c r="AH891" i="6"/>
  <c r="AG891" i="6"/>
  <c r="AE891" i="6"/>
  <c r="AF935" i="6"/>
  <c r="AH935" i="6"/>
  <c r="AG935" i="6"/>
  <c r="AE935" i="6"/>
  <c r="AG990" i="6"/>
  <c r="AF990" i="6"/>
  <c r="AE990" i="6"/>
  <c r="AH990" i="6"/>
  <c r="AF924" i="6"/>
  <c r="AH924" i="6"/>
  <c r="AG924" i="6"/>
  <c r="AE924" i="6"/>
  <c r="AE1078" i="6"/>
  <c r="AH1078" i="6"/>
  <c r="AG1078" i="6"/>
  <c r="AF1078" i="6"/>
  <c r="AN1100" i="6"/>
  <c r="AL1100" i="6" s="1"/>
  <c r="AI1100" i="6"/>
  <c r="AE1100" i="6"/>
  <c r="AJ1100" i="6"/>
  <c r="AH1100" i="6"/>
  <c r="AF1100" i="6"/>
  <c r="AG1100" i="6"/>
  <c r="AM1100" i="6"/>
  <c r="AK1100" i="6" s="1"/>
  <c r="AF517" i="6"/>
  <c r="AG517" i="6"/>
  <c r="AE517" i="6"/>
  <c r="AH517" i="6"/>
  <c r="AE33" i="8"/>
  <c r="AK33" i="8" s="1"/>
  <c r="Y47" i="8"/>
  <c r="AE47" i="8" s="1"/>
  <c r="Y19" i="8"/>
  <c r="AE19" i="8" s="1"/>
  <c r="AE6" i="8"/>
  <c r="AK6" i="8" s="1"/>
  <c r="Y23" i="8"/>
  <c r="AE23" i="8" s="1"/>
  <c r="AE10" i="8"/>
  <c r="AK10" i="8" s="1"/>
  <c r="AH848" i="6"/>
  <c r="AG848" i="6"/>
  <c r="AF848" i="6"/>
  <c r="AE848" i="6"/>
  <c r="AG859" i="6"/>
  <c r="AH859" i="6"/>
  <c r="AF859" i="6"/>
  <c r="AE859" i="6"/>
  <c r="AH793" i="6"/>
  <c r="AG793" i="6"/>
  <c r="AF793" i="6"/>
  <c r="AE793" i="6"/>
  <c r="AH958" i="6"/>
  <c r="AG958" i="6"/>
  <c r="AF958" i="6"/>
  <c r="AE958" i="6"/>
  <c r="AF1013" i="6"/>
  <c r="AE1013" i="6"/>
  <c r="AH1013" i="6"/>
  <c r="AG1013" i="6"/>
  <c r="AH947" i="6"/>
  <c r="AG947" i="6"/>
  <c r="AF947" i="6"/>
  <c r="AE947" i="6"/>
  <c r="AF1024" i="6"/>
  <c r="AE1024" i="6"/>
  <c r="AH1024" i="6"/>
  <c r="AG1024" i="6"/>
  <c r="AG1046" i="6"/>
  <c r="AF1046" i="6"/>
  <c r="AE1046" i="6"/>
  <c r="AH1046" i="6"/>
  <c r="AE529" i="6"/>
  <c r="AH529" i="6"/>
  <c r="AF529" i="6"/>
  <c r="AG529" i="6"/>
  <c r="P518" i="6"/>
  <c r="P520" i="6"/>
  <c r="AI527" i="6"/>
  <c r="P527" i="6"/>
  <c r="V542" i="6"/>
  <c r="V539" i="6"/>
  <c r="V553" i="6"/>
  <c r="P553" i="6"/>
  <c r="AF850" i="6"/>
  <c r="AG850" i="6"/>
  <c r="AE850" i="6"/>
  <c r="AH850" i="6"/>
  <c r="AE861" i="6"/>
  <c r="AG861" i="6"/>
  <c r="AH861" i="6"/>
  <c r="AF861" i="6"/>
  <c r="AF795" i="6"/>
  <c r="AE795" i="6"/>
  <c r="AH795" i="6"/>
  <c r="AG795" i="6"/>
  <c r="AF960" i="6"/>
  <c r="AE960" i="6"/>
  <c r="AH960" i="6"/>
  <c r="AG960" i="6"/>
  <c r="AH1015" i="6"/>
  <c r="AG1015" i="6"/>
  <c r="AF1015" i="6"/>
  <c r="AE1015" i="6"/>
  <c r="AF949" i="6"/>
  <c r="AE949" i="6"/>
  <c r="AH949" i="6"/>
  <c r="AG949" i="6"/>
  <c r="AH1026" i="6"/>
  <c r="AG1026" i="6"/>
  <c r="AF1026" i="6"/>
  <c r="AE1026" i="6"/>
  <c r="AE1048" i="6"/>
  <c r="AH1048" i="6"/>
  <c r="AG1048" i="6"/>
  <c r="AF1048" i="6"/>
  <c r="AE520" i="6"/>
  <c r="AH520" i="6"/>
  <c r="AF520" i="6"/>
  <c r="AG520" i="6"/>
  <c r="AF873" i="6"/>
  <c r="AH873" i="6"/>
  <c r="AG873" i="6"/>
  <c r="AE873" i="6"/>
  <c r="AF807" i="6"/>
  <c r="AE807" i="6"/>
  <c r="AH807" i="6"/>
  <c r="AG807" i="6"/>
  <c r="AF862" i="6"/>
  <c r="AH862" i="6"/>
  <c r="AG862" i="6"/>
  <c r="AE862" i="6"/>
  <c r="AF906" i="6"/>
  <c r="AH906" i="6"/>
  <c r="AG906" i="6"/>
  <c r="AE906" i="6"/>
  <c r="AF961" i="6"/>
  <c r="AE961" i="6"/>
  <c r="AH961" i="6"/>
  <c r="AG961" i="6"/>
  <c r="AG1016" i="6"/>
  <c r="AF1016" i="6"/>
  <c r="AE1016" i="6"/>
  <c r="AH1016" i="6"/>
  <c r="AE1093" i="6"/>
  <c r="AH1093" i="6"/>
  <c r="AG1093" i="6"/>
  <c r="AF1093" i="6"/>
  <c r="AE1071" i="6"/>
  <c r="AH1071" i="6"/>
  <c r="AG1071" i="6"/>
  <c r="AF1071" i="6"/>
  <c r="AH554" i="6"/>
  <c r="AF554" i="6"/>
  <c r="AE554" i="6"/>
  <c r="AG554" i="6"/>
  <c r="AE34" i="8"/>
  <c r="AK34" i="8" s="1"/>
  <c r="Y48" i="8"/>
  <c r="AE48" i="8" s="1"/>
  <c r="AG871" i="6"/>
  <c r="AE871" i="6"/>
  <c r="AH871" i="6"/>
  <c r="AF871" i="6"/>
  <c r="AH805" i="6"/>
  <c r="AG805" i="6"/>
  <c r="AF805" i="6"/>
  <c r="AE805" i="6"/>
  <c r="AH816" i="6"/>
  <c r="AG816" i="6"/>
  <c r="AF816" i="6"/>
  <c r="AE816" i="6"/>
  <c r="AE904" i="6"/>
  <c r="AG904" i="6"/>
  <c r="AH904" i="6"/>
  <c r="AF904" i="6"/>
  <c r="AH959" i="6"/>
  <c r="AG959" i="6"/>
  <c r="AF959" i="6"/>
  <c r="AE959" i="6"/>
  <c r="AE1014" i="6"/>
  <c r="AH1014" i="6"/>
  <c r="AG1014" i="6"/>
  <c r="AF1014" i="6"/>
  <c r="AG1091" i="6"/>
  <c r="AF1091" i="6"/>
  <c r="AE1091" i="6"/>
  <c r="AH1091" i="6"/>
  <c r="AG1069" i="6"/>
  <c r="AF1069" i="6"/>
  <c r="AE1069" i="6"/>
  <c r="AH1069" i="6"/>
  <c r="AF519" i="6"/>
  <c r="AH519" i="6"/>
  <c r="AG519" i="6"/>
  <c r="AE519" i="6"/>
  <c r="U520" i="6"/>
  <c r="U533" i="6"/>
  <c r="AJ533" i="6" s="1"/>
  <c r="U543" i="6"/>
  <c r="P549" i="6"/>
  <c r="P521" i="6"/>
  <c r="U541" i="6"/>
  <c r="P542" i="6"/>
  <c r="P552" i="6"/>
  <c r="AF787" i="6"/>
  <c r="AH787" i="6"/>
  <c r="AG787" i="6"/>
  <c r="AI787" i="6"/>
  <c r="AE787" i="6"/>
  <c r="AG842" i="6"/>
  <c r="AH842" i="6"/>
  <c r="AF842" i="6"/>
  <c r="AE842" i="6"/>
  <c r="AF776" i="6"/>
  <c r="AH776" i="6"/>
  <c r="AG776" i="6"/>
  <c r="AI776" i="6"/>
  <c r="AE776" i="6"/>
  <c r="AH941" i="6"/>
  <c r="AJ941" i="6"/>
  <c r="AG941" i="6"/>
  <c r="AE941" i="6"/>
  <c r="AF941" i="6"/>
  <c r="AI941" i="6"/>
  <c r="AG996" i="6"/>
  <c r="AI996" i="6"/>
  <c r="AE996" i="6"/>
  <c r="AH996" i="6"/>
  <c r="AF996" i="6"/>
  <c r="AF930" i="6"/>
  <c r="AE930" i="6"/>
  <c r="AH930" i="6"/>
  <c r="AG930" i="6"/>
  <c r="AJ930" i="6"/>
  <c r="AI930" i="6"/>
  <c r="AI1084" i="6"/>
  <c r="AG1084" i="6"/>
  <c r="AE1084" i="6"/>
  <c r="AF1084" i="6"/>
  <c r="AH1084" i="6"/>
  <c r="AG1106" i="6"/>
  <c r="AI1106" i="6"/>
  <c r="AE1106" i="6"/>
  <c r="AF1106" i="6"/>
  <c r="AH1106" i="6"/>
  <c r="AI534" i="6"/>
  <c r="AH534" i="6"/>
  <c r="AF534" i="6"/>
  <c r="AG534" i="6"/>
  <c r="AE534" i="6"/>
  <c r="AG857" i="6"/>
  <c r="AH857" i="6"/>
  <c r="AF857" i="6"/>
  <c r="AE857" i="6"/>
  <c r="AH824" i="6"/>
  <c r="AG824" i="6"/>
  <c r="AF824" i="6"/>
  <c r="AE824" i="6"/>
  <c r="AH868" i="6"/>
  <c r="AG868" i="6"/>
  <c r="AE868" i="6"/>
  <c r="AF868" i="6"/>
  <c r="AF1000" i="6"/>
  <c r="AE1000" i="6"/>
  <c r="AH1000" i="6"/>
  <c r="AG1000" i="6"/>
  <c r="AH1099" i="6"/>
  <c r="AF1099" i="6"/>
  <c r="AM1099" i="6"/>
  <c r="AK1099" i="6" s="1"/>
  <c r="AE1099" i="6"/>
  <c r="AG1099" i="6"/>
  <c r="AN1099" i="6"/>
  <c r="AL1099" i="6" s="1"/>
  <c r="AJ1099" i="6"/>
  <c r="AH1066" i="6"/>
  <c r="AG1066" i="6"/>
  <c r="AF1066" i="6"/>
  <c r="AE1066" i="6"/>
  <c r="AG1088" i="6"/>
  <c r="AF1088" i="6"/>
  <c r="AE1088" i="6"/>
  <c r="AH1088" i="6"/>
  <c r="AF825" i="6"/>
  <c r="AH825" i="6"/>
  <c r="AE825" i="6"/>
  <c r="AG825" i="6"/>
  <c r="AE880" i="6"/>
  <c r="AF880" i="6"/>
  <c r="AH880" i="6"/>
  <c r="AG880" i="6"/>
  <c r="AF770" i="6"/>
  <c r="AE770" i="6"/>
  <c r="AH770" i="6"/>
  <c r="AG770" i="6"/>
  <c r="AF979" i="6"/>
  <c r="AE979" i="6"/>
  <c r="AH979" i="6"/>
  <c r="AG979" i="6"/>
  <c r="AF913" i="6"/>
  <c r="AH913" i="6"/>
  <c r="AG913" i="6"/>
  <c r="AE913" i="6"/>
  <c r="AF968" i="6"/>
  <c r="AE968" i="6"/>
  <c r="AH968" i="6"/>
  <c r="AG968" i="6"/>
  <c r="AG1045" i="6"/>
  <c r="AF1045" i="6"/>
  <c r="AE1045" i="6"/>
  <c r="AH1045" i="6"/>
  <c r="AG1023" i="6"/>
  <c r="AF1023" i="6"/>
  <c r="AE1023" i="6"/>
  <c r="AH1023" i="6"/>
  <c r="AE528" i="6"/>
  <c r="AH528" i="6"/>
  <c r="AF528" i="6"/>
  <c r="AG528" i="6"/>
  <c r="Y20" i="8"/>
  <c r="AE20" i="8" s="1"/>
  <c r="AE7" i="8"/>
  <c r="AK7" i="8" s="1"/>
  <c r="AE32" i="8"/>
  <c r="AK32" i="8" s="1"/>
  <c r="Y46" i="8"/>
  <c r="AE46" i="8" s="1"/>
  <c r="AE36" i="8"/>
  <c r="AK36" i="8" s="1"/>
  <c r="Y50" i="8"/>
  <c r="AE50" i="8" s="1"/>
  <c r="AH892" i="6"/>
  <c r="AG892" i="6"/>
  <c r="AE892" i="6"/>
  <c r="AF892" i="6"/>
  <c r="AG782" i="6"/>
  <c r="AF782" i="6"/>
  <c r="AE782" i="6"/>
  <c r="AH782" i="6"/>
  <c r="AH837" i="6"/>
  <c r="AE837" i="6"/>
  <c r="AG837" i="6"/>
  <c r="AF837" i="6"/>
  <c r="AF1002" i="6"/>
  <c r="AE1002" i="6"/>
  <c r="AH1002" i="6"/>
  <c r="AG1002" i="6"/>
  <c r="AG936" i="6"/>
  <c r="AH936" i="6"/>
  <c r="AE936" i="6"/>
  <c r="AF936" i="6"/>
  <c r="AF991" i="6"/>
  <c r="AE991" i="6"/>
  <c r="AH991" i="6"/>
  <c r="AG991" i="6"/>
  <c r="AG1068" i="6"/>
  <c r="AF1068" i="6"/>
  <c r="AE1068" i="6"/>
  <c r="AH1068" i="6"/>
  <c r="AE1090" i="6"/>
  <c r="AH1090" i="6"/>
  <c r="AG1090" i="6"/>
  <c r="AF1090" i="6"/>
  <c r="AG551" i="6"/>
  <c r="AE551" i="6"/>
  <c r="AH551" i="6"/>
  <c r="AF551" i="6"/>
  <c r="V516" i="6"/>
  <c r="AI521" i="6"/>
  <c r="P540" i="6"/>
  <c r="V541" i="6"/>
  <c r="U549" i="6"/>
  <c r="V551" i="6"/>
  <c r="AF894" i="6"/>
  <c r="AG894" i="6"/>
  <c r="AH894" i="6"/>
  <c r="AE894" i="6"/>
  <c r="AF784" i="6"/>
  <c r="AE784" i="6"/>
  <c r="AH784" i="6"/>
  <c r="AG784" i="6"/>
  <c r="AE839" i="6"/>
  <c r="AG839" i="6"/>
  <c r="AF839" i="6"/>
  <c r="AH839" i="6"/>
  <c r="AH1004" i="6"/>
  <c r="AG1004" i="6"/>
  <c r="AF1004" i="6"/>
  <c r="AE1004" i="6"/>
  <c r="AE938" i="6"/>
  <c r="AG938" i="6"/>
  <c r="AH938" i="6"/>
  <c r="AF938" i="6"/>
  <c r="AH993" i="6"/>
  <c r="AG993" i="6"/>
  <c r="AF993" i="6"/>
  <c r="AE993" i="6"/>
  <c r="AE1070" i="6"/>
  <c r="AH1070" i="6"/>
  <c r="AG1070" i="6"/>
  <c r="AF1070" i="6"/>
  <c r="AE1092" i="6"/>
  <c r="AH1092" i="6"/>
  <c r="AG1092" i="6"/>
  <c r="AF1092" i="6"/>
  <c r="AE553" i="6"/>
  <c r="AH553" i="6"/>
  <c r="AF553" i="6"/>
  <c r="AG553" i="6"/>
  <c r="AF796" i="6"/>
  <c r="AE796" i="6"/>
  <c r="AH796" i="6"/>
  <c r="AG796" i="6"/>
  <c r="AF851" i="6"/>
  <c r="AH851" i="6"/>
  <c r="AG851" i="6"/>
  <c r="AE851" i="6"/>
  <c r="AH895" i="6"/>
  <c r="AF895" i="6"/>
  <c r="AG895" i="6"/>
  <c r="AE895" i="6"/>
  <c r="AF950" i="6"/>
  <c r="AE950" i="6"/>
  <c r="AH950" i="6"/>
  <c r="AG950" i="6"/>
  <c r="AG1005" i="6"/>
  <c r="AF1005" i="6"/>
  <c r="AE1005" i="6"/>
  <c r="AH1005" i="6"/>
  <c r="AG1038" i="6"/>
  <c r="AF1038" i="6"/>
  <c r="AE1038" i="6"/>
  <c r="AH1038" i="6"/>
  <c r="AE1060" i="6"/>
  <c r="AH1060" i="6"/>
  <c r="AG1060" i="6"/>
  <c r="AF1060" i="6"/>
  <c r="AF543" i="6"/>
  <c r="AG543" i="6"/>
  <c r="AE543" i="6"/>
  <c r="AH543" i="6"/>
  <c r="AN6" i="6"/>
  <c r="W527" i="6" s="1"/>
  <c r="AM534" i="6" s="1"/>
  <c r="AK534" i="6" s="1"/>
  <c r="P5" i="9"/>
  <c r="B6" i="8"/>
  <c r="AH794" i="6"/>
  <c r="AG794" i="6"/>
  <c r="AF794" i="6"/>
  <c r="AE794" i="6"/>
  <c r="AF849" i="6"/>
  <c r="AH849" i="6"/>
  <c r="AG849" i="6"/>
  <c r="AE849" i="6"/>
  <c r="AG860" i="6"/>
  <c r="AH860" i="6"/>
  <c r="AF860" i="6"/>
  <c r="AE860" i="6"/>
  <c r="AH948" i="6"/>
  <c r="AG948" i="6"/>
  <c r="AF948" i="6"/>
  <c r="AE948" i="6"/>
  <c r="AE1003" i="6"/>
  <c r="AH1003" i="6"/>
  <c r="AG1003" i="6"/>
  <c r="AF1003" i="6"/>
  <c r="AE1036" i="6"/>
  <c r="AH1036" i="6"/>
  <c r="AG1036" i="6"/>
  <c r="AF1036" i="6"/>
  <c r="AG1058" i="6"/>
  <c r="AF1058" i="6"/>
  <c r="AE1058" i="6"/>
  <c r="AH1058" i="6"/>
  <c r="AH541" i="6"/>
  <c r="AG541" i="6"/>
  <c r="AF541" i="6"/>
  <c r="AE541" i="6"/>
  <c r="V522" i="6"/>
  <c r="P530" i="6"/>
  <c r="U544" i="6"/>
  <c r="P538" i="6"/>
  <c r="U554" i="6"/>
  <c r="P940" i="6"/>
  <c r="S425" i="7" s="1"/>
  <c r="V521" i="6"/>
  <c r="U516" i="6"/>
  <c r="V530" i="6"/>
  <c r="U532" i="6"/>
  <c r="AJ534" i="6" s="1"/>
  <c r="P543" i="6"/>
  <c r="P544" i="6"/>
  <c r="P555" i="6"/>
  <c r="V554" i="6"/>
  <c r="AE831" i="6"/>
  <c r="AH831" i="6"/>
  <c r="AF831" i="6"/>
  <c r="AI831" i="6"/>
  <c r="AG831" i="6"/>
  <c r="AI886" i="6"/>
  <c r="AH886" i="6"/>
  <c r="AE886" i="6"/>
  <c r="AF886" i="6"/>
  <c r="AJ886" i="6"/>
  <c r="AG886" i="6"/>
  <c r="AE820" i="6"/>
  <c r="AH820" i="6"/>
  <c r="AF820" i="6"/>
  <c r="AI820" i="6"/>
  <c r="AG820" i="6"/>
  <c r="AF985" i="6"/>
  <c r="AH985" i="6"/>
  <c r="AI985" i="6"/>
  <c r="AG985" i="6"/>
  <c r="AE985" i="6"/>
  <c r="AF919" i="6"/>
  <c r="AJ919" i="6"/>
  <c r="AG919" i="6"/>
  <c r="AI919" i="6"/>
  <c r="AE919" i="6"/>
  <c r="AH919" i="6"/>
  <c r="AH974" i="6"/>
  <c r="AF974" i="6"/>
  <c r="AG974" i="6"/>
  <c r="AE974" i="6"/>
  <c r="AI974" i="6"/>
  <c r="AI1051" i="6"/>
  <c r="AF1051" i="6"/>
  <c r="AH1051" i="6"/>
  <c r="AE1051" i="6"/>
  <c r="AG1051" i="6"/>
  <c r="AG1029" i="6"/>
  <c r="AI1029" i="6"/>
  <c r="AF1029" i="6"/>
  <c r="AE1029" i="6"/>
  <c r="AH1029" i="6"/>
  <c r="AH523" i="6"/>
  <c r="AF523" i="6"/>
  <c r="AI523" i="6"/>
  <c r="AJ523" i="6"/>
  <c r="AE523" i="6"/>
  <c r="AG523" i="6"/>
  <c r="AE802" i="6"/>
  <c r="AH802" i="6"/>
  <c r="AG802" i="6"/>
  <c r="AF802" i="6"/>
  <c r="AH978" i="6"/>
  <c r="AG978" i="6"/>
  <c r="AF978" i="6"/>
  <c r="AE978" i="6"/>
  <c r="AG1055" i="6"/>
  <c r="AF1055" i="6"/>
  <c r="AE1055" i="6"/>
  <c r="AH1055" i="6"/>
  <c r="AE1022" i="6"/>
  <c r="AH1022" i="6"/>
  <c r="AG1022" i="6"/>
  <c r="AF1022" i="6"/>
  <c r="AE1044" i="6"/>
  <c r="AH1044" i="6"/>
  <c r="AG1044" i="6"/>
  <c r="AF1044" i="6"/>
  <c r="AF516" i="6"/>
  <c r="AE516" i="6"/>
  <c r="AG516" i="6"/>
  <c r="AH516" i="6"/>
  <c r="AF869" i="6"/>
  <c r="AH869" i="6"/>
  <c r="AG869" i="6"/>
  <c r="AE869" i="6"/>
  <c r="AF803" i="6"/>
  <c r="AE803" i="6"/>
  <c r="AH803" i="6"/>
  <c r="AG803" i="6"/>
  <c r="AH814" i="6"/>
  <c r="AE814" i="6"/>
  <c r="AG814" i="6"/>
  <c r="AF814" i="6"/>
  <c r="AF902" i="6"/>
  <c r="AE902" i="6"/>
  <c r="AG902" i="6"/>
  <c r="AH902" i="6"/>
  <c r="AF957" i="6"/>
  <c r="AE957" i="6"/>
  <c r="AH957" i="6"/>
  <c r="AG957" i="6"/>
  <c r="AG1012" i="6"/>
  <c r="AF1012" i="6"/>
  <c r="AE1012" i="6"/>
  <c r="AH1012" i="6"/>
  <c r="AE1089" i="6"/>
  <c r="AH1089" i="6"/>
  <c r="AG1089" i="6"/>
  <c r="AF1089" i="6"/>
  <c r="AE1067" i="6"/>
  <c r="AH1067" i="6"/>
  <c r="AG1067" i="6"/>
  <c r="AF1067" i="6"/>
  <c r="AF539" i="6"/>
  <c r="AE539" i="6"/>
  <c r="AG539" i="6"/>
  <c r="AH539" i="6"/>
  <c r="AE13" i="8"/>
  <c r="AK13" i="8" s="1"/>
  <c r="Y26" i="8"/>
  <c r="AE26" i="8" s="1"/>
  <c r="AH771" i="6"/>
  <c r="AG771" i="6"/>
  <c r="AF771" i="6"/>
  <c r="AE771" i="6"/>
  <c r="AH826" i="6"/>
  <c r="AE826" i="6"/>
  <c r="AG826" i="6"/>
  <c r="AF826" i="6"/>
  <c r="AF881" i="6"/>
  <c r="AG881" i="6"/>
  <c r="AE881" i="6"/>
  <c r="AH881" i="6"/>
  <c r="AE925" i="6"/>
  <c r="AH925" i="6"/>
  <c r="AF925" i="6"/>
  <c r="AG925" i="6"/>
  <c r="AG980" i="6"/>
  <c r="AF980" i="6"/>
  <c r="AE980" i="6"/>
  <c r="AH980" i="6"/>
  <c r="AG1057" i="6"/>
  <c r="AF1057" i="6"/>
  <c r="AE1057" i="6"/>
  <c r="AH1057" i="6"/>
  <c r="AE1035" i="6"/>
  <c r="AH1035" i="6"/>
  <c r="AG1035" i="6"/>
  <c r="AF1035" i="6"/>
  <c r="AF518" i="6"/>
  <c r="AH518" i="6"/>
  <c r="AG518" i="6"/>
  <c r="AE518" i="6"/>
  <c r="P516" i="6"/>
  <c r="AI528" i="6"/>
  <c r="P528" i="6"/>
  <c r="V540" i="6"/>
  <c r="U538" i="6"/>
  <c r="AJ538" i="6" s="1"/>
  <c r="P554" i="6"/>
  <c r="P934" i="6"/>
  <c r="G425" i="7" s="1"/>
  <c r="AE773" i="6"/>
  <c r="AH773" i="6"/>
  <c r="AG773" i="6"/>
  <c r="AF773" i="6"/>
  <c r="AH828" i="6"/>
  <c r="AG828" i="6"/>
  <c r="AE828" i="6"/>
  <c r="AF828" i="6"/>
  <c r="AE883" i="6"/>
  <c r="AG883" i="6"/>
  <c r="AF883" i="6"/>
  <c r="AH883" i="6"/>
  <c r="AG927" i="6"/>
  <c r="AE927" i="6"/>
  <c r="AH927" i="6"/>
  <c r="AF927" i="6"/>
  <c r="AF982" i="6"/>
  <c r="AE982" i="6"/>
  <c r="AH982" i="6"/>
  <c r="AG982" i="6"/>
  <c r="AG1059" i="6"/>
  <c r="AF1059" i="6"/>
  <c r="AE1059" i="6"/>
  <c r="AH1059" i="6"/>
  <c r="AH1037" i="6"/>
  <c r="AG1037" i="6"/>
  <c r="AF1037" i="6"/>
  <c r="AE1037" i="6"/>
  <c r="AG531" i="6"/>
  <c r="AF531" i="6"/>
  <c r="AE531" i="6"/>
  <c r="AH531" i="6"/>
  <c r="AF785" i="6"/>
  <c r="AE785" i="6"/>
  <c r="AH785" i="6"/>
  <c r="AG785" i="6"/>
  <c r="AF840" i="6"/>
  <c r="AH840" i="6"/>
  <c r="AG840" i="6"/>
  <c r="AE840" i="6"/>
  <c r="AF774" i="6"/>
  <c r="AE774" i="6"/>
  <c r="AH774" i="6"/>
  <c r="AG774" i="6"/>
  <c r="AH939" i="6"/>
  <c r="AG939" i="6"/>
  <c r="AF939" i="6"/>
  <c r="AE939" i="6"/>
  <c r="AG994" i="6"/>
  <c r="AF994" i="6"/>
  <c r="AE994" i="6"/>
  <c r="AH994" i="6"/>
  <c r="AE928" i="6"/>
  <c r="AF928" i="6"/>
  <c r="AH928" i="6"/>
  <c r="AG928" i="6"/>
  <c r="AE1082" i="6"/>
  <c r="AH1082" i="6"/>
  <c r="AG1082" i="6"/>
  <c r="AF1082" i="6"/>
  <c r="AJ1104" i="6"/>
  <c r="AE1104" i="6"/>
  <c r="AH1104" i="6"/>
  <c r="AF1104" i="6"/>
  <c r="AG1104" i="6"/>
  <c r="AM1104" i="6"/>
  <c r="AK1104" i="6" s="1"/>
  <c r="AN1104" i="6"/>
  <c r="AL1104" i="6" s="1"/>
  <c r="AI1104" i="6"/>
  <c r="AE532" i="6"/>
  <c r="AF532" i="6"/>
  <c r="AH532" i="6"/>
  <c r="AG532" i="6"/>
  <c r="V802" i="6"/>
  <c r="V769" i="6"/>
  <c r="V791" i="6"/>
  <c r="U813" i="6"/>
  <c r="AJ813" i="6" s="1"/>
  <c r="V824" i="6"/>
  <c r="V846" i="6"/>
  <c r="V890" i="6"/>
  <c r="U802" i="6"/>
  <c r="AJ808" i="6" s="1"/>
  <c r="U857" i="6"/>
  <c r="AJ857" i="6" s="1"/>
  <c r="U824" i="6"/>
  <c r="AJ824" i="6" s="1"/>
  <c r="U846" i="6"/>
  <c r="AJ846" i="6" s="1"/>
  <c r="U868" i="6"/>
  <c r="AJ868" i="6" s="1"/>
  <c r="U890" i="6"/>
  <c r="AJ890" i="6" s="1"/>
  <c r="V835" i="6"/>
  <c r="U780" i="6"/>
  <c r="AJ786" i="6" s="1"/>
  <c r="U769" i="6"/>
  <c r="AJ769" i="6" s="1"/>
  <c r="U791" i="6"/>
  <c r="V813" i="6"/>
  <c r="V857" i="6"/>
  <c r="U835" i="6"/>
  <c r="V780" i="6"/>
  <c r="V868" i="6"/>
  <c r="C52" i="9"/>
  <c r="D955" i="6"/>
  <c r="D47" i="4"/>
  <c r="W43" i="3"/>
  <c r="V793" i="6"/>
  <c r="V815" i="6"/>
  <c r="P859" i="6"/>
  <c r="C439" i="7"/>
  <c r="V826" i="6"/>
  <c r="V804" i="6"/>
  <c r="V771" i="6"/>
  <c r="P815" i="6"/>
  <c r="V859" i="6"/>
  <c r="V881" i="6"/>
  <c r="H971" i="6"/>
  <c r="U971" i="6" s="1"/>
  <c r="AJ971" i="6" s="1"/>
  <c r="AI973" i="6"/>
  <c r="I973" i="6"/>
  <c r="V973" i="6" s="1"/>
  <c r="I969" i="6"/>
  <c r="H972" i="6"/>
  <c r="U972" i="6" s="1"/>
  <c r="AJ972" i="6" s="1"/>
  <c r="H974" i="6"/>
  <c r="I971" i="6"/>
  <c r="V971" i="6" s="1"/>
  <c r="H968" i="6"/>
  <c r="U968" i="6" s="1"/>
  <c r="AJ968" i="6" s="1"/>
  <c r="I970" i="6"/>
  <c r="V970" i="6" s="1"/>
  <c r="H969" i="6"/>
  <c r="H967" i="6"/>
  <c r="U967" i="6" s="1"/>
  <c r="I974" i="6"/>
  <c r="H973" i="6"/>
  <c r="U973" i="6" s="1"/>
  <c r="I972" i="6"/>
  <c r="V972" i="6" s="1"/>
  <c r="H970" i="6"/>
  <c r="U970" i="6" s="1"/>
  <c r="I967" i="6"/>
  <c r="V967" i="6" s="1"/>
  <c r="I968" i="6"/>
  <c r="V968" i="6" s="1"/>
  <c r="G972" i="6"/>
  <c r="P972" i="6" s="1"/>
  <c r="Q368" i="7" s="1"/>
  <c r="D438" i="7"/>
  <c r="P848" i="6"/>
  <c r="B184" i="9"/>
  <c r="P771" i="6"/>
  <c r="P793" i="6"/>
  <c r="V837" i="6"/>
  <c r="V782" i="6"/>
  <c r="P892" i="6"/>
  <c r="K41" i="7" s="1"/>
  <c r="G977" i="6"/>
  <c r="H977" i="6" s="1"/>
  <c r="P837" i="6"/>
  <c r="V848" i="6"/>
  <c r="V870" i="6"/>
  <c r="AH123" i="6"/>
  <c r="AG123" i="6"/>
  <c r="AF123" i="6"/>
  <c r="AE123" i="6"/>
  <c r="AF695" i="6"/>
  <c r="AE695" i="6"/>
  <c r="AH695" i="6"/>
  <c r="AG695" i="6"/>
  <c r="AE464" i="6"/>
  <c r="AH464" i="6"/>
  <c r="AG464" i="6"/>
  <c r="AF464" i="6"/>
  <c r="AH145" i="6"/>
  <c r="AG145" i="6"/>
  <c r="AF145" i="6"/>
  <c r="AE145" i="6"/>
  <c r="AH717" i="6"/>
  <c r="AG717" i="6"/>
  <c r="AF717" i="6"/>
  <c r="AE717" i="6"/>
  <c r="AG442" i="6"/>
  <c r="AF442" i="6"/>
  <c r="AE442" i="6"/>
  <c r="AH442" i="6"/>
  <c r="AF257" i="6"/>
  <c r="AE257" i="6"/>
  <c r="AH257" i="6"/>
  <c r="AG257" i="6"/>
  <c r="AH653" i="6"/>
  <c r="AG653" i="6"/>
  <c r="AF653" i="6"/>
  <c r="AE653" i="6"/>
  <c r="AE422" i="6"/>
  <c r="AH422" i="6"/>
  <c r="AG422" i="6"/>
  <c r="AF422" i="6"/>
  <c r="AG279" i="6"/>
  <c r="AF279" i="6"/>
  <c r="AE279" i="6"/>
  <c r="AH279" i="6"/>
  <c r="AE92" i="6"/>
  <c r="AH92" i="6"/>
  <c r="AG92" i="6"/>
  <c r="AF92" i="6"/>
  <c r="AE444" i="6"/>
  <c r="AH444" i="6"/>
  <c r="AG444" i="6"/>
  <c r="AF444" i="6"/>
  <c r="AG303" i="6"/>
  <c r="AF303" i="6"/>
  <c r="AI303" i="6"/>
  <c r="AE303" i="6"/>
  <c r="AH303" i="6"/>
  <c r="AF699" i="6"/>
  <c r="AI699" i="6"/>
  <c r="AE699" i="6"/>
  <c r="AH699" i="6"/>
  <c r="AG699" i="6"/>
  <c r="AI512" i="6"/>
  <c r="AE512" i="6"/>
  <c r="AH512" i="6"/>
  <c r="AG512" i="6"/>
  <c r="AF512" i="6"/>
  <c r="AG193" i="6"/>
  <c r="AF193" i="6"/>
  <c r="AE193" i="6"/>
  <c r="AH193" i="6"/>
  <c r="AF765" i="6"/>
  <c r="AE765" i="6"/>
  <c r="AH765" i="6"/>
  <c r="AG765" i="6"/>
  <c r="AG358" i="6"/>
  <c r="AF358" i="6"/>
  <c r="AI358" i="6"/>
  <c r="AE358" i="6"/>
  <c r="AH358" i="6"/>
  <c r="AF754" i="6"/>
  <c r="AI754" i="6"/>
  <c r="AE754" i="6"/>
  <c r="AH754" i="6"/>
  <c r="AG754" i="6"/>
  <c r="AE362" i="6"/>
  <c r="AH362" i="6"/>
  <c r="AG362" i="6"/>
  <c r="AF362" i="6"/>
  <c r="AH758" i="6"/>
  <c r="AG758" i="6"/>
  <c r="AF758" i="6"/>
  <c r="AE758" i="6"/>
  <c r="AH571" i="6"/>
  <c r="AG571" i="6"/>
  <c r="AF571" i="6"/>
  <c r="AE571" i="6"/>
  <c r="AH384" i="6"/>
  <c r="AG384" i="6"/>
  <c r="AF384" i="6"/>
  <c r="AE384" i="6"/>
  <c r="AH21" i="6"/>
  <c r="AG21" i="6"/>
  <c r="AF153" i="6"/>
  <c r="AE153" i="6"/>
  <c r="AH153" i="6"/>
  <c r="AG153" i="6"/>
  <c r="AH505" i="6"/>
  <c r="AG505" i="6"/>
  <c r="AF505" i="6"/>
  <c r="AE505" i="6"/>
  <c r="AE725" i="6"/>
  <c r="AH725" i="6"/>
  <c r="AG725" i="6"/>
  <c r="AF725" i="6"/>
  <c r="AH473" i="6"/>
  <c r="AG473" i="6"/>
  <c r="AF473" i="6"/>
  <c r="AE473" i="6"/>
  <c r="AE330" i="6"/>
  <c r="AH330" i="6"/>
  <c r="AG330" i="6"/>
  <c r="AF330" i="6"/>
  <c r="AE363" i="6"/>
  <c r="AH363" i="6"/>
  <c r="AG363" i="6"/>
  <c r="AF363" i="6"/>
  <c r="AH759" i="6"/>
  <c r="AG759" i="6"/>
  <c r="AF759" i="6"/>
  <c r="AE759" i="6"/>
  <c r="AE308" i="6"/>
  <c r="AH308" i="6"/>
  <c r="AG308" i="6"/>
  <c r="AF308" i="6"/>
  <c r="AE322" i="6"/>
  <c r="AH322" i="6"/>
  <c r="AG322" i="6"/>
  <c r="AF322" i="6"/>
  <c r="AF135" i="6"/>
  <c r="AE135" i="6"/>
  <c r="AH135" i="6"/>
  <c r="AG135" i="6"/>
  <c r="AE707" i="6"/>
  <c r="AH707" i="6"/>
  <c r="AG707" i="6"/>
  <c r="AF707" i="6"/>
  <c r="AH564" i="6"/>
  <c r="AG564" i="6"/>
  <c r="AF564" i="6"/>
  <c r="AE564" i="6"/>
  <c r="AF113" i="6"/>
  <c r="AE113" i="6"/>
  <c r="AH113" i="6"/>
  <c r="AG113" i="6"/>
  <c r="AH685" i="6"/>
  <c r="AG685" i="6"/>
  <c r="AF685" i="6"/>
  <c r="AE685" i="6"/>
  <c r="AH144" i="6"/>
  <c r="AG144" i="6"/>
  <c r="AF144" i="6"/>
  <c r="AE144" i="6"/>
  <c r="AH716" i="6"/>
  <c r="AG716" i="6"/>
  <c r="AF716" i="6"/>
  <c r="AE716" i="6"/>
  <c r="AG309" i="6"/>
  <c r="AF309" i="6"/>
  <c r="AE309" i="6"/>
  <c r="AH309" i="6"/>
  <c r="AG705" i="6"/>
  <c r="AF705" i="6"/>
  <c r="AE705" i="6"/>
  <c r="AH705" i="6"/>
  <c r="AF562" i="6"/>
  <c r="AE562" i="6"/>
  <c r="AH562" i="6"/>
  <c r="AG562" i="6"/>
  <c r="AG287" i="6"/>
  <c r="AF287" i="6"/>
  <c r="AE287" i="6"/>
  <c r="AH287" i="6"/>
  <c r="AF683" i="6"/>
  <c r="AE683" i="6"/>
  <c r="AH683" i="6"/>
  <c r="AG683" i="6"/>
  <c r="AG167" i="6"/>
  <c r="AF167" i="6"/>
  <c r="AE167" i="6"/>
  <c r="AH167" i="6"/>
  <c r="AG343" i="6"/>
  <c r="AF343" i="6"/>
  <c r="AE343" i="6"/>
  <c r="AH343" i="6"/>
  <c r="AE563" i="6"/>
  <c r="AH563" i="6"/>
  <c r="AG563" i="6"/>
  <c r="AF563" i="6"/>
  <c r="AF739" i="6"/>
  <c r="AE739" i="6"/>
  <c r="AH739" i="6"/>
  <c r="AG739" i="6"/>
  <c r="AH156" i="6"/>
  <c r="AG156" i="6"/>
  <c r="AF156" i="6"/>
  <c r="AE156" i="6"/>
  <c r="AG332" i="6"/>
  <c r="AF332" i="6"/>
  <c r="AE332" i="6"/>
  <c r="AH332" i="6"/>
  <c r="AH508" i="6"/>
  <c r="AG508" i="6"/>
  <c r="AF508" i="6"/>
  <c r="AE508" i="6"/>
  <c r="AG728" i="6"/>
  <c r="AF728" i="6"/>
  <c r="AE728" i="6"/>
  <c r="AH728" i="6"/>
  <c r="AG189" i="6"/>
  <c r="AF189" i="6"/>
  <c r="AE189" i="6"/>
  <c r="AH189" i="6"/>
  <c r="AG365" i="6"/>
  <c r="AF365" i="6"/>
  <c r="AE365" i="6"/>
  <c r="AH365" i="6"/>
  <c r="AE585" i="6"/>
  <c r="AH585" i="6"/>
  <c r="AG585" i="6"/>
  <c r="AF585" i="6"/>
  <c r="AF761" i="6"/>
  <c r="AE761" i="6"/>
  <c r="AH761" i="6"/>
  <c r="AG761" i="6"/>
  <c r="AH134" i="6"/>
  <c r="AG134" i="6"/>
  <c r="AF134" i="6"/>
  <c r="AE134" i="6"/>
  <c r="AG310" i="6"/>
  <c r="AF310" i="6"/>
  <c r="AE310" i="6"/>
  <c r="AH310" i="6"/>
  <c r="AF486" i="6"/>
  <c r="AE486" i="6"/>
  <c r="AH486" i="6"/>
  <c r="AG486" i="6"/>
  <c r="AF706" i="6"/>
  <c r="AE706" i="6"/>
  <c r="AH706" i="6"/>
  <c r="AG706" i="6"/>
  <c r="AF125" i="6"/>
  <c r="AE125" i="6"/>
  <c r="AH125" i="6"/>
  <c r="AG125" i="6"/>
  <c r="AE301" i="6"/>
  <c r="AH301" i="6"/>
  <c r="AG301" i="6"/>
  <c r="AF301" i="6"/>
  <c r="AH477" i="6"/>
  <c r="AG477" i="6"/>
  <c r="AF477" i="6"/>
  <c r="AE477" i="6"/>
  <c r="AH697" i="6"/>
  <c r="AG697" i="6"/>
  <c r="AF697" i="6"/>
  <c r="AE697" i="6"/>
  <c r="AF114" i="6"/>
  <c r="AE114" i="6"/>
  <c r="AH114" i="6"/>
  <c r="AG114" i="6"/>
  <c r="AE290" i="6"/>
  <c r="AH290" i="6"/>
  <c r="AG290" i="6"/>
  <c r="AF290" i="6"/>
  <c r="AH466" i="6"/>
  <c r="AG466" i="6"/>
  <c r="AF466" i="6"/>
  <c r="AE466" i="6"/>
  <c r="AG686" i="6"/>
  <c r="AF686" i="6"/>
  <c r="AE686" i="6"/>
  <c r="AH686" i="6"/>
  <c r="AF147" i="6"/>
  <c r="AE147" i="6"/>
  <c r="AH147" i="6"/>
  <c r="AG147" i="6"/>
  <c r="AE323" i="6"/>
  <c r="AH323" i="6"/>
  <c r="AG323" i="6"/>
  <c r="AF323" i="6"/>
  <c r="AH499" i="6"/>
  <c r="AG499" i="6"/>
  <c r="AF499" i="6"/>
  <c r="AE499" i="6"/>
  <c r="AG719" i="6"/>
  <c r="AF719" i="6"/>
  <c r="AE719" i="6"/>
  <c r="AH719" i="6"/>
  <c r="AF136" i="6"/>
  <c r="AE136" i="6"/>
  <c r="AH136" i="6"/>
  <c r="AG136" i="6"/>
  <c r="AE312" i="6"/>
  <c r="AH312" i="6"/>
  <c r="AG312" i="6"/>
  <c r="AF312" i="6"/>
  <c r="AH488" i="6"/>
  <c r="AG488" i="6"/>
  <c r="AF488" i="6"/>
  <c r="AE488" i="6"/>
  <c r="AH708" i="6"/>
  <c r="AG708" i="6"/>
  <c r="AF708" i="6"/>
  <c r="AE708" i="6"/>
  <c r="AG171" i="6"/>
  <c r="AF171" i="6"/>
  <c r="AI171" i="6"/>
  <c r="AE171" i="6"/>
  <c r="AH171" i="6"/>
  <c r="AG347" i="6"/>
  <c r="AF347" i="6"/>
  <c r="AI347" i="6"/>
  <c r="AE347" i="6"/>
  <c r="AH347" i="6"/>
  <c r="AE567" i="6"/>
  <c r="AH567" i="6"/>
  <c r="AG567" i="6"/>
  <c r="AF567" i="6"/>
  <c r="AF743" i="6"/>
  <c r="AI743" i="6"/>
  <c r="AE743" i="6"/>
  <c r="AH743" i="6"/>
  <c r="AG743" i="6"/>
  <c r="AH204" i="6"/>
  <c r="AG204" i="6"/>
  <c r="AF204" i="6"/>
  <c r="AI204" i="6"/>
  <c r="AE204" i="6"/>
  <c r="AF380" i="6"/>
  <c r="AI380" i="6"/>
  <c r="AE380" i="6"/>
  <c r="AH380" i="6"/>
  <c r="AG380" i="6"/>
  <c r="AF600" i="6"/>
  <c r="AE600" i="6"/>
  <c r="AH600" i="6"/>
  <c r="AG600" i="6"/>
  <c r="AG61" i="6"/>
  <c r="AF61" i="6"/>
  <c r="AI61" i="6"/>
  <c r="AE61" i="6"/>
  <c r="AH61" i="6"/>
  <c r="AH237" i="6"/>
  <c r="AG237" i="6"/>
  <c r="AF237" i="6"/>
  <c r="AI237" i="6"/>
  <c r="AE237" i="6"/>
  <c r="AF413" i="6"/>
  <c r="AI413" i="6"/>
  <c r="AE413" i="6"/>
  <c r="AH413" i="6"/>
  <c r="AG413" i="6"/>
  <c r="AF633" i="6"/>
  <c r="AI633" i="6"/>
  <c r="AE633" i="6"/>
  <c r="AH633" i="6"/>
  <c r="AG633" i="6"/>
  <c r="AG50" i="6"/>
  <c r="AF50" i="6"/>
  <c r="AI50" i="6"/>
  <c r="AE50" i="6"/>
  <c r="AH50" i="6"/>
  <c r="AH226" i="6"/>
  <c r="AG226" i="6"/>
  <c r="AF226" i="6"/>
  <c r="AI226" i="6"/>
  <c r="AE226" i="6"/>
  <c r="AF402" i="6"/>
  <c r="AI402" i="6"/>
  <c r="AE402" i="6"/>
  <c r="AH402" i="6"/>
  <c r="AG402" i="6"/>
  <c r="AF622" i="6"/>
  <c r="AI622" i="6"/>
  <c r="AE622" i="6"/>
  <c r="AH622" i="6"/>
  <c r="AG622" i="6"/>
  <c r="AE54" i="6"/>
  <c r="AH54" i="6"/>
  <c r="AG54" i="6"/>
  <c r="AF54" i="6"/>
  <c r="AF230" i="6"/>
  <c r="AE230" i="6"/>
  <c r="AH230" i="6"/>
  <c r="AG230" i="6"/>
  <c r="AH406" i="6"/>
  <c r="AG406" i="6"/>
  <c r="AF406" i="6"/>
  <c r="AE406" i="6"/>
  <c r="AH626" i="6"/>
  <c r="AG626" i="6"/>
  <c r="AF626" i="6"/>
  <c r="AE626" i="6"/>
  <c r="AE43" i="6"/>
  <c r="AH43" i="6"/>
  <c r="AG43" i="6"/>
  <c r="AF43" i="6"/>
  <c r="AF219" i="6"/>
  <c r="AE219" i="6"/>
  <c r="AH219" i="6"/>
  <c r="AG219" i="6"/>
  <c r="AH395" i="6"/>
  <c r="AG395" i="6"/>
  <c r="AF395" i="6"/>
  <c r="AE395" i="6"/>
  <c r="AH615" i="6"/>
  <c r="AG615" i="6"/>
  <c r="AF615" i="6"/>
  <c r="AE615" i="6"/>
  <c r="AE76" i="6"/>
  <c r="AH76" i="6"/>
  <c r="AG76" i="6"/>
  <c r="AF76" i="6"/>
  <c r="AF252" i="6"/>
  <c r="AE252" i="6"/>
  <c r="AH252" i="6"/>
  <c r="AG252" i="6"/>
  <c r="AE428" i="6"/>
  <c r="AH428" i="6"/>
  <c r="AG428" i="6"/>
  <c r="AF428" i="6"/>
  <c r="AH648" i="6"/>
  <c r="AG648" i="6"/>
  <c r="AF648" i="6"/>
  <c r="AE648" i="6"/>
  <c r="AE32" i="6"/>
  <c r="AH32" i="6"/>
  <c r="AG32" i="6"/>
  <c r="AF32" i="6"/>
  <c r="AF197" i="6"/>
  <c r="AE197" i="6"/>
  <c r="AH197" i="6"/>
  <c r="AG197" i="6"/>
  <c r="AH373" i="6"/>
  <c r="AG373" i="6"/>
  <c r="AF373" i="6"/>
  <c r="AE373" i="6"/>
  <c r="AH593" i="6"/>
  <c r="AG593" i="6"/>
  <c r="AF593" i="6"/>
  <c r="AE593" i="6"/>
  <c r="AE165" i="6"/>
  <c r="AH165" i="6"/>
  <c r="AG165" i="6"/>
  <c r="AF165" i="6"/>
  <c r="AE341" i="6"/>
  <c r="AH341" i="6"/>
  <c r="AG341" i="6"/>
  <c r="AF341" i="6"/>
  <c r="AG561" i="6"/>
  <c r="AF561" i="6"/>
  <c r="AE561" i="6"/>
  <c r="AH561" i="6"/>
  <c r="AG737" i="6"/>
  <c r="AF737" i="6"/>
  <c r="AH737" i="6"/>
  <c r="AE737" i="6"/>
  <c r="AF198" i="6"/>
  <c r="AE198" i="6"/>
  <c r="AH198" i="6"/>
  <c r="AG198" i="6"/>
  <c r="AH374" i="6"/>
  <c r="AG374" i="6"/>
  <c r="AF374" i="6"/>
  <c r="AE374" i="6"/>
  <c r="AH594" i="6"/>
  <c r="AG594" i="6"/>
  <c r="AF594" i="6"/>
  <c r="AE594" i="6"/>
  <c r="AE55" i="6"/>
  <c r="AH55" i="6"/>
  <c r="AG55" i="6"/>
  <c r="AF55" i="6"/>
  <c r="AF231" i="6"/>
  <c r="AE231" i="6"/>
  <c r="AH231" i="6"/>
  <c r="AG231" i="6"/>
  <c r="AH407" i="6"/>
  <c r="AG407" i="6"/>
  <c r="AF407" i="6"/>
  <c r="AE407" i="6"/>
  <c r="AH627" i="6"/>
  <c r="AG627" i="6"/>
  <c r="AF627" i="6"/>
  <c r="AE627" i="6"/>
  <c r="AE33" i="6"/>
  <c r="AH33" i="6"/>
  <c r="AG33" i="6"/>
  <c r="AF33" i="6"/>
  <c r="AE176" i="6"/>
  <c r="AH176" i="6"/>
  <c r="AG176" i="6"/>
  <c r="AF176" i="6"/>
  <c r="AE352" i="6"/>
  <c r="AH352" i="6"/>
  <c r="AG352" i="6"/>
  <c r="AF352" i="6"/>
  <c r="AG572" i="6"/>
  <c r="AF572" i="6"/>
  <c r="AE572" i="6"/>
  <c r="AH572" i="6"/>
  <c r="AH748" i="6"/>
  <c r="AG748" i="6"/>
  <c r="AF748" i="6"/>
  <c r="AE748" i="6"/>
  <c r="AE190" i="6"/>
  <c r="AH190" i="6"/>
  <c r="AG190" i="6"/>
  <c r="AF190" i="6"/>
  <c r="AE366" i="6"/>
  <c r="AH366" i="6"/>
  <c r="AG366" i="6"/>
  <c r="AF366" i="6"/>
  <c r="AH586" i="6"/>
  <c r="AG586" i="6"/>
  <c r="AF586" i="6"/>
  <c r="AE586" i="6"/>
  <c r="AH762" i="6"/>
  <c r="AG762" i="6"/>
  <c r="AF762" i="6"/>
  <c r="AE762" i="6"/>
  <c r="AE179" i="6"/>
  <c r="AH179" i="6"/>
  <c r="AG179" i="6"/>
  <c r="AF179" i="6"/>
  <c r="AE355" i="6"/>
  <c r="AH355" i="6"/>
  <c r="AG355" i="6"/>
  <c r="AF355" i="6"/>
  <c r="AH575" i="6"/>
  <c r="AG575" i="6"/>
  <c r="AF575" i="6"/>
  <c r="AE575" i="6"/>
  <c r="AH751" i="6"/>
  <c r="AG751" i="6"/>
  <c r="AF751" i="6"/>
  <c r="AE751" i="6"/>
  <c r="AF212" i="6"/>
  <c r="AE212" i="6"/>
  <c r="AH212" i="6"/>
  <c r="AG212" i="6"/>
  <c r="AH388" i="6"/>
  <c r="AG388" i="6"/>
  <c r="AF388" i="6"/>
  <c r="AE388" i="6"/>
  <c r="AH608" i="6"/>
  <c r="AG608" i="6"/>
  <c r="AF608" i="6"/>
  <c r="AE608" i="6"/>
  <c r="AH25" i="6"/>
  <c r="AG25" i="6"/>
  <c r="AF157" i="6"/>
  <c r="AE157" i="6"/>
  <c r="AH157" i="6"/>
  <c r="AG157" i="6"/>
  <c r="AE333" i="6"/>
  <c r="AH333" i="6"/>
  <c r="AG333" i="6"/>
  <c r="AF333" i="6"/>
  <c r="AH509" i="6"/>
  <c r="AG509" i="6"/>
  <c r="AF509" i="6"/>
  <c r="AE509" i="6"/>
  <c r="AE729" i="6"/>
  <c r="AH729" i="6"/>
  <c r="AG729" i="6"/>
  <c r="AF729" i="6"/>
  <c r="AG188" i="6"/>
  <c r="AF188" i="6"/>
  <c r="AE188" i="6"/>
  <c r="AH188" i="6"/>
  <c r="AG364" i="6"/>
  <c r="AF364" i="6"/>
  <c r="AE364" i="6"/>
  <c r="AH364" i="6"/>
  <c r="AF584" i="6"/>
  <c r="AE584" i="6"/>
  <c r="AH584" i="6"/>
  <c r="AG584" i="6"/>
  <c r="AF760" i="6"/>
  <c r="AE760" i="6"/>
  <c r="AH760" i="6"/>
  <c r="AG760" i="6"/>
  <c r="AG177" i="6"/>
  <c r="AF177" i="6"/>
  <c r="AE177" i="6"/>
  <c r="AH177" i="6"/>
  <c r="AG353" i="6"/>
  <c r="AF353" i="6"/>
  <c r="AE353" i="6"/>
  <c r="AH353" i="6"/>
  <c r="AF573" i="6"/>
  <c r="AE573" i="6"/>
  <c r="AH573" i="6"/>
  <c r="AG573" i="6"/>
  <c r="AF749" i="6"/>
  <c r="AE749" i="6"/>
  <c r="AH749" i="6"/>
  <c r="AG749" i="6"/>
  <c r="AH210" i="6"/>
  <c r="AG210" i="6"/>
  <c r="AF210" i="6"/>
  <c r="AE210" i="6"/>
  <c r="AF386" i="6"/>
  <c r="AE386" i="6"/>
  <c r="AH386" i="6"/>
  <c r="AG386" i="6"/>
  <c r="AF606" i="6"/>
  <c r="AE606" i="6"/>
  <c r="AH606" i="6"/>
  <c r="AG606" i="6"/>
  <c r="AH23" i="6"/>
  <c r="AG23" i="6"/>
  <c r="AH155" i="6"/>
  <c r="AG155" i="6"/>
  <c r="AF155" i="6"/>
  <c r="AE155" i="6"/>
  <c r="AG331" i="6"/>
  <c r="AF331" i="6"/>
  <c r="AE331" i="6"/>
  <c r="AH331" i="6"/>
  <c r="AF507" i="6"/>
  <c r="AE507" i="6"/>
  <c r="AH507" i="6"/>
  <c r="AG507" i="6"/>
  <c r="AG727" i="6"/>
  <c r="AF727" i="6"/>
  <c r="AE727" i="6"/>
  <c r="AH727" i="6"/>
  <c r="AF475" i="6"/>
  <c r="AE475" i="6"/>
  <c r="AH475" i="6"/>
  <c r="AG475" i="6"/>
  <c r="AG288" i="6"/>
  <c r="AF288" i="6"/>
  <c r="AE288" i="6"/>
  <c r="AH288" i="6"/>
  <c r="AG321" i="6"/>
  <c r="AF321" i="6"/>
  <c r="AE321" i="6"/>
  <c r="AH321" i="6"/>
  <c r="AH266" i="6"/>
  <c r="AG266" i="6"/>
  <c r="AF266" i="6"/>
  <c r="AE266" i="6"/>
  <c r="AE433" i="6"/>
  <c r="AH433" i="6"/>
  <c r="AG433" i="6"/>
  <c r="AF433" i="6"/>
  <c r="AF246" i="6"/>
  <c r="AE246" i="6"/>
  <c r="AH246" i="6"/>
  <c r="AG246" i="6"/>
  <c r="AE455" i="6"/>
  <c r="AH455" i="6"/>
  <c r="AG455" i="6"/>
  <c r="AF455" i="6"/>
  <c r="AF268" i="6"/>
  <c r="AE268" i="6"/>
  <c r="AH268" i="6"/>
  <c r="AG268" i="6"/>
  <c r="AH127" i="6"/>
  <c r="AG127" i="6"/>
  <c r="AF127" i="6"/>
  <c r="AI127" i="6"/>
  <c r="AE127" i="6"/>
  <c r="AG160" i="6"/>
  <c r="AF160" i="6"/>
  <c r="AI160" i="6"/>
  <c r="AE160" i="6"/>
  <c r="AH160" i="6"/>
  <c r="AF369" i="6"/>
  <c r="AE369" i="6"/>
  <c r="AH369" i="6"/>
  <c r="AG369" i="6"/>
  <c r="AE578" i="6"/>
  <c r="AH578" i="6"/>
  <c r="AG578" i="6"/>
  <c r="AF578" i="6"/>
  <c r="AE175" i="6"/>
  <c r="AH175" i="6"/>
  <c r="AG175" i="6"/>
  <c r="AF175" i="6"/>
  <c r="AF208" i="6"/>
  <c r="AE208" i="6"/>
  <c r="AH208" i="6"/>
  <c r="AG208" i="6"/>
  <c r="AE329" i="6"/>
  <c r="AH329" i="6"/>
  <c r="AG329" i="6"/>
  <c r="AF329" i="6"/>
  <c r="AF121" i="6"/>
  <c r="AE121" i="6"/>
  <c r="AH121" i="6"/>
  <c r="AG121" i="6"/>
  <c r="AH693" i="6"/>
  <c r="AG693" i="6"/>
  <c r="AF693" i="6"/>
  <c r="AE693" i="6"/>
  <c r="AE726" i="6"/>
  <c r="AH726" i="6"/>
  <c r="AG726" i="6"/>
  <c r="AF726" i="6"/>
  <c r="AG583" i="6"/>
  <c r="AF583" i="6"/>
  <c r="AE583" i="6"/>
  <c r="AH583" i="6"/>
  <c r="AH704" i="6"/>
  <c r="AG704" i="6"/>
  <c r="AF704" i="6"/>
  <c r="AE704" i="6"/>
  <c r="AH498" i="6"/>
  <c r="AG498" i="6"/>
  <c r="AF498" i="6"/>
  <c r="AE498" i="6"/>
  <c r="AH487" i="6"/>
  <c r="AG487" i="6"/>
  <c r="AF487" i="6"/>
  <c r="AE487" i="6"/>
  <c r="AE344" i="6"/>
  <c r="AH344" i="6"/>
  <c r="AG344" i="6"/>
  <c r="AF344" i="6"/>
  <c r="AE289" i="6"/>
  <c r="AH289" i="6"/>
  <c r="AG289" i="6"/>
  <c r="AF289" i="6"/>
  <c r="AG320" i="6"/>
  <c r="AF320" i="6"/>
  <c r="AE320" i="6"/>
  <c r="AH320" i="6"/>
  <c r="AH133" i="6"/>
  <c r="AG133" i="6"/>
  <c r="AF133" i="6"/>
  <c r="AE133" i="6"/>
  <c r="AG166" i="6"/>
  <c r="AF166" i="6"/>
  <c r="AE166" i="6"/>
  <c r="AH166" i="6"/>
  <c r="AH111" i="6"/>
  <c r="AG111" i="6"/>
  <c r="AF111" i="6"/>
  <c r="AE111" i="6"/>
  <c r="AF387" i="6"/>
  <c r="AE387" i="6"/>
  <c r="AH387" i="6"/>
  <c r="AG387" i="6"/>
  <c r="AG35" i="6"/>
  <c r="AF35" i="6"/>
  <c r="AE35" i="6"/>
  <c r="AH35" i="6"/>
  <c r="AF376" i="6"/>
  <c r="AE376" i="6"/>
  <c r="AH376" i="6"/>
  <c r="AG376" i="6"/>
  <c r="AG57" i="6"/>
  <c r="AF57" i="6"/>
  <c r="AE57" i="6"/>
  <c r="AH57" i="6"/>
  <c r="AF409" i="6"/>
  <c r="AE409" i="6"/>
  <c r="AH409" i="6"/>
  <c r="AG409" i="6"/>
  <c r="AG178" i="6"/>
  <c r="AF178" i="6"/>
  <c r="AE178" i="6"/>
  <c r="AH178" i="6"/>
  <c r="AE574" i="6"/>
  <c r="AH574" i="6"/>
  <c r="AG574" i="6"/>
  <c r="AF574" i="6"/>
  <c r="AE169" i="6"/>
  <c r="AH169" i="6"/>
  <c r="AG169" i="6"/>
  <c r="AF169" i="6"/>
  <c r="AG565" i="6"/>
  <c r="AF565" i="6"/>
  <c r="AE565" i="6"/>
  <c r="AH565" i="6"/>
  <c r="AE334" i="6"/>
  <c r="AH334" i="6"/>
  <c r="AG334" i="6"/>
  <c r="AF334" i="6"/>
  <c r="AE730" i="6"/>
  <c r="AH730" i="6"/>
  <c r="AG730" i="6"/>
  <c r="AF730" i="6"/>
  <c r="AH367" i="6"/>
  <c r="AG367" i="6"/>
  <c r="AF367" i="6"/>
  <c r="AE367" i="6"/>
  <c r="AE180" i="6"/>
  <c r="AH180" i="6"/>
  <c r="AG180" i="6"/>
  <c r="AF180" i="6"/>
  <c r="AG576" i="6"/>
  <c r="AF576" i="6"/>
  <c r="AE576" i="6"/>
  <c r="AH576" i="6"/>
  <c r="AH215" i="6"/>
  <c r="AG215" i="6"/>
  <c r="AF215" i="6"/>
  <c r="AI215" i="6"/>
  <c r="AE215" i="6"/>
  <c r="AG72" i="6"/>
  <c r="AF72" i="6"/>
  <c r="AE72" i="6"/>
  <c r="AH72" i="6"/>
  <c r="AG424" i="6"/>
  <c r="AF424" i="6"/>
  <c r="AI424" i="6"/>
  <c r="AE424" i="6"/>
  <c r="AH424" i="6"/>
  <c r="AF281" i="6"/>
  <c r="AI281" i="6"/>
  <c r="AE281" i="6"/>
  <c r="AH281" i="6"/>
  <c r="AG281" i="6"/>
  <c r="AF677" i="6"/>
  <c r="AI677" i="6"/>
  <c r="AE677" i="6"/>
  <c r="AH677" i="6"/>
  <c r="AG677" i="6"/>
  <c r="AH270" i="6"/>
  <c r="AG270" i="6"/>
  <c r="AF270" i="6"/>
  <c r="AI270" i="6"/>
  <c r="AE270" i="6"/>
  <c r="AF666" i="6"/>
  <c r="AI666" i="6"/>
  <c r="AE666" i="6"/>
  <c r="AH666" i="6"/>
  <c r="AG666" i="6"/>
  <c r="AE98" i="6"/>
  <c r="AH98" i="6"/>
  <c r="AG98" i="6"/>
  <c r="AF98" i="6"/>
  <c r="AH670" i="6"/>
  <c r="AG670" i="6"/>
  <c r="AF670" i="6"/>
  <c r="AE670" i="6"/>
  <c r="AE439" i="6"/>
  <c r="AH439" i="6"/>
  <c r="AG439" i="6"/>
  <c r="AF439" i="6"/>
  <c r="AF120" i="6"/>
  <c r="AE120" i="6"/>
  <c r="AH120" i="6"/>
  <c r="AG120" i="6"/>
  <c r="AE296" i="6"/>
  <c r="AH296" i="6"/>
  <c r="AG296" i="6"/>
  <c r="AF296" i="6"/>
  <c r="AE692" i="6"/>
  <c r="AH692" i="6"/>
  <c r="AG692" i="6"/>
  <c r="AF692" i="6"/>
  <c r="AF241" i="6"/>
  <c r="AE241" i="6"/>
  <c r="AH241" i="6"/>
  <c r="AG241" i="6"/>
  <c r="AE417" i="6"/>
  <c r="AH417" i="6"/>
  <c r="AG417" i="6"/>
  <c r="AF417" i="6"/>
  <c r="AH637" i="6"/>
  <c r="AG637" i="6"/>
  <c r="AF637" i="6"/>
  <c r="AE637" i="6"/>
  <c r="AH22" i="6"/>
  <c r="AG22" i="6"/>
  <c r="AF209" i="6"/>
  <c r="AE209" i="6"/>
  <c r="AH209" i="6"/>
  <c r="AG209" i="6"/>
  <c r="AH385" i="6"/>
  <c r="AG385" i="6"/>
  <c r="AF385" i="6"/>
  <c r="AE385" i="6"/>
  <c r="AH605" i="6"/>
  <c r="AG605" i="6"/>
  <c r="AF605" i="6"/>
  <c r="AE605" i="6"/>
  <c r="AE66" i="6"/>
  <c r="AH66" i="6"/>
  <c r="AG66" i="6"/>
  <c r="AF66" i="6"/>
  <c r="AF242" i="6"/>
  <c r="AE242" i="6"/>
  <c r="AH242" i="6"/>
  <c r="AG242" i="6"/>
  <c r="AE418" i="6"/>
  <c r="AH418" i="6"/>
  <c r="AG418" i="6"/>
  <c r="AF418" i="6"/>
  <c r="AH638" i="6"/>
  <c r="AG638" i="6"/>
  <c r="AF638" i="6"/>
  <c r="AE638" i="6"/>
  <c r="AE99" i="6"/>
  <c r="AH99" i="6"/>
  <c r="AG99" i="6"/>
  <c r="AF99" i="6"/>
  <c r="AG275" i="6"/>
  <c r="AF275" i="6"/>
  <c r="AE275" i="6"/>
  <c r="AH275" i="6"/>
  <c r="AE451" i="6"/>
  <c r="AH451" i="6"/>
  <c r="AG451" i="6"/>
  <c r="AF451" i="6"/>
  <c r="AH671" i="6"/>
  <c r="AG671" i="6"/>
  <c r="AF671" i="6"/>
  <c r="AE671" i="6"/>
  <c r="AE44" i="6"/>
  <c r="AH44" i="6"/>
  <c r="AG44" i="6"/>
  <c r="AF44" i="6"/>
  <c r="AF220" i="6"/>
  <c r="AE220" i="6"/>
  <c r="AH220" i="6"/>
  <c r="AG220" i="6"/>
  <c r="AH396" i="6"/>
  <c r="AG396" i="6"/>
  <c r="AF396" i="6"/>
  <c r="AE396" i="6"/>
  <c r="AH616" i="6"/>
  <c r="AG616" i="6"/>
  <c r="AF616" i="6"/>
  <c r="AE616" i="6"/>
  <c r="AE58" i="6"/>
  <c r="AH58" i="6"/>
  <c r="AG58" i="6"/>
  <c r="AF58" i="6"/>
  <c r="AF234" i="6"/>
  <c r="AE234" i="6"/>
  <c r="AH234" i="6"/>
  <c r="AG234" i="6"/>
  <c r="AH410" i="6"/>
  <c r="AG410" i="6"/>
  <c r="AF410" i="6"/>
  <c r="AE410" i="6"/>
  <c r="AH630" i="6"/>
  <c r="AG630" i="6"/>
  <c r="AF630" i="6"/>
  <c r="AE630" i="6"/>
  <c r="AE47" i="6"/>
  <c r="AH47" i="6"/>
  <c r="AG47" i="6"/>
  <c r="AF47" i="6"/>
  <c r="AF223" i="6"/>
  <c r="AE223" i="6"/>
  <c r="AH223" i="6"/>
  <c r="AG223" i="6"/>
  <c r="AH399" i="6"/>
  <c r="AG399" i="6"/>
  <c r="AF399" i="6"/>
  <c r="AE399" i="6"/>
  <c r="AH619" i="6"/>
  <c r="AG619" i="6"/>
  <c r="AF619" i="6"/>
  <c r="AE619" i="6"/>
  <c r="AE80" i="6"/>
  <c r="AH80" i="6"/>
  <c r="AG80" i="6"/>
  <c r="AF80" i="6"/>
  <c r="AF256" i="6"/>
  <c r="AE256" i="6"/>
  <c r="AH256" i="6"/>
  <c r="AG256" i="6"/>
  <c r="AE432" i="6"/>
  <c r="AH432" i="6"/>
  <c r="AG432" i="6"/>
  <c r="AF432" i="6"/>
  <c r="AH652" i="6"/>
  <c r="AG652" i="6"/>
  <c r="AF652" i="6"/>
  <c r="AE652" i="6"/>
  <c r="AE36" i="6"/>
  <c r="AH36" i="6"/>
  <c r="AG36" i="6"/>
  <c r="AF36" i="6"/>
  <c r="AF201" i="6"/>
  <c r="AE201" i="6"/>
  <c r="AH201" i="6"/>
  <c r="AG201" i="6"/>
  <c r="AH377" i="6"/>
  <c r="AG377" i="6"/>
  <c r="AF377" i="6"/>
  <c r="AE377" i="6"/>
  <c r="AH597" i="6"/>
  <c r="AG597" i="6"/>
  <c r="AF597" i="6"/>
  <c r="AE597" i="6"/>
  <c r="AG56" i="6"/>
  <c r="AF56" i="6"/>
  <c r="AE56" i="6"/>
  <c r="AH56" i="6"/>
  <c r="AH232" i="6"/>
  <c r="AG232" i="6"/>
  <c r="AF232" i="6"/>
  <c r="AE232" i="6"/>
  <c r="AF408" i="6"/>
  <c r="AE408" i="6"/>
  <c r="AH408" i="6"/>
  <c r="AG408" i="6"/>
  <c r="AF628" i="6"/>
  <c r="AE628" i="6"/>
  <c r="AH628" i="6"/>
  <c r="AG628" i="6"/>
  <c r="AG45" i="6"/>
  <c r="AF45" i="6"/>
  <c r="AE45" i="6"/>
  <c r="AH45" i="6"/>
  <c r="AH221" i="6"/>
  <c r="AG221" i="6"/>
  <c r="AF221" i="6"/>
  <c r="AE221" i="6"/>
  <c r="AF397" i="6"/>
  <c r="AE397" i="6"/>
  <c r="AH397" i="6"/>
  <c r="AG397" i="6"/>
  <c r="AF617" i="6"/>
  <c r="AE617" i="6"/>
  <c r="AH617" i="6"/>
  <c r="AG617" i="6"/>
  <c r="AG78" i="6"/>
  <c r="AF78" i="6"/>
  <c r="AE78" i="6"/>
  <c r="AH78" i="6"/>
  <c r="AH254" i="6"/>
  <c r="AG254" i="6"/>
  <c r="AF254" i="6"/>
  <c r="AE254" i="6"/>
  <c r="AG430" i="6"/>
  <c r="AF430" i="6"/>
  <c r="AE430" i="6"/>
  <c r="AH430" i="6"/>
  <c r="AF650" i="6"/>
  <c r="AE650" i="6"/>
  <c r="AH650" i="6"/>
  <c r="AG650" i="6"/>
  <c r="AG34" i="6"/>
  <c r="AF34" i="6"/>
  <c r="AE34" i="6"/>
  <c r="AH34" i="6"/>
  <c r="AH199" i="6"/>
  <c r="AG199" i="6"/>
  <c r="AF199" i="6"/>
  <c r="AE199" i="6"/>
  <c r="AF375" i="6"/>
  <c r="AE375" i="6"/>
  <c r="AH375" i="6"/>
  <c r="AG375" i="6"/>
  <c r="AF595" i="6"/>
  <c r="AE595" i="6"/>
  <c r="AH595" i="6"/>
  <c r="AG595" i="6"/>
  <c r="AI28" i="6"/>
  <c r="AH28" i="6"/>
  <c r="AG28" i="6"/>
  <c r="AG299" i="6"/>
  <c r="AF299" i="6"/>
  <c r="AE299" i="6"/>
  <c r="AH299" i="6"/>
  <c r="AH112" i="6"/>
  <c r="AG112" i="6"/>
  <c r="AF112" i="6"/>
  <c r="AE112" i="6"/>
  <c r="AE684" i="6"/>
  <c r="AH684" i="6"/>
  <c r="AG684" i="6"/>
  <c r="AF684" i="6"/>
  <c r="AF497" i="6"/>
  <c r="AE497" i="6"/>
  <c r="AH497" i="6"/>
  <c r="AG497" i="6"/>
  <c r="AG90" i="6"/>
  <c r="AF90" i="6"/>
  <c r="AE90" i="6"/>
  <c r="AH90" i="6"/>
  <c r="AF662" i="6"/>
  <c r="AE662" i="6"/>
  <c r="AH662" i="6"/>
  <c r="AG662" i="6"/>
  <c r="AE81" i="6"/>
  <c r="AH81" i="6"/>
  <c r="AG81" i="6"/>
  <c r="AF81" i="6"/>
  <c r="AE70" i="6"/>
  <c r="AH70" i="6"/>
  <c r="AG70" i="6"/>
  <c r="AF70" i="6"/>
  <c r="AH642" i="6"/>
  <c r="AG642" i="6"/>
  <c r="AF642" i="6"/>
  <c r="AE642" i="6"/>
  <c r="AE103" i="6"/>
  <c r="AH103" i="6"/>
  <c r="AG103" i="6"/>
  <c r="AF103" i="6"/>
  <c r="AH675" i="6"/>
  <c r="AG675" i="6"/>
  <c r="AF675" i="6"/>
  <c r="AE675" i="6"/>
  <c r="AH664" i="6"/>
  <c r="AG664" i="6"/>
  <c r="AF664" i="6"/>
  <c r="AE664" i="6"/>
  <c r="AF479" i="6"/>
  <c r="AI479" i="6"/>
  <c r="AE479" i="6"/>
  <c r="AH479" i="6"/>
  <c r="AG479" i="6"/>
  <c r="AG336" i="6"/>
  <c r="AF336" i="6"/>
  <c r="AI336" i="6"/>
  <c r="AE336" i="6"/>
  <c r="AH336" i="6"/>
  <c r="AI732" i="6"/>
  <c r="AE732" i="6"/>
  <c r="AH732" i="6"/>
  <c r="AF732" i="6"/>
  <c r="AG732" i="6"/>
  <c r="AI589" i="6"/>
  <c r="AE589" i="6"/>
  <c r="AH589" i="6"/>
  <c r="AG589" i="6"/>
  <c r="AF589" i="6"/>
  <c r="AG182" i="6"/>
  <c r="AF182" i="6"/>
  <c r="AI182" i="6"/>
  <c r="AE182" i="6"/>
  <c r="AH182" i="6"/>
  <c r="AE186" i="6"/>
  <c r="AH186" i="6"/>
  <c r="AG186" i="6"/>
  <c r="AF186" i="6"/>
  <c r="AH582" i="6"/>
  <c r="AG582" i="6"/>
  <c r="AF582" i="6"/>
  <c r="AE582" i="6"/>
  <c r="AE351" i="6"/>
  <c r="AH351" i="6"/>
  <c r="AG351" i="6"/>
  <c r="AF351" i="6"/>
  <c r="AH747" i="6"/>
  <c r="AG747" i="6"/>
  <c r="AF747" i="6"/>
  <c r="AE747" i="6"/>
  <c r="AH604" i="6"/>
  <c r="AG604" i="6"/>
  <c r="AF604" i="6"/>
  <c r="AE604" i="6"/>
  <c r="AE297" i="6"/>
  <c r="AH297" i="6"/>
  <c r="AG297" i="6"/>
  <c r="AF297" i="6"/>
  <c r="AF154" i="6"/>
  <c r="AE154" i="6"/>
  <c r="AH154" i="6"/>
  <c r="AG154" i="6"/>
  <c r="AG506" i="6"/>
  <c r="AF506" i="6"/>
  <c r="AE506" i="6"/>
  <c r="AH506" i="6"/>
  <c r="AE187" i="6"/>
  <c r="AH187" i="6"/>
  <c r="AG187" i="6"/>
  <c r="AF187" i="6"/>
  <c r="AF132" i="6"/>
  <c r="AE132" i="6"/>
  <c r="AH132" i="6"/>
  <c r="AG132" i="6"/>
  <c r="AH484" i="6"/>
  <c r="AG484" i="6"/>
  <c r="AF484" i="6"/>
  <c r="AE484" i="6"/>
  <c r="AF146" i="6"/>
  <c r="AE146" i="6"/>
  <c r="AH146" i="6"/>
  <c r="AG146" i="6"/>
  <c r="AG718" i="6"/>
  <c r="AF718" i="6"/>
  <c r="AE718" i="6"/>
  <c r="AH718" i="6"/>
  <c r="AE311" i="6"/>
  <c r="AH311" i="6"/>
  <c r="AG311" i="6"/>
  <c r="AF311" i="6"/>
  <c r="AE168" i="6"/>
  <c r="AH168" i="6"/>
  <c r="AG168" i="6"/>
  <c r="AF168" i="6"/>
  <c r="AH740" i="6"/>
  <c r="AG740" i="6"/>
  <c r="AF740" i="6"/>
  <c r="AE740" i="6"/>
  <c r="AG465" i="6"/>
  <c r="AF465" i="6"/>
  <c r="AH465" i="6"/>
  <c r="AE465" i="6"/>
  <c r="AF496" i="6"/>
  <c r="AE496" i="6"/>
  <c r="AH496" i="6"/>
  <c r="AG496" i="6"/>
  <c r="AF485" i="6"/>
  <c r="AE485" i="6"/>
  <c r="AH485" i="6"/>
  <c r="AG485" i="6"/>
  <c r="AG342" i="6"/>
  <c r="AF342" i="6"/>
  <c r="AE342" i="6"/>
  <c r="AH342" i="6"/>
  <c r="AE738" i="6"/>
  <c r="AH738" i="6"/>
  <c r="AG738" i="6"/>
  <c r="AF738" i="6"/>
  <c r="AE463" i="6"/>
  <c r="AH463" i="6"/>
  <c r="AG463" i="6"/>
  <c r="AF463" i="6"/>
  <c r="AH211" i="6"/>
  <c r="AG211" i="6"/>
  <c r="AF211" i="6"/>
  <c r="AE211" i="6"/>
  <c r="AF607" i="6"/>
  <c r="AE607" i="6"/>
  <c r="AH607" i="6"/>
  <c r="AG607" i="6"/>
  <c r="AH200" i="6"/>
  <c r="AG200" i="6"/>
  <c r="AF200" i="6"/>
  <c r="AE200" i="6"/>
  <c r="AF596" i="6"/>
  <c r="AE596" i="6"/>
  <c r="AH596" i="6"/>
  <c r="AG596" i="6"/>
  <c r="AH233" i="6"/>
  <c r="AG233" i="6"/>
  <c r="AF233" i="6"/>
  <c r="AE233" i="6"/>
  <c r="AF629" i="6"/>
  <c r="AE629" i="6"/>
  <c r="AH629" i="6"/>
  <c r="AG629" i="6"/>
  <c r="AH24" i="6"/>
  <c r="AG24" i="6"/>
  <c r="AG354" i="6"/>
  <c r="AF354" i="6"/>
  <c r="AE354" i="6"/>
  <c r="AH354" i="6"/>
  <c r="AF750" i="6"/>
  <c r="AE750" i="6"/>
  <c r="AH750" i="6"/>
  <c r="AG750" i="6"/>
  <c r="AE345" i="6"/>
  <c r="AH345" i="6"/>
  <c r="AG345" i="6"/>
  <c r="AF345" i="6"/>
  <c r="AH741" i="6"/>
  <c r="AG741" i="6"/>
  <c r="AF741" i="6"/>
  <c r="AE741" i="6"/>
  <c r="AH158" i="6"/>
  <c r="AG158" i="6"/>
  <c r="AF158" i="6"/>
  <c r="AE158" i="6"/>
  <c r="AG510" i="6"/>
  <c r="AF510" i="6"/>
  <c r="AE510" i="6"/>
  <c r="AH510" i="6"/>
  <c r="AE191" i="6"/>
  <c r="AH191" i="6"/>
  <c r="AG191" i="6"/>
  <c r="AF191" i="6"/>
  <c r="AG587" i="6"/>
  <c r="AF587" i="6"/>
  <c r="AE587" i="6"/>
  <c r="AH587" i="6"/>
  <c r="AH763" i="6"/>
  <c r="AG763" i="6"/>
  <c r="AF763" i="6"/>
  <c r="AE763" i="6"/>
  <c r="AE356" i="6"/>
  <c r="AH356" i="6"/>
  <c r="AG356" i="6"/>
  <c r="AF356" i="6"/>
  <c r="AH752" i="6"/>
  <c r="AG752" i="6"/>
  <c r="AF752" i="6"/>
  <c r="AE752" i="6"/>
  <c r="AF391" i="6"/>
  <c r="AE391" i="6"/>
  <c r="AH391" i="6"/>
  <c r="AG391" i="6"/>
  <c r="AF611" i="6"/>
  <c r="AE611" i="6"/>
  <c r="AH611" i="6"/>
  <c r="AG611" i="6"/>
  <c r="AH248" i="6"/>
  <c r="AG248" i="6"/>
  <c r="AF248" i="6"/>
  <c r="AI248" i="6"/>
  <c r="AE248" i="6"/>
  <c r="AF644" i="6"/>
  <c r="AI644" i="6"/>
  <c r="AE644" i="6"/>
  <c r="AH644" i="6"/>
  <c r="AG644" i="6"/>
  <c r="AG105" i="6"/>
  <c r="AF105" i="6"/>
  <c r="AI105" i="6"/>
  <c r="AE105" i="6"/>
  <c r="AH105" i="6"/>
  <c r="AE457" i="6"/>
  <c r="AH457" i="6"/>
  <c r="AG457" i="6"/>
  <c r="AF457" i="6"/>
  <c r="AG94" i="6"/>
  <c r="AF94" i="6"/>
  <c r="AI94" i="6"/>
  <c r="AE94" i="6"/>
  <c r="AH94" i="6"/>
  <c r="AG446" i="6"/>
  <c r="AF446" i="6"/>
  <c r="AI446" i="6"/>
  <c r="AE446" i="6"/>
  <c r="AH446" i="6"/>
  <c r="AG274" i="6"/>
  <c r="AF274" i="6"/>
  <c r="AE274" i="6"/>
  <c r="AH274" i="6"/>
  <c r="AE450" i="6"/>
  <c r="AH450" i="6"/>
  <c r="AG450" i="6"/>
  <c r="AF450" i="6"/>
  <c r="AE87" i="6"/>
  <c r="AH87" i="6"/>
  <c r="AG87" i="6"/>
  <c r="AF87" i="6"/>
  <c r="AF263" i="6"/>
  <c r="AE263" i="6"/>
  <c r="AH263" i="6"/>
  <c r="AG263" i="6"/>
  <c r="AH659" i="6"/>
  <c r="AG659" i="6"/>
  <c r="AF659" i="6"/>
  <c r="AE659" i="6"/>
  <c r="AH472" i="6"/>
  <c r="AG472" i="6"/>
  <c r="AF472" i="6"/>
  <c r="AE472" i="6"/>
  <c r="AE65" i="6"/>
  <c r="AH65" i="6"/>
  <c r="AG65" i="6"/>
  <c r="AF65" i="6"/>
  <c r="AG79" i="6"/>
  <c r="AF79" i="6"/>
  <c r="AE79" i="6"/>
  <c r="AH79" i="6"/>
  <c r="AH255" i="6"/>
  <c r="AG255" i="6"/>
  <c r="AF255" i="6"/>
  <c r="AE255" i="6"/>
  <c r="AG431" i="6"/>
  <c r="AF431" i="6"/>
  <c r="AE431" i="6"/>
  <c r="AH431" i="6"/>
  <c r="AF651" i="6"/>
  <c r="AE651" i="6"/>
  <c r="AH651" i="6"/>
  <c r="AG651" i="6"/>
  <c r="AG68" i="6"/>
  <c r="AF68" i="6"/>
  <c r="AE68" i="6"/>
  <c r="AH68" i="6"/>
  <c r="AH244" i="6"/>
  <c r="AG244" i="6"/>
  <c r="AF244" i="6"/>
  <c r="AE244" i="6"/>
  <c r="AG420" i="6"/>
  <c r="AF420" i="6"/>
  <c r="AE420" i="6"/>
  <c r="AH420" i="6"/>
  <c r="AF640" i="6"/>
  <c r="AE640" i="6"/>
  <c r="AH640" i="6"/>
  <c r="AG640" i="6"/>
  <c r="AG101" i="6"/>
  <c r="AF101" i="6"/>
  <c r="AE101" i="6"/>
  <c r="AH101" i="6"/>
  <c r="AE277" i="6"/>
  <c r="AH277" i="6"/>
  <c r="AG277" i="6"/>
  <c r="AF277" i="6"/>
  <c r="AG453" i="6"/>
  <c r="AF453" i="6"/>
  <c r="AE453" i="6"/>
  <c r="AH453" i="6"/>
  <c r="AF673" i="6"/>
  <c r="AE673" i="6"/>
  <c r="AH673" i="6"/>
  <c r="AG673" i="6"/>
  <c r="AG46" i="6"/>
  <c r="AF46" i="6"/>
  <c r="AE46" i="6"/>
  <c r="AH46" i="6"/>
  <c r="AH222" i="6"/>
  <c r="AG222" i="6"/>
  <c r="AF222" i="6"/>
  <c r="AE222" i="6"/>
  <c r="AF398" i="6"/>
  <c r="AE398" i="6"/>
  <c r="AH398" i="6"/>
  <c r="AG398" i="6"/>
  <c r="AF618" i="6"/>
  <c r="AE618" i="6"/>
  <c r="AH618" i="6"/>
  <c r="AG618" i="6"/>
  <c r="AI26" i="6"/>
  <c r="AM26" i="6"/>
  <c r="AK26" i="6" s="1"/>
  <c r="AH26" i="6"/>
  <c r="AG26" i="6"/>
  <c r="AF213" i="6"/>
  <c r="AE213" i="6"/>
  <c r="AH213" i="6"/>
  <c r="AG213" i="6"/>
  <c r="AH389" i="6"/>
  <c r="AG389" i="6"/>
  <c r="AF389" i="6"/>
  <c r="AE389" i="6"/>
  <c r="AH609" i="6"/>
  <c r="AG609" i="6"/>
  <c r="AF609" i="6"/>
  <c r="AE609" i="6"/>
  <c r="AE37" i="6"/>
  <c r="AH37" i="6"/>
  <c r="AG37" i="6"/>
  <c r="AF37" i="6"/>
  <c r="AF202" i="6"/>
  <c r="AE202" i="6"/>
  <c r="AH202" i="6"/>
  <c r="AG202" i="6"/>
  <c r="AH378" i="6"/>
  <c r="AG378" i="6"/>
  <c r="AF378" i="6"/>
  <c r="AE378" i="6"/>
  <c r="AH598" i="6"/>
  <c r="AG598" i="6"/>
  <c r="AF598" i="6"/>
  <c r="AE598" i="6"/>
  <c r="AE59" i="6"/>
  <c r="AH59" i="6"/>
  <c r="AG59" i="6"/>
  <c r="AF59" i="6"/>
  <c r="AF235" i="6"/>
  <c r="AE235" i="6"/>
  <c r="AH235" i="6"/>
  <c r="AG235" i="6"/>
  <c r="AH411" i="6"/>
  <c r="AG411" i="6"/>
  <c r="AF411" i="6"/>
  <c r="AE411" i="6"/>
  <c r="AH631" i="6"/>
  <c r="AG631" i="6"/>
  <c r="AF631" i="6"/>
  <c r="AE631" i="6"/>
  <c r="AE48" i="6"/>
  <c r="AH48" i="6"/>
  <c r="AG48" i="6"/>
  <c r="AF48" i="6"/>
  <c r="AF224" i="6"/>
  <c r="AE224" i="6"/>
  <c r="AH224" i="6"/>
  <c r="AG224" i="6"/>
  <c r="AH400" i="6"/>
  <c r="AG400" i="6"/>
  <c r="AF400" i="6"/>
  <c r="AE400" i="6"/>
  <c r="AH620" i="6"/>
  <c r="AG620" i="6"/>
  <c r="AF620" i="6"/>
  <c r="AE620" i="6"/>
  <c r="AG83" i="6"/>
  <c r="AF83" i="6"/>
  <c r="AE83" i="6"/>
  <c r="AH83" i="6"/>
  <c r="AH259" i="6"/>
  <c r="AG259" i="6"/>
  <c r="AF259" i="6"/>
  <c r="AI259" i="6"/>
  <c r="AE259" i="6"/>
  <c r="AG435" i="6"/>
  <c r="AF435" i="6"/>
  <c r="AI435" i="6"/>
  <c r="AE435" i="6"/>
  <c r="AH435" i="6"/>
  <c r="AF655" i="6"/>
  <c r="AI655" i="6"/>
  <c r="AE655" i="6"/>
  <c r="AH655" i="6"/>
  <c r="AG655" i="6"/>
  <c r="AH116" i="6"/>
  <c r="AG116" i="6"/>
  <c r="AF116" i="6"/>
  <c r="AI116" i="6"/>
  <c r="AE116" i="6"/>
  <c r="AG292" i="6"/>
  <c r="AF292" i="6"/>
  <c r="AI292" i="6"/>
  <c r="AE292" i="6"/>
  <c r="AH292" i="6"/>
  <c r="AF468" i="6"/>
  <c r="AI468" i="6"/>
  <c r="AE468" i="6"/>
  <c r="AH468" i="6"/>
  <c r="AG468" i="6"/>
  <c r="AF688" i="6"/>
  <c r="AI688" i="6"/>
  <c r="AE688" i="6"/>
  <c r="AH688" i="6"/>
  <c r="AG688" i="6"/>
  <c r="AH149" i="6"/>
  <c r="AG149" i="6"/>
  <c r="AF149" i="6"/>
  <c r="AI149" i="6"/>
  <c r="AE149" i="6"/>
  <c r="AG325" i="6"/>
  <c r="AF325" i="6"/>
  <c r="AI325" i="6"/>
  <c r="AE325" i="6"/>
  <c r="AH325" i="6"/>
  <c r="AF501" i="6"/>
  <c r="AI501" i="6"/>
  <c r="AE501" i="6"/>
  <c r="AH501" i="6"/>
  <c r="AG501" i="6"/>
  <c r="AF721" i="6"/>
  <c r="AI721" i="6"/>
  <c r="AE721" i="6"/>
  <c r="AH721" i="6"/>
  <c r="AG721" i="6"/>
  <c r="AH138" i="6"/>
  <c r="AG138" i="6"/>
  <c r="AF138" i="6"/>
  <c r="AI138" i="6"/>
  <c r="AE138" i="6"/>
  <c r="AG314" i="6"/>
  <c r="AF314" i="6"/>
  <c r="AI314" i="6"/>
  <c r="AE314" i="6"/>
  <c r="AH314" i="6"/>
  <c r="AF490" i="6"/>
  <c r="AI490" i="6"/>
  <c r="AE490" i="6"/>
  <c r="AH490" i="6"/>
  <c r="AG490" i="6"/>
  <c r="AF710" i="6"/>
  <c r="AI710" i="6"/>
  <c r="AE710" i="6"/>
  <c r="AH710" i="6"/>
  <c r="AG710" i="6"/>
  <c r="AF142" i="6"/>
  <c r="AE142" i="6"/>
  <c r="AH142" i="6"/>
  <c r="AG142" i="6"/>
  <c r="AE318" i="6"/>
  <c r="AH318" i="6"/>
  <c r="AG318" i="6"/>
  <c r="AF318" i="6"/>
  <c r="AH494" i="6"/>
  <c r="AG494" i="6"/>
  <c r="AF494" i="6"/>
  <c r="AE494" i="6"/>
  <c r="AE714" i="6"/>
  <c r="AH714" i="6"/>
  <c r="AG714" i="6"/>
  <c r="AF714" i="6"/>
  <c r="AF131" i="6"/>
  <c r="AE131" i="6"/>
  <c r="AH131" i="6"/>
  <c r="AG131" i="6"/>
  <c r="AE307" i="6"/>
  <c r="AH307" i="6"/>
  <c r="AG307" i="6"/>
  <c r="AF307" i="6"/>
  <c r="AH483" i="6"/>
  <c r="AG483" i="6"/>
  <c r="AF483" i="6"/>
  <c r="AE483" i="6"/>
  <c r="AE703" i="6"/>
  <c r="AH703" i="6"/>
  <c r="AG703" i="6"/>
  <c r="AF703" i="6"/>
  <c r="AE164" i="6"/>
  <c r="AH164" i="6"/>
  <c r="AG164" i="6"/>
  <c r="AF164" i="6"/>
  <c r="AE340" i="6"/>
  <c r="AH340" i="6"/>
  <c r="AG340" i="6"/>
  <c r="AF340" i="6"/>
  <c r="AH560" i="6"/>
  <c r="AG560" i="6"/>
  <c r="AF560" i="6"/>
  <c r="AE560" i="6"/>
  <c r="AG736" i="6"/>
  <c r="AF736" i="6"/>
  <c r="AH736" i="6"/>
  <c r="AE736" i="6"/>
  <c r="AF109" i="6"/>
  <c r="AE109" i="6"/>
  <c r="AH109" i="6"/>
  <c r="AG109" i="6"/>
  <c r="AE285" i="6"/>
  <c r="AH285" i="6"/>
  <c r="AG285" i="6"/>
  <c r="AF285" i="6"/>
  <c r="AG461" i="6"/>
  <c r="AF461" i="6"/>
  <c r="AE461" i="6"/>
  <c r="AH461" i="6"/>
  <c r="AH681" i="6"/>
  <c r="AG681" i="6"/>
  <c r="AF681" i="6"/>
  <c r="AE681" i="6"/>
  <c r="AE77" i="6"/>
  <c r="AH77" i="6"/>
  <c r="AG77" i="6"/>
  <c r="AF77" i="6"/>
  <c r="AF253" i="6"/>
  <c r="AE253" i="6"/>
  <c r="AH253" i="6"/>
  <c r="AG253" i="6"/>
  <c r="AE429" i="6"/>
  <c r="AH429" i="6"/>
  <c r="AG429" i="6"/>
  <c r="AF429" i="6"/>
  <c r="AH649" i="6"/>
  <c r="AG649" i="6"/>
  <c r="AF649" i="6"/>
  <c r="AE649" i="6"/>
  <c r="AF110" i="6"/>
  <c r="AE110" i="6"/>
  <c r="AH110" i="6"/>
  <c r="AG110" i="6"/>
  <c r="AE286" i="6"/>
  <c r="AH286" i="6"/>
  <c r="AG286" i="6"/>
  <c r="AF286" i="6"/>
  <c r="AG462" i="6"/>
  <c r="AF462" i="6"/>
  <c r="AE462" i="6"/>
  <c r="AH462" i="6"/>
  <c r="AG682" i="6"/>
  <c r="AF682" i="6"/>
  <c r="AE682" i="6"/>
  <c r="AH682" i="6"/>
  <c r="AF143" i="6"/>
  <c r="AE143" i="6"/>
  <c r="AH143" i="6"/>
  <c r="AG143" i="6"/>
  <c r="AE319" i="6"/>
  <c r="AH319" i="6"/>
  <c r="AG319" i="6"/>
  <c r="AF319" i="6"/>
  <c r="AH495" i="6"/>
  <c r="AG495" i="6"/>
  <c r="AF495" i="6"/>
  <c r="AE495" i="6"/>
  <c r="AE715" i="6"/>
  <c r="AH715" i="6"/>
  <c r="AG715" i="6"/>
  <c r="AF715" i="6"/>
  <c r="AE88" i="6"/>
  <c r="AH88" i="6"/>
  <c r="AG88" i="6"/>
  <c r="AF88" i="6"/>
  <c r="AF264" i="6"/>
  <c r="AE264" i="6"/>
  <c r="AH264" i="6"/>
  <c r="AG264" i="6"/>
  <c r="AE440" i="6"/>
  <c r="AH440" i="6"/>
  <c r="AG440" i="6"/>
  <c r="AF440" i="6"/>
  <c r="AH660" i="6"/>
  <c r="AG660" i="6"/>
  <c r="AF660" i="6"/>
  <c r="AE660" i="6"/>
  <c r="AE102" i="6"/>
  <c r="AH102" i="6"/>
  <c r="AG102" i="6"/>
  <c r="AF102" i="6"/>
  <c r="AG278" i="6"/>
  <c r="AF278" i="6"/>
  <c r="AE278" i="6"/>
  <c r="AH278" i="6"/>
  <c r="AE454" i="6"/>
  <c r="AH454" i="6"/>
  <c r="AG454" i="6"/>
  <c r="AF454" i="6"/>
  <c r="AH674" i="6"/>
  <c r="AG674" i="6"/>
  <c r="AF674" i="6"/>
  <c r="AE674" i="6"/>
  <c r="AE91" i="6"/>
  <c r="AH91" i="6"/>
  <c r="AG91" i="6"/>
  <c r="AF91" i="6"/>
  <c r="AF267" i="6"/>
  <c r="AE267" i="6"/>
  <c r="AH267" i="6"/>
  <c r="AG267" i="6"/>
  <c r="AE443" i="6"/>
  <c r="AH443" i="6"/>
  <c r="AG443" i="6"/>
  <c r="AF443" i="6"/>
  <c r="AH663" i="6"/>
  <c r="AG663" i="6"/>
  <c r="AF663" i="6"/>
  <c r="AE663" i="6"/>
  <c r="AF124" i="6"/>
  <c r="AE124" i="6"/>
  <c r="AH124" i="6"/>
  <c r="AG124" i="6"/>
  <c r="AE300" i="6"/>
  <c r="AH300" i="6"/>
  <c r="AG300" i="6"/>
  <c r="AF300" i="6"/>
  <c r="AH476" i="6"/>
  <c r="AG476" i="6"/>
  <c r="AF476" i="6"/>
  <c r="AE476" i="6"/>
  <c r="AE696" i="6"/>
  <c r="AH696" i="6"/>
  <c r="AG696" i="6"/>
  <c r="AF696" i="6"/>
  <c r="AE69" i="6"/>
  <c r="AH69" i="6"/>
  <c r="AG69" i="6"/>
  <c r="AF69" i="6"/>
  <c r="AF245" i="6"/>
  <c r="AE245" i="6"/>
  <c r="AH245" i="6"/>
  <c r="AG245" i="6"/>
  <c r="AE421" i="6"/>
  <c r="AH421" i="6"/>
  <c r="AG421" i="6"/>
  <c r="AF421" i="6"/>
  <c r="AH641" i="6"/>
  <c r="AG641" i="6"/>
  <c r="AF641" i="6"/>
  <c r="AE641" i="6"/>
  <c r="AG100" i="6"/>
  <c r="AF100" i="6"/>
  <c r="AE100" i="6"/>
  <c r="AH100" i="6"/>
  <c r="AE276" i="6"/>
  <c r="AH276" i="6"/>
  <c r="AG276" i="6"/>
  <c r="AF276" i="6"/>
  <c r="AG452" i="6"/>
  <c r="AF452" i="6"/>
  <c r="AE452" i="6"/>
  <c r="AH452" i="6"/>
  <c r="AF672" i="6"/>
  <c r="AE672" i="6"/>
  <c r="AH672" i="6"/>
  <c r="AG672" i="6"/>
  <c r="AG89" i="6"/>
  <c r="AF89" i="6"/>
  <c r="AE89" i="6"/>
  <c r="AH89" i="6"/>
  <c r="AH265" i="6"/>
  <c r="AG265" i="6"/>
  <c r="AF265" i="6"/>
  <c r="AE265" i="6"/>
  <c r="AG441" i="6"/>
  <c r="AF441" i="6"/>
  <c r="AE441" i="6"/>
  <c r="AH441" i="6"/>
  <c r="AF661" i="6"/>
  <c r="AE661" i="6"/>
  <c r="AH661" i="6"/>
  <c r="AG661" i="6"/>
  <c r="AH122" i="6"/>
  <c r="AG122" i="6"/>
  <c r="AF122" i="6"/>
  <c r="AE122" i="6"/>
  <c r="AG298" i="6"/>
  <c r="AF298" i="6"/>
  <c r="AE298" i="6"/>
  <c r="AH298" i="6"/>
  <c r="AF474" i="6"/>
  <c r="AE474" i="6"/>
  <c r="AH474" i="6"/>
  <c r="AG474" i="6"/>
  <c r="AG694" i="6"/>
  <c r="AF694" i="6"/>
  <c r="AE694" i="6"/>
  <c r="AH694" i="6"/>
  <c r="AG67" i="6"/>
  <c r="AF67" i="6"/>
  <c r="AE67" i="6"/>
  <c r="AH67" i="6"/>
  <c r="AH243" i="6"/>
  <c r="AG243" i="6"/>
  <c r="AF243" i="6"/>
  <c r="AE243" i="6"/>
  <c r="AG419" i="6"/>
  <c r="AF419" i="6"/>
  <c r="AE419" i="6"/>
  <c r="AH419" i="6"/>
  <c r="AF639" i="6"/>
  <c r="AE639" i="6"/>
  <c r="AH639" i="6"/>
  <c r="AG639" i="6"/>
  <c r="AG39" i="6"/>
  <c r="AF39" i="6"/>
  <c r="AI39" i="6"/>
  <c r="AE39" i="6"/>
  <c r="AH39" i="6"/>
  <c r="AF26" i="6"/>
  <c r="AE26" i="6"/>
  <c r="AF21" i="6"/>
  <c r="AE21" i="6"/>
  <c r="AF25" i="6"/>
  <c r="AE25" i="6"/>
  <c r="AE23" i="6"/>
  <c r="AF23" i="6"/>
  <c r="AF24" i="6"/>
  <c r="AE24" i="6"/>
  <c r="AE22" i="6"/>
  <c r="AF22" i="6"/>
  <c r="AE28" i="6"/>
  <c r="AF28" i="6"/>
  <c r="AI100" i="6"/>
  <c r="P101" i="6"/>
  <c r="V104" i="6"/>
  <c r="U98" i="6"/>
  <c r="AJ98" i="6" s="1"/>
  <c r="P103" i="6"/>
  <c r="V103" i="6"/>
  <c r="U101" i="6"/>
  <c r="P105" i="6"/>
  <c r="U102" i="6"/>
  <c r="V100" i="6"/>
  <c r="AI99" i="6"/>
  <c r="U99" i="6"/>
  <c r="V101" i="6"/>
  <c r="V98" i="6"/>
  <c r="P98" i="6"/>
  <c r="P100" i="6"/>
  <c r="U103" i="6"/>
  <c r="U104" i="6"/>
  <c r="U100" i="6"/>
  <c r="AJ100" i="6" s="1"/>
  <c r="V102" i="6"/>
  <c r="P102" i="6"/>
  <c r="P99" i="6"/>
  <c r="V99" i="6"/>
  <c r="U105" i="6"/>
  <c r="V105" i="6"/>
  <c r="P104" i="6"/>
  <c r="V281" i="6"/>
  <c r="U116" i="7" s="1"/>
  <c r="U279" i="6"/>
  <c r="AJ279" i="6" s="1"/>
  <c r="P277" i="6"/>
  <c r="V279" i="6"/>
  <c r="Q116" i="7" s="1"/>
  <c r="U277" i="6"/>
  <c r="U276" i="6"/>
  <c r="AJ276" i="6" s="1"/>
  <c r="P275" i="6"/>
  <c r="V275" i="6"/>
  <c r="I116" i="7" s="1"/>
  <c r="U274" i="6"/>
  <c r="U278" i="6"/>
  <c r="V277" i="6"/>
  <c r="M116" i="7" s="1"/>
  <c r="U275" i="6"/>
  <c r="V278" i="6"/>
  <c r="O116" i="7" s="1"/>
  <c r="V274" i="6"/>
  <c r="G116" i="7" s="1"/>
  <c r="U280" i="6"/>
  <c r="P278" i="6"/>
  <c r="P279" i="6"/>
  <c r="P276" i="6"/>
  <c r="AI279" i="6"/>
  <c r="V280" i="6"/>
  <c r="S116" i="7" s="1"/>
  <c r="AI278" i="6"/>
  <c r="P281" i="6"/>
  <c r="U114" i="7" s="1"/>
  <c r="P274" i="6"/>
  <c r="AI276" i="6"/>
  <c r="AI275" i="6"/>
  <c r="V276" i="6"/>
  <c r="K116" i="7" s="1"/>
  <c r="U281" i="6"/>
  <c r="AI280" i="6"/>
  <c r="P280" i="6"/>
  <c r="P453" i="6"/>
  <c r="U450" i="6"/>
  <c r="P455" i="6"/>
  <c r="U454" i="6"/>
  <c r="U456" i="6"/>
  <c r="V454" i="6"/>
  <c r="U451" i="6"/>
  <c r="P451" i="6"/>
  <c r="U452" i="6"/>
  <c r="P450" i="6"/>
  <c r="U455" i="6"/>
  <c r="P452" i="6"/>
  <c r="U457" i="6"/>
  <c r="P454" i="6"/>
  <c r="V451" i="6"/>
  <c r="V450" i="6"/>
  <c r="V455" i="6"/>
  <c r="P456" i="6"/>
  <c r="V456" i="6"/>
  <c r="V452" i="6"/>
  <c r="P457" i="6"/>
  <c r="U453" i="6"/>
  <c r="V453" i="6"/>
  <c r="V457" i="6"/>
  <c r="V677" i="6"/>
  <c r="U674" i="6"/>
  <c r="AJ674" i="6" s="1"/>
  <c r="P673" i="6"/>
  <c r="U670" i="6"/>
  <c r="AJ670" i="6" s="1"/>
  <c r="AI671" i="6"/>
  <c r="AI672" i="6"/>
  <c r="V675" i="6"/>
  <c r="P676" i="6"/>
  <c r="V670" i="6"/>
  <c r="P675" i="6"/>
  <c r="U672" i="6"/>
  <c r="AJ672" i="6" s="1"/>
  <c r="AI670" i="6"/>
  <c r="U671" i="6"/>
  <c r="AJ671" i="6" s="1"/>
  <c r="U673" i="6"/>
  <c r="V674" i="6"/>
  <c r="U675" i="6"/>
  <c r="AJ675" i="6" s="1"/>
  <c r="U677" i="6"/>
  <c r="P671" i="6"/>
  <c r="V673" i="6"/>
  <c r="V671" i="6"/>
  <c r="P672" i="6"/>
  <c r="V676" i="6"/>
  <c r="AI673" i="6"/>
  <c r="AI676" i="6"/>
  <c r="V672" i="6"/>
  <c r="P677" i="6"/>
  <c r="P670" i="6"/>
  <c r="U676" i="6"/>
  <c r="AJ676" i="6" s="1"/>
  <c r="P674" i="6"/>
  <c r="U90" i="6"/>
  <c r="V87" i="6"/>
  <c r="AI88" i="6"/>
  <c r="P89" i="6"/>
  <c r="U89" i="6"/>
  <c r="V90" i="6"/>
  <c r="P91" i="6"/>
  <c r="P88" i="6"/>
  <c r="U87" i="6"/>
  <c r="AJ87" i="6" s="1"/>
  <c r="V88" i="6"/>
  <c r="P92" i="6"/>
  <c r="U93" i="6"/>
  <c r="U91" i="6"/>
  <c r="P90" i="6"/>
  <c r="U88" i="6"/>
  <c r="AJ88" i="6" s="1"/>
  <c r="V89" i="6"/>
  <c r="AI89" i="6"/>
  <c r="V91" i="6"/>
  <c r="AI87" i="6"/>
  <c r="P87" i="6"/>
  <c r="U92" i="6"/>
  <c r="V92" i="6"/>
  <c r="V94" i="6"/>
  <c r="U383" i="7" s="1"/>
  <c r="V93" i="6"/>
  <c r="P93" i="6"/>
  <c r="U94" i="6"/>
  <c r="P94" i="6"/>
  <c r="V270" i="6"/>
  <c r="U334" i="7" s="1"/>
  <c r="U264" i="6"/>
  <c r="AJ264" i="6" s="1"/>
  <c r="P264" i="6"/>
  <c r="I332" i="7" s="1"/>
  <c r="V266" i="6"/>
  <c r="M334" i="7" s="1"/>
  <c r="P265" i="6"/>
  <c r="U268" i="6"/>
  <c r="AJ268" i="6" s="1"/>
  <c r="V265" i="6"/>
  <c r="K334" i="7" s="1"/>
  <c r="U269" i="6"/>
  <c r="P263" i="6"/>
  <c r="H83" i="11" s="1"/>
  <c r="U265" i="6"/>
  <c r="AJ265" i="6" s="1"/>
  <c r="P269" i="6"/>
  <c r="V264" i="6"/>
  <c r="I334" i="7" s="1"/>
  <c r="P268" i="6"/>
  <c r="Q332" i="7" s="1"/>
  <c r="U263" i="6"/>
  <c r="AJ263" i="6" s="1"/>
  <c r="V267" i="6"/>
  <c r="O334" i="7" s="1"/>
  <c r="AI265" i="6"/>
  <c r="U267" i="6"/>
  <c r="AJ267" i="6" s="1"/>
  <c r="V268" i="6"/>
  <c r="Q334" i="7" s="1"/>
  <c r="P266" i="6"/>
  <c r="U266" i="6"/>
  <c r="V263" i="6"/>
  <c r="G334" i="7" s="1"/>
  <c r="P270" i="6"/>
  <c r="P267" i="6"/>
  <c r="O332" i="7" s="1"/>
  <c r="V269" i="6"/>
  <c r="S334" i="7" s="1"/>
  <c r="U270" i="6"/>
  <c r="P444" i="6"/>
  <c r="U445" i="6"/>
  <c r="U439" i="6"/>
  <c r="AJ439" i="6" s="1"/>
  <c r="P440" i="6"/>
  <c r="U441" i="6"/>
  <c r="P442" i="6"/>
  <c r="U443" i="6"/>
  <c r="V443" i="6"/>
  <c r="U440" i="6"/>
  <c r="AI440" i="6"/>
  <c r="V441" i="6"/>
  <c r="P439" i="6"/>
  <c r="U444" i="6"/>
  <c r="AI444" i="6"/>
  <c r="U446" i="6"/>
  <c r="P443" i="6"/>
  <c r="AI445" i="6"/>
  <c r="V440" i="6"/>
  <c r="V439" i="6"/>
  <c r="AI441" i="6"/>
  <c r="V444" i="6"/>
  <c r="V442" i="6"/>
  <c r="AI443" i="6"/>
  <c r="AI442" i="6"/>
  <c r="V446" i="6"/>
  <c r="P441" i="6"/>
  <c r="V445" i="6"/>
  <c r="P445" i="6"/>
  <c r="U442" i="6"/>
  <c r="P446" i="6"/>
  <c r="U665" i="6"/>
  <c r="V661" i="6"/>
  <c r="P662" i="6"/>
  <c r="U661" i="6"/>
  <c r="AJ661" i="6" s="1"/>
  <c r="P659" i="6"/>
  <c r="U662" i="6"/>
  <c r="U666" i="6"/>
  <c r="P663" i="6"/>
  <c r="V660" i="6"/>
  <c r="V659" i="6"/>
  <c r="U664" i="6"/>
  <c r="P664" i="6"/>
  <c r="U659" i="6"/>
  <c r="AJ659" i="6" s="1"/>
  <c r="V666" i="6"/>
  <c r="V664" i="6"/>
  <c r="V662" i="6"/>
  <c r="V663" i="6"/>
  <c r="U660" i="6"/>
  <c r="AJ660" i="6" s="1"/>
  <c r="U663" i="6"/>
  <c r="P660" i="6"/>
  <c r="P661" i="6"/>
  <c r="P666" i="6"/>
  <c r="P665" i="6"/>
  <c r="V665" i="6"/>
  <c r="P127" i="6"/>
  <c r="AI122" i="6"/>
  <c r="U122" i="6"/>
  <c r="U126" i="6"/>
  <c r="P126" i="6"/>
  <c r="U125" i="6"/>
  <c r="P125" i="6"/>
  <c r="P124" i="6"/>
  <c r="P122" i="6"/>
  <c r="P123" i="6"/>
  <c r="V120" i="6"/>
  <c r="P120" i="6"/>
  <c r="V121" i="6"/>
  <c r="AI121" i="6"/>
  <c r="U120" i="6"/>
  <c r="V122" i="6"/>
  <c r="V124" i="6"/>
  <c r="AI123" i="6"/>
  <c r="U124" i="6"/>
  <c r="AJ124" i="6" s="1"/>
  <c r="AI120" i="6"/>
  <c r="V125" i="6"/>
  <c r="AI125" i="6"/>
  <c r="AI126" i="6"/>
  <c r="AI124" i="6"/>
  <c r="U123" i="6"/>
  <c r="U121" i="6"/>
  <c r="AJ121" i="6" s="1"/>
  <c r="P121" i="6"/>
  <c r="U127" i="6"/>
  <c r="V123" i="6"/>
  <c r="V127" i="6"/>
  <c r="V126" i="6"/>
  <c r="U298" i="6"/>
  <c r="AJ298" i="6" s="1"/>
  <c r="U302" i="6"/>
  <c r="V297" i="6"/>
  <c r="I289" i="7" s="1"/>
  <c r="V301" i="6"/>
  <c r="Q289" i="7" s="1"/>
  <c r="P298" i="6"/>
  <c r="U299" i="6"/>
  <c r="U303" i="6"/>
  <c r="U301" i="6"/>
  <c r="P297" i="6"/>
  <c r="U300" i="6"/>
  <c r="U297" i="6"/>
  <c r="P300" i="6"/>
  <c r="P301" i="6"/>
  <c r="P299" i="6"/>
  <c r="M287" i="7" s="1"/>
  <c r="P302" i="6"/>
  <c r="V296" i="6"/>
  <c r="G289" i="7" s="1"/>
  <c r="V298" i="6"/>
  <c r="K289" i="7" s="1"/>
  <c r="V299" i="6"/>
  <c r="M289" i="7" s="1"/>
  <c r="V302" i="6"/>
  <c r="S289" i="7" s="1"/>
  <c r="P296" i="6"/>
  <c r="U296" i="6"/>
  <c r="P303" i="6"/>
  <c r="U287" i="7" s="1"/>
  <c r="V300" i="6"/>
  <c r="O289" i="7" s="1"/>
  <c r="V303" i="6"/>
  <c r="U289" i="7" s="1"/>
  <c r="U476" i="6"/>
  <c r="P477" i="6"/>
  <c r="U478" i="6"/>
  <c r="U472" i="6"/>
  <c r="AJ479" i="6" s="1"/>
  <c r="P475" i="6"/>
  <c r="V476" i="6"/>
  <c r="U473" i="6"/>
  <c r="P473" i="6"/>
  <c r="U474" i="6"/>
  <c r="AJ474" i="6" s="1"/>
  <c r="P472" i="6"/>
  <c r="U477" i="6"/>
  <c r="P474" i="6"/>
  <c r="U479" i="6"/>
  <c r="P476" i="6"/>
  <c r="V473" i="6"/>
  <c r="V472" i="6"/>
  <c r="V477" i="6"/>
  <c r="U475" i="6"/>
  <c r="AI478" i="6"/>
  <c r="P479" i="6"/>
  <c r="V478" i="6"/>
  <c r="V475" i="6"/>
  <c r="P478" i="6"/>
  <c r="AI476" i="6"/>
  <c r="V474" i="6"/>
  <c r="V479" i="6"/>
  <c r="P695" i="6"/>
  <c r="P694" i="6"/>
  <c r="U698" i="6"/>
  <c r="U694" i="6"/>
  <c r="U697" i="6"/>
  <c r="V695" i="6"/>
  <c r="M358" i="7" s="1"/>
  <c r="P692" i="6"/>
  <c r="U695" i="6"/>
  <c r="V696" i="6"/>
  <c r="O358" i="7" s="1"/>
  <c r="P696" i="6"/>
  <c r="O356" i="7" s="1"/>
  <c r="AI694" i="6"/>
  <c r="P697" i="6"/>
  <c r="Q356" i="7" s="1"/>
  <c r="P699" i="6"/>
  <c r="U356" i="7" s="1"/>
  <c r="V692" i="6"/>
  <c r="U693" i="6"/>
  <c r="U692" i="6"/>
  <c r="P693" i="6"/>
  <c r="U699" i="6"/>
  <c r="U696" i="6"/>
  <c r="V698" i="6"/>
  <c r="S358" i="7" s="1"/>
  <c r="V699" i="6"/>
  <c r="U358" i="7" s="1"/>
  <c r="P698" i="6"/>
  <c r="S356" i="7" s="1"/>
  <c r="V694" i="6"/>
  <c r="V693" i="6"/>
  <c r="V697" i="6"/>
  <c r="Q358" i="7" s="1"/>
  <c r="V67" i="6"/>
  <c r="U72" i="6"/>
  <c r="P66" i="6"/>
  <c r="U71" i="6"/>
  <c r="U67" i="6"/>
  <c r="P65" i="6"/>
  <c r="V69" i="6"/>
  <c r="U66" i="6"/>
  <c r="AI67" i="6"/>
  <c r="V66" i="6"/>
  <c r="U65" i="6"/>
  <c r="V65" i="6"/>
  <c r="V68" i="6"/>
  <c r="P70" i="6"/>
  <c r="U68" i="6"/>
  <c r="P69" i="6"/>
  <c r="U69" i="6"/>
  <c r="P67" i="6"/>
  <c r="U70" i="6"/>
  <c r="V70" i="6"/>
  <c r="P68" i="6"/>
  <c r="P71" i="6"/>
  <c r="V71" i="6"/>
  <c r="P72" i="6"/>
  <c r="V72" i="6"/>
  <c r="U247" i="6"/>
  <c r="U242" i="6"/>
  <c r="P245" i="6"/>
  <c r="U243" i="6"/>
  <c r="U246" i="6"/>
  <c r="P242" i="6"/>
  <c r="V247" i="6"/>
  <c r="S285" i="7" s="1"/>
  <c r="P246" i="6"/>
  <c r="Q283" i="7" s="1"/>
  <c r="P243" i="6"/>
  <c r="U248" i="6"/>
  <c r="U241" i="6"/>
  <c r="AJ241" i="6" s="1"/>
  <c r="V242" i="6"/>
  <c r="I285" i="7" s="1"/>
  <c r="V243" i="6"/>
  <c r="K285" i="7" s="1"/>
  <c r="U245" i="6"/>
  <c r="P248" i="6"/>
  <c r="V245" i="6"/>
  <c r="O285" i="7" s="1"/>
  <c r="V246" i="6"/>
  <c r="Q285" i="7" s="1"/>
  <c r="P241" i="6"/>
  <c r="H27" i="11" s="1"/>
  <c r="V241" i="6"/>
  <c r="G285" i="7" s="1"/>
  <c r="U244" i="6"/>
  <c r="P244" i="6"/>
  <c r="M283" i="7" s="1"/>
  <c r="V244" i="6"/>
  <c r="M285" i="7" s="1"/>
  <c r="V248" i="6"/>
  <c r="U285" i="7" s="1"/>
  <c r="P247" i="6"/>
  <c r="S283" i="7" s="1"/>
  <c r="P418" i="6"/>
  <c r="U423" i="6"/>
  <c r="P422" i="6"/>
  <c r="U417" i="6"/>
  <c r="U419" i="6"/>
  <c r="V417" i="6"/>
  <c r="U420" i="6"/>
  <c r="V419" i="6"/>
  <c r="P420" i="6"/>
  <c r="V421" i="6"/>
  <c r="U418" i="6"/>
  <c r="U424" i="6"/>
  <c r="P419" i="6"/>
  <c r="U421" i="6"/>
  <c r="V418" i="6"/>
  <c r="P417" i="6"/>
  <c r="AI419" i="6"/>
  <c r="V422" i="6"/>
  <c r="AI417" i="6"/>
  <c r="U422" i="6"/>
  <c r="V424" i="6"/>
  <c r="P423" i="6"/>
  <c r="V420" i="6"/>
  <c r="V423" i="6"/>
  <c r="P424" i="6"/>
  <c r="P421" i="6"/>
  <c r="AI420" i="6"/>
  <c r="V639" i="6"/>
  <c r="U637" i="6"/>
  <c r="AJ637" i="6" s="1"/>
  <c r="U641" i="6"/>
  <c r="P640" i="6"/>
  <c r="U639" i="6"/>
  <c r="AJ639" i="6" s="1"/>
  <c r="U643" i="6"/>
  <c r="AJ643" i="6" s="1"/>
  <c r="P642" i="6"/>
  <c r="V640" i="6"/>
  <c r="P641" i="6"/>
  <c r="V644" i="6"/>
  <c r="U350" i="7" s="1"/>
  <c r="U640" i="6"/>
  <c r="V641" i="6"/>
  <c r="P638" i="6"/>
  <c r="V638" i="6"/>
  <c r="U642" i="6"/>
  <c r="AJ642" i="6" s="1"/>
  <c r="U638" i="6"/>
  <c r="AJ638" i="6" s="1"/>
  <c r="AI639" i="6"/>
  <c r="P637" i="6"/>
  <c r="V642" i="6"/>
  <c r="AI641" i="6"/>
  <c r="V643" i="6"/>
  <c r="P639" i="6"/>
  <c r="P644" i="6"/>
  <c r="U348" i="7" s="1"/>
  <c r="V637" i="6"/>
  <c r="U644" i="6"/>
  <c r="P643" i="6"/>
  <c r="U143" i="6"/>
  <c r="U149" i="6"/>
  <c r="U147" i="6"/>
  <c r="V145" i="6"/>
  <c r="P146" i="6"/>
  <c r="U148" i="6"/>
  <c r="P144" i="6"/>
  <c r="V147" i="6"/>
  <c r="V144" i="6"/>
  <c r="U142" i="6"/>
  <c r="AJ142" i="6" s="1"/>
  <c r="U145" i="6"/>
  <c r="V142" i="6"/>
  <c r="P148" i="6"/>
  <c r="P143" i="6"/>
  <c r="P145" i="6"/>
  <c r="V149" i="6"/>
  <c r="U146" i="6"/>
  <c r="V143" i="6"/>
  <c r="V146" i="6"/>
  <c r="P147" i="6"/>
  <c r="P142" i="6"/>
  <c r="P149" i="6"/>
  <c r="V148" i="6"/>
  <c r="U144" i="6"/>
  <c r="AJ144" i="6" s="1"/>
  <c r="U325" i="6"/>
  <c r="U320" i="6"/>
  <c r="AJ320" i="6" s="1"/>
  <c r="V319" i="6"/>
  <c r="U324" i="6"/>
  <c r="V325" i="6"/>
  <c r="P321" i="6"/>
  <c r="V320" i="6"/>
  <c r="P323" i="6"/>
  <c r="V324" i="6"/>
  <c r="P325" i="6"/>
  <c r="V318" i="6"/>
  <c r="U322" i="6"/>
  <c r="AJ322" i="6" s="1"/>
  <c r="P322" i="6"/>
  <c r="P320" i="6"/>
  <c r="P319" i="6"/>
  <c r="U318" i="6"/>
  <c r="AJ318" i="6" s="1"/>
  <c r="P318" i="6"/>
  <c r="H39" i="11" s="1"/>
  <c r="U319" i="6"/>
  <c r="AJ319" i="6" s="1"/>
  <c r="V323" i="6"/>
  <c r="U321" i="6"/>
  <c r="U323" i="6"/>
  <c r="AJ323" i="6" s="1"/>
  <c r="V322" i="6"/>
  <c r="V321" i="6"/>
  <c r="P324" i="6"/>
  <c r="AI322" i="6"/>
  <c r="P495" i="6"/>
  <c r="U500" i="6"/>
  <c r="P497" i="6"/>
  <c r="U494" i="6"/>
  <c r="AJ501" i="6" s="1"/>
  <c r="U498" i="6"/>
  <c r="P494" i="6"/>
  <c r="U495" i="6"/>
  <c r="V496" i="6"/>
  <c r="P498" i="6"/>
  <c r="U499" i="6"/>
  <c r="P499" i="6"/>
  <c r="U496" i="6"/>
  <c r="V494" i="6"/>
  <c r="V495" i="6"/>
  <c r="V498" i="6"/>
  <c r="V499" i="6"/>
  <c r="P496" i="6"/>
  <c r="V500" i="6"/>
  <c r="P501" i="6"/>
  <c r="P500" i="6"/>
  <c r="AI494" i="6"/>
  <c r="AI500" i="6"/>
  <c r="U501" i="6"/>
  <c r="U497" i="6"/>
  <c r="V497" i="6"/>
  <c r="V501" i="6"/>
  <c r="V716" i="6"/>
  <c r="U717" i="6"/>
  <c r="U714" i="6"/>
  <c r="V719" i="6"/>
  <c r="U716" i="6"/>
  <c r="P721" i="6"/>
  <c r="U720" i="6"/>
  <c r="U715" i="6"/>
  <c r="AJ715" i="6" s="1"/>
  <c r="U718" i="6"/>
  <c r="P714" i="6"/>
  <c r="P719" i="6"/>
  <c r="V714" i="6"/>
  <c r="P716" i="6"/>
  <c r="V717" i="6"/>
  <c r="V718" i="6"/>
  <c r="U719" i="6"/>
  <c r="V721" i="6"/>
  <c r="P717" i="6"/>
  <c r="P718" i="6"/>
  <c r="V720" i="6"/>
  <c r="P715" i="6"/>
  <c r="V715" i="6"/>
  <c r="U721" i="6"/>
  <c r="P720" i="6"/>
  <c r="AI136" i="6"/>
  <c r="P138" i="6"/>
  <c r="P137" i="6"/>
  <c r="AI133" i="6"/>
  <c r="P133" i="6"/>
  <c r="V136" i="6"/>
  <c r="V135" i="6"/>
  <c r="U136" i="6"/>
  <c r="AJ136" i="6" s="1"/>
  <c r="U135" i="6"/>
  <c r="V131" i="6"/>
  <c r="P132" i="6"/>
  <c r="V134" i="6"/>
  <c r="P135" i="6"/>
  <c r="U134" i="6"/>
  <c r="P136" i="6"/>
  <c r="U138" i="6"/>
  <c r="P131" i="6"/>
  <c r="U132" i="6"/>
  <c r="V137" i="6"/>
  <c r="V133" i="6"/>
  <c r="V132" i="6"/>
  <c r="U133" i="6"/>
  <c r="P134" i="6"/>
  <c r="U131" i="6"/>
  <c r="AJ131" i="6" s="1"/>
  <c r="U137" i="6"/>
  <c r="V138" i="6"/>
  <c r="V311" i="6"/>
  <c r="P313" i="6"/>
  <c r="P308" i="6"/>
  <c r="AI309" i="6"/>
  <c r="V314" i="6"/>
  <c r="AI311" i="6"/>
  <c r="V307" i="6"/>
  <c r="U309" i="6"/>
  <c r="AJ309" i="6" s="1"/>
  <c r="V308" i="6"/>
  <c r="V310" i="6"/>
  <c r="P309" i="6"/>
  <c r="U308" i="6"/>
  <c r="U310" i="6"/>
  <c r="AI313" i="6"/>
  <c r="U313" i="6"/>
  <c r="AI312" i="6"/>
  <c r="P311" i="6"/>
  <c r="P314" i="6"/>
  <c r="U312" i="6"/>
  <c r="V309" i="6"/>
  <c r="P312" i="6"/>
  <c r="P310" i="6"/>
  <c r="V312" i="6"/>
  <c r="V313" i="6"/>
  <c r="U314" i="6"/>
  <c r="U307" i="6"/>
  <c r="AJ307" i="6" s="1"/>
  <c r="P307" i="6"/>
  <c r="U311" i="6"/>
  <c r="AJ311" i="6" s="1"/>
  <c r="U487" i="6"/>
  <c r="U489" i="6"/>
  <c r="P484" i="6"/>
  <c r="U483" i="6"/>
  <c r="P486" i="6"/>
  <c r="U485" i="6"/>
  <c r="P483" i="6"/>
  <c r="U484" i="6"/>
  <c r="AJ484" i="6" s="1"/>
  <c r="P485" i="6"/>
  <c r="P487" i="6"/>
  <c r="U488" i="6"/>
  <c r="P489" i="6"/>
  <c r="V483" i="6"/>
  <c r="V484" i="6"/>
  <c r="V487" i="6"/>
  <c r="V488" i="6"/>
  <c r="V485" i="6"/>
  <c r="V486" i="6"/>
  <c r="U490" i="6"/>
  <c r="V490" i="6"/>
  <c r="P490" i="6"/>
  <c r="V489" i="6"/>
  <c r="P488" i="6"/>
  <c r="U486" i="6"/>
  <c r="V707" i="6"/>
  <c r="V708" i="6"/>
  <c r="U709" i="6"/>
  <c r="V705" i="6"/>
  <c r="U710" i="6"/>
  <c r="V706" i="6"/>
  <c r="U704" i="6"/>
  <c r="U703" i="6"/>
  <c r="U706" i="6"/>
  <c r="P708" i="6"/>
  <c r="P705" i="6"/>
  <c r="AI703" i="6"/>
  <c r="U707" i="6"/>
  <c r="P704" i="6"/>
  <c r="P709" i="6"/>
  <c r="V703" i="6"/>
  <c r="V709" i="6"/>
  <c r="V704" i="6"/>
  <c r="U708" i="6"/>
  <c r="U705" i="6"/>
  <c r="V710" i="6"/>
  <c r="P706" i="6"/>
  <c r="P710" i="6"/>
  <c r="P703" i="6"/>
  <c r="P707" i="6"/>
  <c r="U169" i="6"/>
  <c r="U165" i="6"/>
  <c r="V170" i="6"/>
  <c r="U171" i="6"/>
  <c r="U166" i="6"/>
  <c r="V167" i="6"/>
  <c r="AI166" i="6"/>
  <c r="V166" i="6"/>
  <c r="U168" i="6"/>
  <c r="P169" i="6"/>
  <c r="P170" i="6"/>
  <c r="P165" i="6"/>
  <c r="U164" i="6"/>
  <c r="V169" i="6"/>
  <c r="V168" i="6"/>
  <c r="P168" i="6"/>
  <c r="V165" i="6"/>
  <c r="AI164" i="6"/>
  <c r="V164" i="6"/>
  <c r="P166" i="6"/>
  <c r="P164" i="6"/>
  <c r="U167" i="6"/>
  <c r="P167" i="6"/>
  <c r="U170" i="6"/>
  <c r="V171" i="6"/>
  <c r="P171" i="6"/>
  <c r="P346" i="6"/>
  <c r="AI342" i="6"/>
  <c r="P343" i="6"/>
  <c r="V343" i="6"/>
  <c r="AI340" i="6"/>
  <c r="V342" i="6"/>
  <c r="V346" i="6"/>
  <c r="P342" i="6"/>
  <c r="P347" i="6"/>
  <c r="U340" i="6"/>
  <c r="AJ340" i="6" s="1"/>
  <c r="V341" i="6"/>
  <c r="V344" i="6"/>
  <c r="P341" i="6"/>
  <c r="U347" i="6"/>
  <c r="U343" i="6"/>
  <c r="P345" i="6"/>
  <c r="V345" i="6"/>
  <c r="U344" i="6"/>
  <c r="U341" i="6"/>
  <c r="AJ341" i="6" s="1"/>
  <c r="P340" i="6"/>
  <c r="V340" i="6"/>
  <c r="U345" i="6"/>
  <c r="P344" i="6"/>
  <c r="V347" i="6"/>
  <c r="U342" i="6"/>
  <c r="AJ342" i="6" s="1"/>
  <c r="U346" i="6"/>
  <c r="AJ346" i="6" s="1"/>
  <c r="U566" i="6"/>
  <c r="P561" i="6"/>
  <c r="U560" i="6"/>
  <c r="P563" i="6"/>
  <c r="U562" i="6"/>
  <c r="P565" i="6"/>
  <c r="U564" i="6"/>
  <c r="P560" i="6"/>
  <c r="U561" i="6"/>
  <c r="U567" i="6"/>
  <c r="P564" i="6"/>
  <c r="U565" i="6"/>
  <c r="P562" i="6"/>
  <c r="V560" i="6"/>
  <c r="V561" i="6"/>
  <c r="V564" i="6"/>
  <c r="V565" i="6"/>
  <c r="P566" i="6"/>
  <c r="U563" i="6"/>
  <c r="V566" i="6"/>
  <c r="V562" i="6"/>
  <c r="V563" i="6"/>
  <c r="P567" i="6"/>
  <c r="V567" i="6"/>
  <c r="V739" i="6"/>
  <c r="U739" i="6"/>
  <c r="U742" i="6"/>
  <c r="V737" i="6"/>
  <c r="U737" i="6"/>
  <c r="V743" i="6"/>
  <c r="U743" i="6"/>
  <c r="U736" i="6"/>
  <c r="V738" i="6"/>
  <c r="V741" i="6"/>
  <c r="U741" i="6"/>
  <c r="U738" i="6"/>
  <c r="V742" i="6"/>
  <c r="P739" i="6"/>
  <c r="U740" i="6"/>
  <c r="AI738" i="6"/>
  <c r="V740" i="6"/>
  <c r="P738" i="6"/>
  <c r="P741" i="6"/>
  <c r="P743" i="6"/>
  <c r="P737" i="6"/>
  <c r="V736" i="6"/>
  <c r="P736" i="6"/>
  <c r="P740" i="6"/>
  <c r="P742" i="6"/>
  <c r="U111" i="6"/>
  <c r="AJ111" i="6" s="1"/>
  <c r="V111" i="6"/>
  <c r="U114" i="6"/>
  <c r="AI113" i="6"/>
  <c r="V114" i="6"/>
  <c r="P112" i="6"/>
  <c r="V113" i="6"/>
  <c r="P111" i="6"/>
  <c r="P110" i="6"/>
  <c r="U112" i="6"/>
  <c r="V112" i="6"/>
  <c r="P113" i="6"/>
  <c r="P116" i="6"/>
  <c r="P114" i="6"/>
  <c r="V110" i="6"/>
  <c r="U110" i="6"/>
  <c r="U109" i="6"/>
  <c r="U113" i="6"/>
  <c r="P109" i="6"/>
  <c r="U116" i="6"/>
  <c r="V109" i="6"/>
  <c r="AI111" i="6"/>
  <c r="P115" i="6"/>
  <c r="U115" i="6"/>
  <c r="V116" i="6"/>
  <c r="V115" i="6"/>
  <c r="V292" i="6"/>
  <c r="U166" i="7" s="1"/>
  <c r="U286" i="6"/>
  <c r="P285" i="6"/>
  <c r="H12" i="11" s="1"/>
  <c r="AI289" i="6"/>
  <c r="U290" i="6"/>
  <c r="V285" i="6"/>
  <c r="G166" i="7" s="1"/>
  <c r="P290" i="6"/>
  <c r="U287" i="6"/>
  <c r="V286" i="6"/>
  <c r="I166" i="7" s="1"/>
  <c r="P287" i="6"/>
  <c r="K164" i="7" s="1"/>
  <c r="U288" i="6"/>
  <c r="P289" i="6"/>
  <c r="V290" i="6"/>
  <c r="Q166" i="7" s="1"/>
  <c r="U289" i="6"/>
  <c r="V289" i="6"/>
  <c r="O166" i="7" s="1"/>
  <c r="P291" i="6"/>
  <c r="V288" i="6"/>
  <c r="M166" i="7" s="1"/>
  <c r="V291" i="6"/>
  <c r="S166" i="7" s="1"/>
  <c r="U285" i="6"/>
  <c r="P286" i="6"/>
  <c r="I164" i="7" s="1"/>
  <c r="AI287" i="6"/>
  <c r="V287" i="6"/>
  <c r="K166" i="7" s="1"/>
  <c r="U291" i="6"/>
  <c r="U292" i="6"/>
  <c r="P288" i="6"/>
  <c r="P292" i="6"/>
  <c r="U164" i="7" s="1"/>
  <c r="P466" i="6"/>
  <c r="U461" i="6"/>
  <c r="AJ461" i="6" s="1"/>
  <c r="U465" i="6"/>
  <c r="U467" i="6"/>
  <c r="P464" i="6"/>
  <c r="V465" i="6"/>
  <c r="U462" i="6"/>
  <c r="P467" i="6"/>
  <c r="P461" i="6"/>
  <c r="U466" i="6"/>
  <c r="V463" i="6"/>
  <c r="P465" i="6"/>
  <c r="V462" i="6"/>
  <c r="V461" i="6"/>
  <c r="V466" i="6"/>
  <c r="P462" i="6"/>
  <c r="P463" i="6"/>
  <c r="U464" i="6"/>
  <c r="V468" i="6"/>
  <c r="U463" i="6"/>
  <c r="V464" i="6"/>
  <c r="V467" i="6"/>
  <c r="U468" i="6"/>
  <c r="P468" i="6"/>
  <c r="V683" i="6"/>
  <c r="P685" i="6"/>
  <c r="U687" i="6"/>
  <c r="V684" i="6"/>
  <c r="U683" i="6"/>
  <c r="AJ683" i="6" s="1"/>
  <c r="P686" i="6"/>
  <c r="P681" i="6"/>
  <c r="U685" i="6"/>
  <c r="V685" i="6"/>
  <c r="P683" i="6"/>
  <c r="U688" i="6"/>
  <c r="U686" i="6"/>
  <c r="V682" i="6"/>
  <c r="V687" i="6"/>
  <c r="P682" i="6"/>
  <c r="U681" i="6"/>
  <c r="AJ688" i="6" s="1"/>
  <c r="P684" i="6"/>
  <c r="V686" i="6"/>
  <c r="P687" i="6"/>
  <c r="U682" i="6"/>
  <c r="V681" i="6"/>
  <c r="U684" i="6"/>
  <c r="V688" i="6"/>
  <c r="P688" i="6"/>
  <c r="U186" i="6"/>
  <c r="U188" i="6"/>
  <c r="V192" i="6"/>
  <c r="U193" i="6"/>
  <c r="P191" i="6"/>
  <c r="P187" i="6"/>
  <c r="U189" i="6"/>
  <c r="P189" i="6"/>
  <c r="V191" i="6"/>
  <c r="V188" i="6"/>
  <c r="U190" i="6"/>
  <c r="P186" i="6"/>
  <c r="V190" i="6"/>
  <c r="P190" i="6"/>
  <c r="P192" i="6"/>
  <c r="V187" i="6"/>
  <c r="U191" i="6"/>
  <c r="U187" i="6"/>
  <c r="V189" i="6"/>
  <c r="V186" i="6"/>
  <c r="P188" i="6"/>
  <c r="U192" i="6"/>
  <c r="P193" i="6"/>
  <c r="V193" i="6"/>
  <c r="U366" i="6"/>
  <c r="V365" i="6"/>
  <c r="U364" i="6"/>
  <c r="U367" i="6"/>
  <c r="V362" i="6"/>
  <c r="P362" i="6"/>
  <c r="U362" i="6"/>
  <c r="P363" i="6"/>
  <c r="V363" i="6"/>
  <c r="V366" i="6"/>
  <c r="P366" i="6"/>
  <c r="P365" i="6"/>
  <c r="P367" i="6"/>
  <c r="V367" i="6"/>
  <c r="U365" i="6"/>
  <c r="U369" i="6"/>
  <c r="U363" i="6"/>
  <c r="V364" i="6"/>
  <c r="U368" i="6"/>
  <c r="V369" i="6"/>
  <c r="P364" i="6"/>
  <c r="V368" i="6"/>
  <c r="P369" i="6"/>
  <c r="P368" i="6"/>
  <c r="P585" i="6"/>
  <c r="U588" i="6"/>
  <c r="P587" i="6"/>
  <c r="U582" i="6"/>
  <c r="AJ582" i="6" s="1"/>
  <c r="U584" i="6"/>
  <c r="P583" i="6"/>
  <c r="U586" i="6"/>
  <c r="P582" i="6"/>
  <c r="U583" i="6"/>
  <c r="U589" i="6"/>
  <c r="P586" i="6"/>
  <c r="U587" i="6"/>
  <c r="P584" i="6"/>
  <c r="V582" i="6"/>
  <c r="V583" i="6"/>
  <c r="V586" i="6"/>
  <c r="V587" i="6"/>
  <c r="P588" i="6"/>
  <c r="V588" i="6"/>
  <c r="V584" i="6"/>
  <c r="U585" i="6"/>
  <c r="V585" i="6"/>
  <c r="V589" i="6"/>
  <c r="P589" i="6"/>
  <c r="P759" i="6"/>
  <c r="I303" i="7" s="1"/>
  <c r="P761" i="6"/>
  <c r="M303" i="7" s="1"/>
  <c r="V759" i="6"/>
  <c r="I305" i="7" s="1"/>
  <c r="U760" i="6"/>
  <c r="P764" i="6"/>
  <c r="V760" i="6"/>
  <c r="K305" i="7" s="1"/>
  <c r="U765" i="6"/>
  <c r="P762" i="6"/>
  <c r="U762" i="6"/>
  <c r="V763" i="6"/>
  <c r="Q305" i="7" s="1"/>
  <c r="U758" i="6"/>
  <c r="V765" i="6"/>
  <c r="U305" i="7" s="1"/>
  <c r="U759" i="6"/>
  <c r="V762" i="6"/>
  <c r="O305" i="7" s="1"/>
  <c r="AI765" i="6"/>
  <c r="U761" i="6"/>
  <c r="U763" i="6"/>
  <c r="P760" i="6"/>
  <c r="V761" i="6"/>
  <c r="M305" i="7" s="1"/>
  <c r="P765" i="6"/>
  <c r="U303" i="7" s="1"/>
  <c r="P758" i="6"/>
  <c r="U764" i="6"/>
  <c r="V758" i="6"/>
  <c r="G305" i="7" s="1"/>
  <c r="P763" i="6"/>
  <c r="Q303" i="7" s="1"/>
  <c r="V764" i="6"/>
  <c r="S305" i="7" s="1"/>
  <c r="P181" i="6"/>
  <c r="V179" i="6"/>
  <c r="V180" i="6"/>
  <c r="V178" i="6"/>
  <c r="P180" i="6"/>
  <c r="P175" i="6"/>
  <c r="U179" i="6"/>
  <c r="P177" i="6"/>
  <c r="V175" i="6"/>
  <c r="U176" i="6"/>
  <c r="AJ176" i="6" s="1"/>
  <c r="V176" i="6"/>
  <c r="U178" i="6"/>
  <c r="P178" i="6"/>
  <c r="U180" i="6"/>
  <c r="AI181" i="6"/>
  <c r="V181" i="6"/>
  <c r="AI176" i="6"/>
  <c r="P176" i="6"/>
  <c r="P179" i="6"/>
  <c r="AI177" i="6"/>
  <c r="V177" i="6"/>
  <c r="U182" i="6"/>
  <c r="U177" i="6"/>
  <c r="AJ177" i="6" s="1"/>
  <c r="U175" i="6"/>
  <c r="V182" i="6"/>
  <c r="U181" i="6"/>
  <c r="P182" i="6"/>
  <c r="P352" i="6"/>
  <c r="P356" i="6"/>
  <c r="U352" i="6"/>
  <c r="V355" i="6"/>
  <c r="P355" i="6"/>
  <c r="U354" i="6"/>
  <c r="V352" i="6"/>
  <c r="AI353" i="6"/>
  <c r="U356" i="6"/>
  <c r="U355" i="6"/>
  <c r="V354" i="6"/>
  <c r="V356" i="6"/>
  <c r="U351" i="6"/>
  <c r="AJ358" i="6" s="1"/>
  <c r="U357" i="6"/>
  <c r="U353" i="6"/>
  <c r="V351" i="6"/>
  <c r="P351" i="6"/>
  <c r="P354" i="6"/>
  <c r="P353" i="6"/>
  <c r="P358" i="6"/>
  <c r="U358" i="6"/>
  <c r="V353" i="6"/>
  <c r="V357" i="6"/>
  <c r="V358" i="6"/>
  <c r="P357" i="6"/>
  <c r="P572" i="6"/>
  <c r="I69" i="7" s="1"/>
  <c r="U577" i="6"/>
  <c r="P574" i="6"/>
  <c r="M69" i="7" s="1"/>
  <c r="U571" i="6"/>
  <c r="P576" i="6"/>
  <c r="Q69" i="7" s="1"/>
  <c r="U573" i="6"/>
  <c r="U575" i="6"/>
  <c r="P571" i="6"/>
  <c r="G69" i="7" s="1"/>
  <c r="U572" i="6"/>
  <c r="AI572" i="6"/>
  <c r="U578" i="6"/>
  <c r="P575" i="6"/>
  <c r="O69" i="7" s="1"/>
  <c r="U576" i="6"/>
  <c r="P573" i="6"/>
  <c r="K69" i="7" s="1"/>
  <c r="V571" i="6"/>
  <c r="G71" i="7" s="1"/>
  <c r="V572" i="6"/>
  <c r="I71" i="7" s="1"/>
  <c r="V575" i="6"/>
  <c r="O71" i="7" s="1"/>
  <c r="V576" i="6"/>
  <c r="Q71" i="7" s="1"/>
  <c r="V574" i="6"/>
  <c r="M71" i="7" s="1"/>
  <c r="P578" i="6"/>
  <c r="V578" i="6"/>
  <c r="P577" i="6"/>
  <c r="S69" i="7" s="1"/>
  <c r="V577" i="6"/>
  <c r="S71" i="7" s="1"/>
  <c r="V573" i="6"/>
  <c r="K71" i="7" s="1"/>
  <c r="U574" i="6"/>
  <c r="V753" i="6"/>
  <c r="P750" i="6"/>
  <c r="V751" i="6"/>
  <c r="O419" i="7" s="1"/>
  <c r="P748" i="6"/>
  <c r="V754" i="6"/>
  <c r="U419" i="7" s="1"/>
  <c r="V747" i="6"/>
  <c r="AI752" i="6"/>
  <c r="P752" i="6"/>
  <c r="U748" i="6"/>
  <c r="AJ748" i="6" s="1"/>
  <c r="P749" i="6"/>
  <c r="U747" i="6"/>
  <c r="AJ747" i="6" s="1"/>
  <c r="AI751" i="6"/>
  <c r="U752" i="6"/>
  <c r="AJ752" i="6" s="1"/>
  <c r="U749" i="6"/>
  <c r="AJ749" i="6" s="1"/>
  <c r="P754" i="6"/>
  <c r="U417" i="7" s="1"/>
  <c r="U750" i="6"/>
  <c r="P747" i="6"/>
  <c r="V748" i="6"/>
  <c r="AI748" i="6"/>
  <c r="AI749" i="6"/>
  <c r="U754" i="6"/>
  <c r="P751" i="6"/>
  <c r="V749" i="6"/>
  <c r="U751" i="6"/>
  <c r="AJ751" i="6" s="1"/>
  <c r="V752" i="6"/>
  <c r="Q419" i="7" s="1"/>
  <c r="V750" i="6"/>
  <c r="P753" i="6"/>
  <c r="U753" i="6"/>
  <c r="AI753" i="6"/>
  <c r="U210" i="6"/>
  <c r="AJ210" i="6" s="1"/>
  <c r="U208" i="6"/>
  <c r="AJ208" i="6" s="1"/>
  <c r="V212" i="6"/>
  <c r="O330" i="7" s="1"/>
  <c r="U211" i="6"/>
  <c r="U212" i="6"/>
  <c r="U209" i="6"/>
  <c r="AJ209" i="6" s="1"/>
  <c r="P212" i="6"/>
  <c r="O328" i="7" s="1"/>
  <c r="V208" i="6"/>
  <c r="G330" i="7" s="1"/>
  <c r="V210" i="6"/>
  <c r="K330" i="7" s="1"/>
  <c r="U213" i="6"/>
  <c r="V211" i="6"/>
  <c r="M330" i="7" s="1"/>
  <c r="V209" i="6"/>
  <c r="I330" i="7" s="1"/>
  <c r="P213" i="6"/>
  <c r="Q328" i="7" s="1"/>
  <c r="P210" i="6"/>
  <c r="V213" i="6"/>
  <c r="Q330" i="7" s="1"/>
  <c r="P208" i="6"/>
  <c r="P211" i="6"/>
  <c r="P214" i="6"/>
  <c r="V215" i="6"/>
  <c r="U330" i="7" s="1"/>
  <c r="U215" i="6"/>
  <c r="V214" i="6"/>
  <c r="S330" i="7" s="1"/>
  <c r="P215" i="6"/>
  <c r="U328" i="7" s="1"/>
  <c r="AI214" i="6"/>
  <c r="P209" i="6"/>
  <c r="U214" i="6"/>
  <c r="U389" i="6"/>
  <c r="P389" i="6"/>
  <c r="U388" i="6"/>
  <c r="P385" i="6"/>
  <c r="U384" i="6"/>
  <c r="U391" i="6"/>
  <c r="V387" i="6"/>
  <c r="U387" i="6"/>
  <c r="V386" i="6"/>
  <c r="P390" i="6"/>
  <c r="U386" i="6"/>
  <c r="P387" i="6"/>
  <c r="P386" i="6"/>
  <c r="P384" i="6"/>
  <c r="U385" i="6"/>
  <c r="V385" i="6"/>
  <c r="P388" i="6"/>
  <c r="P391" i="6"/>
  <c r="V390" i="6"/>
  <c r="V384" i="6"/>
  <c r="V389" i="6"/>
  <c r="V391" i="6"/>
  <c r="V388" i="6"/>
  <c r="U390" i="6"/>
  <c r="P605" i="6"/>
  <c r="I27" i="7" s="1"/>
  <c r="V607" i="6"/>
  <c r="M29" i="7" s="1"/>
  <c r="V606" i="6"/>
  <c r="K29" i="7" s="1"/>
  <c r="U608" i="6"/>
  <c r="P609" i="6"/>
  <c r="Q27" i="7" s="1"/>
  <c r="P606" i="6"/>
  <c r="K27" i="7" s="1"/>
  <c r="U604" i="6"/>
  <c r="AI606" i="6"/>
  <c r="V608" i="6"/>
  <c r="O29" i="7" s="1"/>
  <c r="V609" i="6"/>
  <c r="Q29" i="7" s="1"/>
  <c r="V610" i="6"/>
  <c r="S29" i="7" s="1"/>
  <c r="U607" i="6"/>
  <c r="P608" i="6"/>
  <c r="O27" i="7" s="1"/>
  <c r="AI604" i="6"/>
  <c r="P610" i="6"/>
  <c r="S27" i="7" s="1"/>
  <c r="V604" i="6"/>
  <c r="G29" i="7" s="1"/>
  <c r="U605" i="6"/>
  <c r="V605" i="6"/>
  <c r="I29" i="7" s="1"/>
  <c r="U606" i="6"/>
  <c r="P604" i="6"/>
  <c r="G27" i="7" s="1"/>
  <c r="P607" i="6"/>
  <c r="M27" i="7" s="1"/>
  <c r="U611" i="6"/>
  <c r="U610" i="6"/>
  <c r="U609" i="6"/>
  <c r="V611" i="6"/>
  <c r="U29" i="7" s="1"/>
  <c r="P611" i="6"/>
  <c r="U27" i="7" s="1"/>
  <c r="V21" i="6"/>
  <c r="U25" i="6"/>
  <c r="AJ25" i="6" s="1"/>
  <c r="P21" i="6"/>
  <c r="V25" i="6"/>
  <c r="O104" i="7" s="1"/>
  <c r="P24" i="6"/>
  <c r="I56" i="11"/>
  <c r="J56" i="11" s="1"/>
  <c r="U24" i="6"/>
  <c r="U21" i="6"/>
  <c r="P23" i="6"/>
  <c r="P25" i="6"/>
  <c r="V24" i="6"/>
  <c r="M104" i="7" s="1"/>
  <c r="AI23" i="6"/>
  <c r="U26" i="6"/>
  <c r="V26" i="6"/>
  <c r="Q104" i="7" s="1"/>
  <c r="P26" i="6"/>
  <c r="AI25" i="6"/>
  <c r="P27" i="6"/>
  <c r="U22" i="6"/>
  <c r="U23" i="6"/>
  <c r="V23" i="6"/>
  <c r="K104" i="7" s="1"/>
  <c r="P22" i="6"/>
  <c r="V22" i="6"/>
  <c r="I104" i="7" s="1"/>
  <c r="AI27" i="6"/>
  <c r="V27" i="6"/>
  <c r="S104" i="7" s="1"/>
  <c r="U27" i="6"/>
  <c r="P157" i="6"/>
  <c r="V157" i="6"/>
  <c r="V154" i="6"/>
  <c r="P154" i="6"/>
  <c r="V156" i="6"/>
  <c r="U156" i="6"/>
  <c r="P156" i="6"/>
  <c r="U153" i="6"/>
  <c r="U157" i="6"/>
  <c r="U160" i="6"/>
  <c r="P153" i="6"/>
  <c r="AI153" i="6"/>
  <c r="V153" i="6"/>
  <c r="V158" i="6"/>
  <c r="P158" i="6"/>
  <c r="U154" i="6"/>
  <c r="AJ154" i="6" s="1"/>
  <c r="P159" i="6"/>
  <c r="AI159" i="6"/>
  <c r="V159" i="6"/>
  <c r="U158" i="6"/>
  <c r="AJ158" i="6" s="1"/>
  <c r="P155" i="6"/>
  <c r="AI155" i="6"/>
  <c r="V155" i="6"/>
  <c r="U155" i="6"/>
  <c r="AJ155" i="6" s="1"/>
  <c r="V160" i="6"/>
  <c r="U159" i="6"/>
  <c r="P160" i="6"/>
  <c r="V333" i="6"/>
  <c r="V330" i="6"/>
  <c r="V331" i="6"/>
  <c r="P331" i="6"/>
  <c r="P332" i="6"/>
  <c r="P333" i="6"/>
  <c r="U330" i="6"/>
  <c r="AI333" i="6"/>
  <c r="P334" i="6"/>
  <c r="V336" i="6"/>
  <c r="P329" i="6"/>
  <c r="V332" i="6"/>
  <c r="U333" i="6"/>
  <c r="U334" i="6"/>
  <c r="P335" i="6"/>
  <c r="P330" i="6"/>
  <c r="U331" i="6"/>
  <c r="U332" i="6"/>
  <c r="V329" i="6"/>
  <c r="V334" i="6"/>
  <c r="U329" i="6"/>
  <c r="U335" i="6"/>
  <c r="AI331" i="6"/>
  <c r="U336" i="6"/>
  <c r="P336" i="6"/>
  <c r="V335" i="6"/>
  <c r="P510" i="6"/>
  <c r="U511" i="6"/>
  <c r="U505" i="6"/>
  <c r="P506" i="6"/>
  <c r="U507" i="6"/>
  <c r="P508" i="6"/>
  <c r="U509" i="6"/>
  <c r="P505" i="6"/>
  <c r="U506" i="6"/>
  <c r="AJ506" i="6" s="1"/>
  <c r="U512" i="6"/>
  <c r="P509" i="6"/>
  <c r="U510" i="6"/>
  <c r="P507" i="6"/>
  <c r="V505" i="6"/>
  <c r="V506" i="6"/>
  <c r="V509" i="6"/>
  <c r="AI507" i="6"/>
  <c r="V510" i="6"/>
  <c r="AI511" i="6"/>
  <c r="U508" i="6"/>
  <c r="V512" i="6"/>
  <c r="P511" i="6"/>
  <c r="V508" i="6"/>
  <c r="P512" i="6"/>
  <c r="V511" i="6"/>
  <c r="V507" i="6"/>
  <c r="U725" i="6"/>
  <c r="AJ732" i="6" s="1"/>
  <c r="U732" i="6"/>
  <c r="P730" i="6"/>
  <c r="U729" i="6"/>
  <c r="P726" i="6"/>
  <c r="U727" i="6"/>
  <c r="AJ727" i="6" s="1"/>
  <c r="V725" i="6"/>
  <c r="P731" i="6"/>
  <c r="V727" i="6"/>
  <c r="P729" i="6"/>
  <c r="AI725" i="6"/>
  <c r="U726" i="6"/>
  <c r="U731" i="6"/>
  <c r="AJ731" i="6" s="1"/>
  <c r="U730" i="6"/>
  <c r="P728" i="6"/>
  <c r="P725" i="6"/>
  <c r="P727" i="6"/>
  <c r="V728" i="6"/>
  <c r="V731" i="6"/>
  <c r="U728" i="6"/>
  <c r="V732" i="6"/>
  <c r="P732" i="6"/>
  <c r="V726" i="6"/>
  <c r="V729" i="6"/>
  <c r="AI731" i="6"/>
  <c r="V730" i="6"/>
  <c r="V58" i="6"/>
  <c r="U55" i="6"/>
  <c r="AJ55" i="6" s="1"/>
  <c r="U60" i="6"/>
  <c r="U58" i="6"/>
  <c r="AJ58" i="6" s="1"/>
  <c r="P54" i="6"/>
  <c r="U59" i="6"/>
  <c r="V54" i="6"/>
  <c r="V60" i="6"/>
  <c r="V57" i="6"/>
  <c r="V56" i="6"/>
  <c r="P58" i="6"/>
  <c r="U54" i="6"/>
  <c r="AJ61" i="6" s="1"/>
  <c r="P56" i="6"/>
  <c r="P59" i="6"/>
  <c r="AI56" i="6"/>
  <c r="P57" i="6"/>
  <c r="U56" i="6"/>
  <c r="AJ56" i="6" s="1"/>
  <c r="V55" i="6"/>
  <c r="AI55" i="6"/>
  <c r="V59" i="6"/>
  <c r="P55" i="6"/>
  <c r="U57" i="6"/>
  <c r="P60" i="6"/>
  <c r="P231" i="6"/>
  <c r="V235" i="6"/>
  <c r="Q220" i="7" s="1"/>
  <c r="AI232" i="6"/>
  <c r="P232" i="6"/>
  <c r="K218" i="7" s="1"/>
  <c r="P235" i="6"/>
  <c r="P236" i="6"/>
  <c r="AI236" i="6"/>
  <c r="U232" i="6"/>
  <c r="AJ232" i="6" s="1"/>
  <c r="V237" i="6"/>
  <c r="U220" i="7" s="1"/>
  <c r="U237" i="6"/>
  <c r="V233" i="6"/>
  <c r="M220" i="7" s="1"/>
  <c r="P233" i="6"/>
  <c r="U231" i="6"/>
  <c r="AJ231" i="6" s="1"/>
  <c r="V236" i="6"/>
  <c r="S220" i="7" s="1"/>
  <c r="P230" i="6"/>
  <c r="H70" i="11" s="1"/>
  <c r="V234" i="6"/>
  <c r="O220" i="7" s="1"/>
  <c r="V230" i="6"/>
  <c r="G220" i="7" s="1"/>
  <c r="U235" i="6"/>
  <c r="AI231" i="6"/>
  <c r="P234" i="6"/>
  <c r="O218" i="7" s="1"/>
  <c r="U230" i="6"/>
  <c r="AI235" i="6"/>
  <c r="V231" i="6"/>
  <c r="I220" i="7" s="1"/>
  <c r="U236" i="6"/>
  <c r="U233" i="6"/>
  <c r="V232" i="6"/>
  <c r="K220" i="7" s="1"/>
  <c r="U234" i="6"/>
  <c r="P237" i="6"/>
  <c r="U218" i="7" s="1"/>
  <c r="U410" i="6"/>
  <c r="U412" i="6"/>
  <c r="P409" i="6"/>
  <c r="U406" i="6"/>
  <c r="P411" i="6"/>
  <c r="P406" i="6"/>
  <c r="U409" i="6"/>
  <c r="P410" i="6"/>
  <c r="V406" i="6"/>
  <c r="V407" i="6"/>
  <c r="V408" i="6"/>
  <c r="V410" i="6"/>
  <c r="V411" i="6"/>
  <c r="U407" i="6"/>
  <c r="P408" i="6"/>
  <c r="P407" i="6"/>
  <c r="P413" i="6"/>
  <c r="V412" i="6"/>
  <c r="U411" i="6"/>
  <c r="AI406" i="6"/>
  <c r="U408" i="6"/>
  <c r="P412" i="6"/>
  <c r="U413" i="6"/>
  <c r="V409" i="6"/>
  <c r="V413" i="6"/>
  <c r="U626" i="6"/>
  <c r="U630" i="6"/>
  <c r="P633" i="6"/>
  <c r="V629" i="6"/>
  <c r="P629" i="6"/>
  <c r="V626" i="6"/>
  <c r="P631" i="6"/>
  <c r="U629" i="6"/>
  <c r="U628" i="6"/>
  <c r="U627" i="6"/>
  <c r="V627" i="6"/>
  <c r="V630" i="6"/>
  <c r="U631" i="6"/>
  <c r="U633" i="6"/>
  <c r="P627" i="6"/>
  <c r="V631" i="6"/>
  <c r="P628" i="6"/>
  <c r="V633" i="6"/>
  <c r="P626" i="6"/>
  <c r="AI626" i="6"/>
  <c r="P630" i="6"/>
  <c r="AI632" i="6"/>
  <c r="P632" i="6"/>
  <c r="V628" i="6"/>
  <c r="U632" i="6"/>
  <c r="V632" i="6"/>
  <c r="U47" i="6"/>
  <c r="U48" i="6"/>
  <c r="U43" i="6"/>
  <c r="V47" i="6"/>
  <c r="V43" i="6"/>
  <c r="P44" i="6"/>
  <c r="P45" i="6"/>
  <c r="P46" i="6"/>
  <c r="P43" i="6"/>
  <c r="U46" i="6"/>
  <c r="V46" i="6"/>
  <c r="U45" i="6"/>
  <c r="P47" i="6"/>
  <c r="V44" i="6"/>
  <c r="P48" i="6"/>
  <c r="U44" i="6"/>
  <c r="AJ44" i="6" s="1"/>
  <c r="V45" i="6"/>
  <c r="V48" i="6"/>
  <c r="U49" i="6"/>
  <c r="V49" i="6"/>
  <c r="P49" i="6"/>
  <c r="P224" i="6"/>
  <c r="V223" i="6"/>
  <c r="O391" i="7" s="1"/>
  <c r="V226" i="6"/>
  <c r="U391" i="7" s="1"/>
  <c r="P226" i="6"/>
  <c r="AI225" i="6"/>
  <c r="P222" i="6"/>
  <c r="M389" i="7" s="1"/>
  <c r="P221" i="6"/>
  <c r="P225" i="6"/>
  <c r="V220" i="6"/>
  <c r="I391" i="7" s="1"/>
  <c r="U219" i="6"/>
  <c r="P219" i="6"/>
  <c r="H38" i="11" s="1"/>
  <c r="V221" i="6"/>
  <c r="K391" i="7" s="1"/>
  <c r="V224" i="6"/>
  <c r="Q391" i="7" s="1"/>
  <c r="U222" i="6"/>
  <c r="U223" i="6"/>
  <c r="P223" i="6"/>
  <c r="U221" i="6"/>
  <c r="AJ221" i="6" s="1"/>
  <c r="U220" i="6"/>
  <c r="AJ220" i="6" s="1"/>
  <c r="P220" i="6"/>
  <c r="V219" i="6"/>
  <c r="G391" i="7" s="1"/>
  <c r="V222" i="6"/>
  <c r="M391" i="7" s="1"/>
  <c r="U225" i="6"/>
  <c r="AJ225" i="6" s="1"/>
  <c r="U224" i="6"/>
  <c r="V225" i="6"/>
  <c r="S391" i="7" s="1"/>
  <c r="AI219" i="6"/>
  <c r="U226" i="6"/>
  <c r="P400" i="6"/>
  <c r="P396" i="6"/>
  <c r="U401" i="6"/>
  <c r="U397" i="6"/>
  <c r="P398" i="6"/>
  <c r="V397" i="6"/>
  <c r="U396" i="6"/>
  <c r="P397" i="6"/>
  <c r="U400" i="6"/>
  <c r="AJ400" i="6" s="1"/>
  <c r="U399" i="6"/>
  <c r="AJ399" i="6" s="1"/>
  <c r="U402" i="6"/>
  <c r="U398" i="6"/>
  <c r="V395" i="6"/>
  <c r="P401" i="6"/>
  <c r="P399" i="6"/>
  <c r="V398" i="6"/>
  <c r="V399" i="6"/>
  <c r="V401" i="6"/>
  <c r="U395" i="6"/>
  <c r="AJ402" i="6" s="1"/>
  <c r="V396" i="6"/>
  <c r="P395" i="6"/>
  <c r="P402" i="6"/>
  <c r="V400" i="6"/>
  <c r="V402" i="6"/>
  <c r="U621" i="6"/>
  <c r="V617" i="6"/>
  <c r="U617" i="6"/>
  <c r="P618" i="6"/>
  <c r="P615" i="6"/>
  <c r="V620" i="6"/>
  <c r="P619" i="6"/>
  <c r="V615" i="6"/>
  <c r="U620" i="6"/>
  <c r="P620" i="6"/>
  <c r="V618" i="6"/>
  <c r="U615" i="6"/>
  <c r="V622" i="6"/>
  <c r="AI621" i="6"/>
  <c r="V619" i="6"/>
  <c r="U616" i="6"/>
  <c r="AJ616" i="6" s="1"/>
  <c r="U619" i="6"/>
  <c r="P616" i="6"/>
  <c r="P622" i="6"/>
  <c r="P621" i="6"/>
  <c r="U622" i="6"/>
  <c r="V621" i="6"/>
  <c r="U618" i="6"/>
  <c r="AI619" i="6"/>
  <c r="V616" i="6"/>
  <c r="P617" i="6"/>
  <c r="P79" i="6"/>
  <c r="V77" i="6"/>
  <c r="V80" i="6"/>
  <c r="U77" i="6"/>
  <c r="U78" i="6"/>
  <c r="P77" i="6"/>
  <c r="U79" i="6"/>
  <c r="P78" i="6"/>
  <c r="U83" i="6"/>
  <c r="P81" i="6"/>
  <c r="U80" i="6"/>
  <c r="P80" i="6"/>
  <c r="U81" i="6"/>
  <c r="U76" i="6"/>
  <c r="V79" i="6"/>
  <c r="V81" i="6"/>
  <c r="V78" i="6"/>
  <c r="V76" i="6"/>
  <c r="P76" i="6"/>
  <c r="U82" i="6"/>
  <c r="P82" i="6"/>
  <c r="V83" i="6"/>
  <c r="P83" i="6"/>
  <c r="U53" i="7" s="1"/>
  <c r="V82" i="6"/>
  <c r="V256" i="6"/>
  <c r="O224" i="7" s="1"/>
  <c r="P252" i="6"/>
  <c r="H71" i="11" s="1"/>
  <c r="V255" i="6"/>
  <c r="M224" i="7" s="1"/>
  <c r="U254" i="6"/>
  <c r="V257" i="6"/>
  <c r="Q224" i="7" s="1"/>
  <c r="P255" i="6"/>
  <c r="P256" i="6"/>
  <c r="O222" i="7" s="1"/>
  <c r="U256" i="6"/>
  <c r="V254" i="6"/>
  <c r="K224" i="7" s="1"/>
  <c r="U253" i="6"/>
  <c r="P253" i="6"/>
  <c r="P254" i="6"/>
  <c r="K222" i="7" s="1"/>
  <c r="V258" i="6"/>
  <c r="S224" i="7" s="1"/>
  <c r="U252" i="6"/>
  <c r="V252" i="6"/>
  <c r="G224" i="7" s="1"/>
  <c r="U257" i="6"/>
  <c r="U255" i="6"/>
  <c r="U258" i="6"/>
  <c r="V253" i="6"/>
  <c r="I224" i="7" s="1"/>
  <c r="AI254" i="6"/>
  <c r="P259" i="6"/>
  <c r="P257" i="6"/>
  <c r="Q222" i="7" s="1"/>
  <c r="V259" i="6"/>
  <c r="U224" i="7" s="1"/>
  <c r="U259" i="6"/>
  <c r="P258" i="6"/>
  <c r="S222" i="7" s="1"/>
  <c r="P433" i="6"/>
  <c r="U434" i="6"/>
  <c r="U428" i="6"/>
  <c r="P429" i="6"/>
  <c r="U430" i="6"/>
  <c r="AJ430" i="6" s="1"/>
  <c r="P431" i="6"/>
  <c r="U432" i="6"/>
  <c r="AJ432" i="6" s="1"/>
  <c r="V432" i="6"/>
  <c r="P430" i="6"/>
  <c r="V430" i="6"/>
  <c r="P428" i="6"/>
  <c r="U433" i="6"/>
  <c r="U435" i="6"/>
  <c r="U431" i="6"/>
  <c r="V429" i="6"/>
  <c r="V428" i="6"/>
  <c r="V433" i="6"/>
  <c r="P432" i="6"/>
  <c r="U429" i="6"/>
  <c r="AJ429" i="6" s="1"/>
  <c r="V435" i="6"/>
  <c r="P434" i="6"/>
  <c r="V431" i="6"/>
  <c r="P435" i="6"/>
  <c r="AI432" i="6"/>
  <c r="AI428" i="6"/>
  <c r="V434" i="6"/>
  <c r="U652" i="6"/>
  <c r="P651" i="6"/>
  <c r="U648" i="6"/>
  <c r="AJ655" i="6" s="1"/>
  <c r="U651" i="6"/>
  <c r="V652" i="6"/>
  <c r="U650" i="6"/>
  <c r="P649" i="6"/>
  <c r="V649" i="6"/>
  <c r="U653" i="6"/>
  <c r="U655" i="6"/>
  <c r="V655" i="6"/>
  <c r="U649" i="6"/>
  <c r="V653" i="6"/>
  <c r="P650" i="6"/>
  <c r="V651" i="6"/>
  <c r="P653" i="6"/>
  <c r="P654" i="6"/>
  <c r="V650" i="6"/>
  <c r="P655" i="6"/>
  <c r="U130" i="7" s="1"/>
  <c r="V648" i="6"/>
  <c r="P648" i="6"/>
  <c r="V654" i="6"/>
  <c r="U654" i="6"/>
  <c r="P652" i="6"/>
  <c r="U36" i="6"/>
  <c r="U37" i="6"/>
  <c r="V36" i="6"/>
  <c r="V37" i="6"/>
  <c r="V32" i="6"/>
  <c r="P33" i="6"/>
  <c r="P35" i="6"/>
  <c r="U35" i="6"/>
  <c r="U32" i="6"/>
  <c r="P38" i="6"/>
  <c r="V38" i="6"/>
  <c r="P36" i="6"/>
  <c r="U33" i="6"/>
  <c r="P32" i="6"/>
  <c r="V35" i="6"/>
  <c r="V33" i="6"/>
  <c r="AI32" i="6"/>
  <c r="V34" i="6"/>
  <c r="U38" i="6"/>
  <c r="P34" i="6"/>
  <c r="U34" i="6"/>
  <c r="P37" i="6"/>
  <c r="V198" i="6"/>
  <c r="I281" i="7" s="1"/>
  <c r="U201" i="6"/>
  <c r="P198" i="6"/>
  <c r="I279" i="7" s="1"/>
  <c r="V201" i="6"/>
  <c r="O281" i="7" s="1"/>
  <c r="V197" i="6"/>
  <c r="G281" i="7" s="1"/>
  <c r="V202" i="6"/>
  <c r="Q281" i="7" s="1"/>
  <c r="AI199" i="6"/>
  <c r="U204" i="6"/>
  <c r="V204" i="6"/>
  <c r="U281" i="7" s="1"/>
  <c r="P203" i="6"/>
  <c r="S279" i="7" s="1"/>
  <c r="AI203" i="6"/>
  <c r="P197" i="6"/>
  <c r="U199" i="6"/>
  <c r="U198" i="6"/>
  <c r="V200" i="6"/>
  <c r="M281" i="7" s="1"/>
  <c r="V199" i="6"/>
  <c r="K281" i="7" s="1"/>
  <c r="P202" i="6"/>
  <c r="U200" i="6"/>
  <c r="P201" i="6"/>
  <c r="O279" i="7" s="1"/>
  <c r="U202" i="6"/>
  <c r="P200" i="6"/>
  <c r="M279" i="7" s="1"/>
  <c r="U197" i="6"/>
  <c r="AJ204" i="6" s="1"/>
  <c r="P204" i="6"/>
  <c r="U279" i="7" s="1"/>
  <c r="P199" i="6"/>
  <c r="U203" i="6"/>
  <c r="V203" i="6"/>
  <c r="S281" i="7" s="1"/>
  <c r="U377" i="6"/>
  <c r="P376" i="6"/>
  <c r="U373" i="6"/>
  <c r="AJ380" i="6" s="1"/>
  <c r="P378" i="6"/>
  <c r="U380" i="6"/>
  <c r="V376" i="6"/>
  <c r="U376" i="6"/>
  <c r="V373" i="6"/>
  <c r="AI375" i="6"/>
  <c r="P377" i="6"/>
  <c r="V377" i="6"/>
  <c r="V375" i="6"/>
  <c r="U374" i="6"/>
  <c r="P374" i="6"/>
  <c r="U375" i="6"/>
  <c r="U378" i="6"/>
  <c r="AJ378" i="6" s="1"/>
  <c r="P375" i="6"/>
  <c r="V374" i="6"/>
  <c r="P380" i="6"/>
  <c r="V378" i="6"/>
  <c r="V379" i="6"/>
  <c r="U379" i="6"/>
  <c r="P373" i="6"/>
  <c r="V380" i="6"/>
  <c r="P379" i="6"/>
  <c r="V600" i="6"/>
  <c r="P594" i="6"/>
  <c r="P600" i="6"/>
  <c r="U599" i="6"/>
  <c r="U600" i="6"/>
  <c r="V596" i="6"/>
  <c r="U595" i="6"/>
  <c r="P597" i="6"/>
  <c r="V595" i="6"/>
  <c r="AI594" i="6"/>
  <c r="V594" i="6"/>
  <c r="P595" i="6"/>
  <c r="U596" i="6"/>
  <c r="V593" i="6"/>
  <c r="P598" i="6"/>
  <c r="U594" i="6"/>
  <c r="U593" i="6"/>
  <c r="V598" i="6"/>
  <c r="V599" i="6"/>
  <c r="U597" i="6"/>
  <c r="V597" i="6"/>
  <c r="P593" i="6"/>
  <c r="U598" i="6"/>
  <c r="P599" i="6"/>
  <c r="P596" i="6"/>
  <c r="R61" i="3"/>
  <c r="C77" i="5"/>
  <c r="E170" i="3"/>
  <c r="D442" i="7" s="1"/>
  <c r="D170" i="3"/>
  <c r="I988" i="6" s="1"/>
  <c r="F170" i="3"/>
  <c r="H170" i="3" s="1"/>
  <c r="C171" i="3"/>
  <c r="G170" i="3"/>
  <c r="F442" i="7" s="1"/>
  <c r="AI368" i="6" l="1"/>
  <c r="K110" i="7"/>
  <c r="Q309" i="7"/>
  <c r="U112" i="7"/>
  <c r="AJ795" i="6"/>
  <c r="Q307" i="7"/>
  <c r="AJ836" i="6"/>
  <c r="AJ549" i="6"/>
  <c r="AJ584" i="6"/>
  <c r="AJ509" i="6"/>
  <c r="AJ835" i="6"/>
  <c r="Q234" i="7"/>
  <c r="S234" i="7"/>
  <c r="AJ499" i="6"/>
  <c r="AJ848" i="6"/>
  <c r="AJ736" i="6"/>
  <c r="AJ804" i="6"/>
  <c r="AJ572" i="6"/>
  <c r="AJ793" i="6"/>
  <c r="AJ847" i="6"/>
  <c r="AJ850" i="6"/>
  <c r="AJ807" i="6"/>
  <c r="AJ791" i="6"/>
  <c r="AJ741" i="6"/>
  <c r="AJ738" i="6"/>
  <c r="O234" i="7"/>
  <c r="AJ367" i="6"/>
  <c r="Q236" i="7"/>
  <c r="AJ600" i="6"/>
  <c r="AJ617" i="6"/>
  <c r="AJ606" i="6"/>
  <c r="AJ608" i="6"/>
  <c r="AJ633" i="6"/>
  <c r="AJ692" i="6"/>
  <c r="AJ694" i="6"/>
  <c r="AJ595" i="6"/>
  <c r="AJ567" i="6"/>
  <c r="AJ369" i="6"/>
  <c r="AJ440" i="6"/>
  <c r="AJ488" i="6"/>
  <c r="AJ417" i="6"/>
  <c r="AJ275" i="6"/>
  <c r="AJ274" i="6"/>
  <c r="AJ516" i="6"/>
  <c r="AJ716" i="6"/>
  <c r="AJ419" i="6"/>
  <c r="AJ331" i="6"/>
  <c r="AJ487" i="6"/>
  <c r="AJ483" i="6"/>
  <c r="AJ485" i="6"/>
  <c r="AJ441" i="6"/>
  <c r="AJ443" i="6"/>
  <c r="AJ444" i="6"/>
  <c r="AJ26" i="6"/>
  <c r="AJ23" i="6"/>
  <c r="AJ278" i="6"/>
  <c r="AJ89" i="6"/>
  <c r="AJ721" i="6"/>
  <c r="AJ705" i="6"/>
  <c r="AJ710" i="6"/>
  <c r="AJ353" i="6"/>
  <c r="AJ243" i="6"/>
  <c r="AJ254" i="6"/>
  <c r="AJ202" i="6"/>
  <c r="AJ39" i="6"/>
  <c r="AJ109" i="6"/>
  <c r="AJ312" i="6"/>
  <c r="AJ81" i="6"/>
  <c r="AJ34" i="6"/>
  <c r="AJ291" i="6"/>
  <c r="AJ32" i="6"/>
  <c r="AJ233" i="6"/>
  <c r="AJ125" i="6"/>
  <c r="AJ287" i="6"/>
  <c r="AJ180" i="6"/>
  <c r="AJ292" i="6"/>
  <c r="AJ296" i="6"/>
  <c r="AJ235" i="6"/>
  <c r="AJ175" i="6"/>
  <c r="AJ179" i="6"/>
  <c r="AJ164" i="6"/>
  <c r="AJ120" i="6"/>
  <c r="AJ122" i="6"/>
  <c r="Q248" i="7"/>
  <c r="I248" i="7"/>
  <c r="AJ594" i="6"/>
  <c r="AJ186" i="6"/>
  <c r="I234" i="7"/>
  <c r="AI895" i="6"/>
  <c r="AJ190" i="6"/>
  <c r="AJ65" i="6"/>
  <c r="AJ78" i="6"/>
  <c r="AJ609" i="6"/>
  <c r="AJ188" i="6"/>
  <c r="AJ605" i="6"/>
  <c r="M46" i="7"/>
  <c r="M43" i="7"/>
  <c r="M44" i="7"/>
  <c r="M45" i="7"/>
  <c r="O46" i="7"/>
  <c r="O43" i="7"/>
  <c r="O44" i="7"/>
  <c r="O45" i="7"/>
  <c r="I46" i="7"/>
  <c r="I43" i="7"/>
  <c r="I44" i="7"/>
  <c r="I45" i="7"/>
  <c r="K46" i="7"/>
  <c r="K43" i="7"/>
  <c r="K44" i="7"/>
  <c r="K45" i="7"/>
  <c r="G45" i="7"/>
  <c r="G46" i="7"/>
  <c r="G43" i="7"/>
  <c r="G44" i="7"/>
  <c r="AJ385" i="6"/>
  <c r="AJ386" i="6"/>
  <c r="AJ66" i="6"/>
  <c r="AJ69" i="6"/>
  <c r="AJ67" i="6"/>
  <c r="AJ571" i="6"/>
  <c r="AJ450" i="6"/>
  <c r="AJ451" i="6"/>
  <c r="AJ364" i="6"/>
  <c r="M95" i="7"/>
  <c r="M92" i="7"/>
  <c r="M94" i="7"/>
  <c r="M93" i="7"/>
  <c r="G94" i="7"/>
  <c r="G95" i="7"/>
  <c r="G92" i="7"/>
  <c r="G93" i="7"/>
  <c r="O95" i="7"/>
  <c r="O92" i="7"/>
  <c r="O93" i="7"/>
  <c r="O94" i="7"/>
  <c r="I94" i="7"/>
  <c r="I93" i="7"/>
  <c r="I95" i="7"/>
  <c r="I92" i="7"/>
  <c r="K94" i="7"/>
  <c r="K95" i="7"/>
  <c r="K92" i="7"/>
  <c r="K93" i="7"/>
  <c r="AJ366" i="6"/>
  <c r="AJ77" i="6"/>
  <c r="AJ80" i="6"/>
  <c r="O246" i="7"/>
  <c r="G236" i="7"/>
  <c r="M236" i="7"/>
  <c r="K236" i="7"/>
  <c r="O236" i="7"/>
  <c r="I236" i="7"/>
  <c r="S248" i="7"/>
  <c r="U236" i="7"/>
  <c r="AE63" i="8"/>
  <c r="AE68" i="8"/>
  <c r="AE65" i="8"/>
  <c r="M246" i="7"/>
  <c r="AE67" i="8"/>
  <c r="O248" i="7"/>
  <c r="S236" i="7"/>
  <c r="U407" i="7"/>
  <c r="U71" i="7"/>
  <c r="AE64" i="8"/>
  <c r="AE62" i="8"/>
  <c r="U246" i="7"/>
  <c r="U405" i="7"/>
  <c r="U69" i="7"/>
  <c r="AE69" i="8"/>
  <c r="U248" i="7"/>
  <c r="AE66" i="8"/>
  <c r="O94" i="9"/>
  <c r="O13" i="9"/>
  <c r="O14" i="9"/>
  <c r="I174" i="7"/>
  <c r="Q336" i="7"/>
  <c r="M338" i="7"/>
  <c r="K336" i="7"/>
  <c r="S338" i="7"/>
  <c r="U336" i="7"/>
  <c r="O338" i="7"/>
  <c r="G338" i="7"/>
  <c r="Q338" i="7"/>
  <c r="I338" i="7"/>
  <c r="M336" i="7"/>
  <c r="K338" i="7"/>
  <c r="O336" i="7"/>
  <c r="U338" i="7"/>
  <c r="I336" i="7"/>
  <c r="S393" i="7"/>
  <c r="M395" i="7"/>
  <c r="O395" i="7"/>
  <c r="Q395" i="7"/>
  <c r="I393" i="7"/>
  <c r="G395" i="7"/>
  <c r="S395" i="7"/>
  <c r="K395" i="7"/>
  <c r="U395" i="7"/>
  <c r="I395" i="7"/>
  <c r="M240" i="7"/>
  <c r="K277" i="7"/>
  <c r="G945" i="6"/>
  <c r="W1099" i="6"/>
  <c r="W1100" i="6" s="1"/>
  <c r="W65" i="6"/>
  <c r="AN72" i="6" s="1"/>
  <c r="AL72" i="6" s="1"/>
  <c r="W912" i="6"/>
  <c r="AM919" i="6" s="1"/>
  <c r="AK919" i="6" s="1"/>
  <c r="W615" i="6"/>
  <c r="W616" i="6" s="1"/>
  <c r="W617" i="6" s="1"/>
  <c r="W618" i="6" s="1"/>
  <c r="W619" i="6" s="1"/>
  <c r="W620" i="6" s="1"/>
  <c r="W621" i="6" s="1"/>
  <c r="W622" i="6" s="1"/>
  <c r="U239" i="7" s="1"/>
  <c r="W604" i="6"/>
  <c r="W605" i="6" s="1"/>
  <c r="W606" i="6" s="1"/>
  <c r="W607" i="6" s="1"/>
  <c r="W608" i="6" s="1"/>
  <c r="AM608" i="6" s="1"/>
  <c r="G946" i="6"/>
  <c r="AH901" i="6"/>
  <c r="H87" i="11"/>
  <c r="H42" i="11"/>
  <c r="K18" i="14"/>
  <c r="G1076" i="6"/>
  <c r="H1076" i="6" s="1"/>
  <c r="AT1077" i="6" s="1"/>
  <c r="H171" i="3"/>
  <c r="K407" i="7"/>
  <c r="W494" i="6"/>
  <c r="W495" i="6" s="1"/>
  <c r="W496" i="6" s="1"/>
  <c r="AM495" i="6" s="1"/>
  <c r="AJ967" i="6"/>
  <c r="W109" i="6"/>
  <c r="AM116" i="6" s="1"/>
  <c r="AK116" i="6" s="1"/>
  <c r="W1011" i="6"/>
  <c r="AM1018" i="6" s="1"/>
  <c r="AK1018" i="6" s="1"/>
  <c r="W307" i="6"/>
  <c r="AN307" i="6" s="1"/>
  <c r="AL307" i="6" s="1"/>
  <c r="W1088" i="6"/>
  <c r="AM1095" i="6" s="1"/>
  <c r="AK1095" i="6" s="1"/>
  <c r="W736" i="6"/>
  <c r="AM736" i="6" s="1"/>
  <c r="AK736" i="6" s="1"/>
  <c r="W131" i="6"/>
  <c r="AM138" i="6" s="1"/>
  <c r="AK138" i="6" s="1"/>
  <c r="W186" i="6"/>
  <c r="AN186" i="6" s="1"/>
  <c r="AL186" i="6" s="1"/>
  <c r="W637" i="6"/>
  <c r="AM637" i="6" s="1"/>
  <c r="AK637" i="6" s="1"/>
  <c r="W351" i="6"/>
  <c r="W352" i="6" s="1"/>
  <c r="AN352" i="6" s="1"/>
  <c r="AL352" i="6" s="1"/>
  <c r="W483" i="6"/>
  <c r="W484" i="6" s="1"/>
  <c r="W485" i="6" s="1"/>
  <c r="W486" i="6" s="1"/>
  <c r="AM484" i="6" s="1"/>
  <c r="AK484" i="6" s="1"/>
  <c r="W835" i="6"/>
  <c r="W836" i="6" s="1"/>
  <c r="W296" i="6"/>
  <c r="AN296" i="6" s="1"/>
  <c r="AL296" i="6" s="1"/>
  <c r="W241" i="6"/>
  <c r="AM248" i="6" s="1"/>
  <c r="AK248" i="6" s="1"/>
  <c r="W857" i="6"/>
  <c r="AM864" i="6" s="1"/>
  <c r="AK864" i="6" s="1"/>
  <c r="W395" i="6"/>
  <c r="W396" i="6" s="1"/>
  <c r="AM396" i="6" s="1"/>
  <c r="AK396" i="6" s="1"/>
  <c r="W967" i="6"/>
  <c r="AN974" i="6" s="1"/>
  <c r="AL974" i="6" s="1"/>
  <c r="W956" i="6"/>
  <c r="AM963" i="6" s="1"/>
  <c r="AD255" i="7" s="1"/>
  <c r="AG923" i="6"/>
  <c r="AF945" i="6"/>
  <c r="Q13" i="7"/>
  <c r="Q411" i="7"/>
  <c r="O407" i="7"/>
  <c r="I405" i="7"/>
  <c r="K350" i="7"/>
  <c r="H31" i="11"/>
  <c r="Q124" i="7"/>
  <c r="W142" i="6"/>
  <c r="AM149" i="6" s="1"/>
  <c r="AK149" i="6" s="1"/>
  <c r="W21" i="6"/>
  <c r="AN28" i="6" s="1"/>
  <c r="AL28" i="6" s="1"/>
  <c r="W76" i="6"/>
  <c r="AN76" i="6" s="1"/>
  <c r="AL76" i="6" s="1"/>
  <c r="W153" i="6"/>
  <c r="AM153" i="6" s="1"/>
  <c r="AK153" i="6" s="1"/>
  <c r="W197" i="6"/>
  <c r="W198" i="6" s="1"/>
  <c r="W199" i="6" s="1"/>
  <c r="W263" i="6"/>
  <c r="AN263" i="6" s="1"/>
  <c r="AL263" i="6" s="1"/>
  <c r="W813" i="6"/>
  <c r="AM820" i="6" s="1"/>
  <c r="AK820" i="6" s="1"/>
  <c r="W285" i="6"/>
  <c r="W286" i="6" s="1"/>
  <c r="W287" i="6" s="1"/>
  <c r="AM285" i="6" s="1"/>
  <c r="AK285" i="6" s="1"/>
  <c r="W659" i="6"/>
  <c r="AM666" i="6" s="1"/>
  <c r="AK666" i="6" s="1"/>
  <c r="W439" i="6"/>
  <c r="W440" i="6" s="1"/>
  <c r="W441" i="6" s="1"/>
  <c r="AN441" i="6" s="1"/>
  <c r="AL441" i="6" s="1"/>
  <c r="W626" i="6"/>
  <c r="AM633" i="6" s="1"/>
  <c r="AK633" i="6" s="1"/>
  <c r="W318" i="6"/>
  <c r="AN318" i="6" s="1"/>
  <c r="AL318" i="6" s="1"/>
  <c r="W362" i="6"/>
  <c r="AM369" i="6" s="1"/>
  <c r="AK369" i="6" s="1"/>
  <c r="W406" i="6"/>
  <c r="W407" i="6" s="1"/>
  <c r="W408" i="6" s="1"/>
  <c r="W409" i="6" s="1"/>
  <c r="W410" i="6" s="1"/>
  <c r="AN410" i="6" s="1"/>
  <c r="AL410" i="6" s="1"/>
  <c r="W791" i="6"/>
  <c r="AN798" i="6" s="1"/>
  <c r="AD137" i="7" s="1"/>
  <c r="W472" i="6"/>
  <c r="W473" i="6" s="1"/>
  <c r="W474" i="6" s="1"/>
  <c r="W475" i="6" s="1"/>
  <c r="W476" i="6" s="1"/>
  <c r="AN475" i="6" s="1"/>
  <c r="AL475" i="6" s="1"/>
  <c r="W802" i="6"/>
  <c r="AN809" i="6" s="1"/>
  <c r="AL809" i="6" s="1"/>
  <c r="W989" i="6"/>
  <c r="AM996" i="6" s="1"/>
  <c r="AK996" i="6" s="1"/>
  <c r="W703" i="6"/>
  <c r="AM710" i="6" s="1"/>
  <c r="AK710" i="6" s="1"/>
  <c r="W747" i="6"/>
  <c r="W748" i="6" s="1"/>
  <c r="W749" i="6" s="1"/>
  <c r="W750" i="6" s="1"/>
  <c r="W751" i="6" s="1"/>
  <c r="W752" i="6" s="1"/>
  <c r="W753" i="6" s="1"/>
  <c r="W754" i="6" s="1"/>
  <c r="U353" i="7" s="1"/>
  <c r="W868" i="6"/>
  <c r="AN875" i="6" s="1"/>
  <c r="AL875" i="6" s="1"/>
  <c r="W978" i="6"/>
  <c r="AN985" i="6" s="1"/>
  <c r="AL985" i="6" s="1"/>
  <c r="W1000" i="6"/>
  <c r="AM1007" i="6" s="1"/>
  <c r="AK1007" i="6" s="1"/>
  <c r="AE923" i="6"/>
  <c r="AG945" i="6"/>
  <c r="W230" i="6"/>
  <c r="AM230" i="6" s="1"/>
  <c r="AK230" i="6" s="1"/>
  <c r="W120" i="6"/>
  <c r="AM120" i="6" s="1"/>
  <c r="AK120" i="6" s="1"/>
  <c r="W43" i="6"/>
  <c r="AN50" i="6" s="1"/>
  <c r="AL50" i="6" s="1"/>
  <c r="W87" i="6"/>
  <c r="W88" i="6" s="1"/>
  <c r="AN88" i="6" s="1"/>
  <c r="AL88" i="6" s="1"/>
  <c r="W164" i="6"/>
  <c r="AN164" i="6" s="1"/>
  <c r="AL164" i="6" s="1"/>
  <c r="W208" i="6"/>
  <c r="AM208" i="6" s="1"/>
  <c r="AK208" i="6" s="1"/>
  <c r="W428" i="6"/>
  <c r="W429" i="6" s="1"/>
  <c r="W430" i="6" s="1"/>
  <c r="W431" i="6" s="1"/>
  <c r="W432" i="6" s="1"/>
  <c r="AM432" i="6" s="1"/>
  <c r="AK432" i="6" s="1"/>
  <c r="W923" i="6"/>
  <c r="AM930" i="6" s="1"/>
  <c r="AD312" i="7" s="1"/>
  <c r="W505" i="6"/>
  <c r="W506" i="6" s="1"/>
  <c r="W507" i="6" s="1"/>
  <c r="AN506" i="6" s="1"/>
  <c r="AL506" i="6" s="1"/>
  <c r="W670" i="6"/>
  <c r="W671" i="6" s="1"/>
  <c r="W672" i="6" s="1"/>
  <c r="W673" i="6" s="1"/>
  <c r="W674" i="6" s="1"/>
  <c r="W675" i="6" s="1"/>
  <c r="W676" i="6" s="1"/>
  <c r="W677" i="6" s="1"/>
  <c r="U414" i="7" s="1"/>
  <c r="W560" i="6"/>
  <c r="W561" i="6" s="1"/>
  <c r="W562" i="6" s="1"/>
  <c r="W563" i="6" s="1"/>
  <c r="AM561" i="6" s="1"/>
  <c r="AK561" i="6" s="1"/>
  <c r="W648" i="6"/>
  <c r="W649" i="6" s="1"/>
  <c r="W650" i="6" s="1"/>
  <c r="AM649" i="6" s="1"/>
  <c r="W329" i="6"/>
  <c r="W330" i="6" s="1"/>
  <c r="W331" i="6" s="1"/>
  <c r="W373" i="6"/>
  <c r="W374" i="6" s="1"/>
  <c r="W375" i="6" s="1"/>
  <c r="W376" i="6" s="1"/>
  <c r="W377" i="6" s="1"/>
  <c r="AN377" i="6" s="1"/>
  <c r="AL377" i="6" s="1"/>
  <c r="W417" i="6"/>
  <c r="W418" i="6" s="1"/>
  <c r="W419" i="6" s="1"/>
  <c r="W420" i="6" s="1"/>
  <c r="AM420" i="6" s="1"/>
  <c r="AK420" i="6" s="1"/>
  <c r="W846" i="6"/>
  <c r="AM853" i="6" s="1"/>
  <c r="AD365" i="7" s="1"/>
  <c r="W780" i="6"/>
  <c r="AN787" i="6" s="1"/>
  <c r="AD424" i="7" s="1"/>
  <c r="W824" i="6"/>
  <c r="AM831" i="6" s="1"/>
  <c r="AD139" i="7" s="1"/>
  <c r="W1022" i="6"/>
  <c r="AM1029" i="6" s="1"/>
  <c r="AK1029" i="6" s="1"/>
  <c r="W714" i="6"/>
  <c r="AM721" i="6" s="1"/>
  <c r="AK721" i="6" s="1"/>
  <c r="W758" i="6"/>
  <c r="W759" i="6" s="1"/>
  <c r="W760" i="6" s="1"/>
  <c r="W901" i="6"/>
  <c r="AN908" i="6" s="1"/>
  <c r="AL908" i="6" s="1"/>
  <c r="W1055" i="6"/>
  <c r="AM1062" i="6" s="1"/>
  <c r="AK1062" i="6" s="1"/>
  <c r="W1033" i="6"/>
  <c r="AN1040" i="6" s="1"/>
  <c r="AL1040" i="6" s="1"/>
  <c r="AG956" i="6"/>
  <c r="AH923" i="6"/>
  <c r="AH945" i="6"/>
  <c r="W32" i="6"/>
  <c r="W33" i="6" s="1"/>
  <c r="W34" i="6" s="1"/>
  <c r="W274" i="6"/>
  <c r="AM274" i="6" s="1"/>
  <c r="AK274" i="6" s="1"/>
  <c r="W252" i="6"/>
  <c r="AM252" i="6" s="1"/>
  <c r="AK252" i="6" s="1"/>
  <c r="W54" i="6"/>
  <c r="AN61" i="6" s="1"/>
  <c r="AL61" i="6" s="1"/>
  <c r="W98" i="6"/>
  <c r="AN98" i="6" s="1"/>
  <c r="AL98" i="6" s="1"/>
  <c r="W175" i="6"/>
  <c r="AN175" i="6" s="1"/>
  <c r="AL175" i="6" s="1"/>
  <c r="W219" i="6"/>
  <c r="W220" i="6" s="1"/>
  <c r="W221" i="6" s="1"/>
  <c r="W571" i="6"/>
  <c r="AM578" i="6" s="1"/>
  <c r="W461" i="6"/>
  <c r="AN461" i="6" s="1"/>
  <c r="AL461" i="6" s="1"/>
  <c r="W593" i="6"/>
  <c r="AM600" i="6" s="1"/>
  <c r="AK600" i="6" s="1"/>
  <c r="W681" i="6"/>
  <c r="W682" i="6" s="1"/>
  <c r="AM682" i="6" s="1"/>
  <c r="AK682" i="6" s="1"/>
  <c r="W582" i="6"/>
  <c r="W583" i="6" s="1"/>
  <c r="W584" i="6" s="1"/>
  <c r="W585" i="6" s="1"/>
  <c r="W692" i="6"/>
  <c r="W693" i="6" s="1"/>
  <c r="W694" i="6" s="1"/>
  <c r="AM693" i="6" s="1"/>
  <c r="AK693" i="6" s="1"/>
  <c r="W340" i="6"/>
  <c r="AN340" i="6" s="1"/>
  <c r="AL340" i="6" s="1"/>
  <c r="W384" i="6"/>
  <c r="W385" i="6" s="1"/>
  <c r="AM385" i="6" s="1"/>
  <c r="AK385" i="6" s="1"/>
  <c r="W450" i="6"/>
  <c r="W451" i="6" s="1"/>
  <c r="W452" i="6" s="1"/>
  <c r="W890" i="6"/>
  <c r="AM897" i="6" s="1"/>
  <c r="W945" i="6"/>
  <c r="AN952" i="6" s="1"/>
  <c r="AL952" i="6" s="1"/>
  <c r="W879" i="6"/>
  <c r="AM886" i="6" s="1"/>
  <c r="AK886" i="6" s="1"/>
  <c r="W1044" i="6"/>
  <c r="AN1051" i="6" s="1"/>
  <c r="AL1051" i="6" s="1"/>
  <c r="W725" i="6"/>
  <c r="AM732" i="6" s="1"/>
  <c r="AK732" i="6" s="1"/>
  <c r="W769" i="6"/>
  <c r="AN776" i="6" s="1"/>
  <c r="AD363" i="7" s="1"/>
  <c r="W934" i="6"/>
  <c r="AN941" i="6" s="1"/>
  <c r="AL941" i="6" s="1"/>
  <c r="W1066" i="6"/>
  <c r="AM1073" i="6" s="1"/>
  <c r="AK1073" i="6" s="1"/>
  <c r="W1077" i="6"/>
  <c r="AM1084" i="6" s="1"/>
  <c r="AK1084" i="6" s="1"/>
  <c r="AH956" i="6"/>
  <c r="AF923" i="6"/>
  <c r="AE945" i="6"/>
  <c r="G947" i="6"/>
  <c r="K14" i="14"/>
  <c r="H78" i="11"/>
  <c r="H15" i="11"/>
  <c r="H63" i="11"/>
  <c r="H64" i="11"/>
  <c r="H19" i="11"/>
  <c r="G407" i="7"/>
  <c r="G350" i="7"/>
  <c r="I13" i="7"/>
  <c r="G67" i="7"/>
  <c r="M67" i="7"/>
  <c r="G212" i="7"/>
  <c r="Q350" i="7"/>
  <c r="K409" i="7"/>
  <c r="U176" i="7"/>
  <c r="Q405" i="7"/>
  <c r="M407" i="7"/>
  <c r="Q348" i="7"/>
  <c r="Q407" i="7"/>
  <c r="O122" i="7"/>
  <c r="I350" i="7"/>
  <c r="O405" i="7"/>
  <c r="K57" i="7"/>
  <c r="S301" i="7"/>
  <c r="G948" i="6"/>
  <c r="P946" i="6" s="1"/>
  <c r="I143" i="7" s="1"/>
  <c r="O411" i="7"/>
  <c r="O178" i="7"/>
  <c r="U273" i="7"/>
  <c r="O63" i="7"/>
  <c r="K12" i="14"/>
  <c r="S212" i="7"/>
  <c r="M138" i="7"/>
  <c r="M124" i="7"/>
  <c r="S178" i="7"/>
  <c r="K178" i="7"/>
  <c r="G949" i="6"/>
  <c r="P949" i="6" s="1"/>
  <c r="O143" i="7" s="1"/>
  <c r="G951" i="6"/>
  <c r="P951" i="6" s="1"/>
  <c r="S143" i="7" s="1"/>
  <c r="S350" i="7"/>
  <c r="O340" i="7"/>
  <c r="AJ236" i="6"/>
  <c r="O57" i="7"/>
  <c r="K354" i="7"/>
  <c r="M63" i="7"/>
  <c r="G63" i="7"/>
  <c r="I61" i="7"/>
  <c r="H85" i="11"/>
  <c r="G178" i="7"/>
  <c r="AE901" i="6"/>
  <c r="AG901" i="6"/>
  <c r="O273" i="7"/>
  <c r="O162" i="7"/>
  <c r="AF901" i="6"/>
  <c r="O112" i="7"/>
  <c r="S19" i="7"/>
  <c r="U63" i="7"/>
  <c r="S174" i="7"/>
  <c r="AJ610" i="6"/>
  <c r="AJ214" i="6"/>
  <c r="S238" i="7"/>
  <c r="U174" i="7"/>
  <c r="AJ753" i="6"/>
  <c r="AJ27" i="6"/>
  <c r="AJ181" i="6"/>
  <c r="AJ368" i="6"/>
  <c r="K118" i="7"/>
  <c r="M118" i="7"/>
  <c r="AJ137" i="6"/>
  <c r="AJ698" i="6"/>
  <c r="AJ445" i="6"/>
  <c r="AJ82" i="6"/>
  <c r="AJ489" i="6"/>
  <c r="AJ104" i="6"/>
  <c r="M250" i="7"/>
  <c r="AJ170" i="6"/>
  <c r="AJ93" i="6"/>
  <c r="AJ280" i="6"/>
  <c r="AJ973" i="6"/>
  <c r="AJ269" i="6"/>
  <c r="AJ313" i="6"/>
  <c r="AJ126" i="6"/>
  <c r="AM27" i="6"/>
  <c r="AN27" i="6"/>
  <c r="AJ379" i="6"/>
  <c r="AJ401" i="6"/>
  <c r="AJ230" i="6"/>
  <c r="AJ237" i="6"/>
  <c r="AM39" i="6"/>
  <c r="AK39" i="6" s="1"/>
  <c r="AN39" i="6"/>
  <c r="AL39" i="6" s="1"/>
  <c r="AJ159" i="6"/>
  <c r="AJ384" i="6"/>
  <c r="AJ391" i="6"/>
  <c r="AJ428" i="6"/>
  <c r="AJ435" i="6"/>
  <c r="S240" i="7"/>
  <c r="K174" i="7"/>
  <c r="AJ406" i="6"/>
  <c r="AJ413" i="6"/>
  <c r="AJ335" i="6"/>
  <c r="AJ604" i="6"/>
  <c r="AJ611" i="6"/>
  <c r="AJ505" i="6"/>
  <c r="AJ512" i="6"/>
  <c r="AJ329" i="6"/>
  <c r="AJ336" i="6"/>
  <c r="AJ153" i="6"/>
  <c r="AJ160" i="6"/>
  <c r="AJ203" i="6"/>
  <c r="AJ252" i="6"/>
  <c r="AJ259" i="6"/>
  <c r="AJ76" i="6"/>
  <c r="AJ83" i="6"/>
  <c r="AJ615" i="6"/>
  <c r="AJ622" i="6"/>
  <c r="AJ219" i="6"/>
  <c r="AJ226" i="6"/>
  <c r="AJ43" i="6"/>
  <c r="AJ50" i="6"/>
  <c r="AJ511" i="6"/>
  <c r="AJ21" i="6"/>
  <c r="AJ28" i="6"/>
  <c r="AJ765" i="6"/>
  <c r="AJ324" i="6"/>
  <c r="AN710" i="6"/>
  <c r="AL710" i="6" s="1"/>
  <c r="AJ314" i="6"/>
  <c r="AN138" i="6"/>
  <c r="AL138" i="6" s="1"/>
  <c r="AN721" i="6"/>
  <c r="AL721" i="6" s="1"/>
  <c r="AJ325" i="6"/>
  <c r="AN149" i="6"/>
  <c r="AL149" i="6" s="1"/>
  <c r="AN688" i="6"/>
  <c r="AL688" i="6" s="1"/>
  <c r="AN116" i="6"/>
  <c r="AL116" i="6" s="1"/>
  <c r="AN259" i="6"/>
  <c r="AL259" i="6" s="1"/>
  <c r="AJ446" i="6"/>
  <c r="AJ94" i="6"/>
  <c r="AM105" i="6"/>
  <c r="AK105" i="6" s="1"/>
  <c r="AN248" i="6"/>
  <c r="AL248" i="6" s="1"/>
  <c r="AM182" i="6"/>
  <c r="AK182" i="6" s="1"/>
  <c r="AN589" i="6"/>
  <c r="AL589" i="6" s="1"/>
  <c r="AN732" i="6"/>
  <c r="AL732" i="6" s="1"/>
  <c r="AM336" i="6"/>
  <c r="AK336" i="6" s="1"/>
  <c r="AN479" i="6"/>
  <c r="AL479" i="6" s="1"/>
  <c r="AN666" i="6"/>
  <c r="AL666" i="6" s="1"/>
  <c r="AM270" i="6"/>
  <c r="AK270" i="6" s="1"/>
  <c r="AN677" i="6"/>
  <c r="AL677" i="6" s="1"/>
  <c r="AJ281" i="6"/>
  <c r="AM424" i="6"/>
  <c r="AK424" i="6" s="1"/>
  <c r="AM72" i="6"/>
  <c r="AK72" i="6" s="1"/>
  <c r="AN578" i="6"/>
  <c r="AN369" i="6"/>
  <c r="AL369" i="6" s="1"/>
  <c r="AM160" i="6"/>
  <c r="AK160" i="6" s="1"/>
  <c r="AN622" i="6"/>
  <c r="AL622" i="6" s="1"/>
  <c r="AN402" i="6"/>
  <c r="AL402" i="6" s="1"/>
  <c r="AM50" i="6"/>
  <c r="AK50" i="6" s="1"/>
  <c r="AN633" i="6"/>
  <c r="AL633" i="6" s="1"/>
  <c r="AM61" i="6"/>
  <c r="AK61" i="6" s="1"/>
  <c r="AN600" i="6"/>
  <c r="AL600" i="6" s="1"/>
  <c r="AN380" i="6"/>
  <c r="AL380" i="6" s="1"/>
  <c r="AN743" i="6"/>
  <c r="AL743" i="6" s="1"/>
  <c r="AN567" i="6"/>
  <c r="AL567" i="6" s="1"/>
  <c r="AM347" i="6"/>
  <c r="AK347" i="6" s="1"/>
  <c r="AM171" i="6"/>
  <c r="AK171" i="6" s="1"/>
  <c r="AM193" i="6"/>
  <c r="AK193" i="6" s="1"/>
  <c r="AN699" i="6"/>
  <c r="AL699" i="6" s="1"/>
  <c r="AJ303" i="6"/>
  <c r="AM1051" i="6"/>
  <c r="AK1051" i="6" s="1"/>
  <c r="AJ974" i="6"/>
  <c r="AN996" i="6"/>
  <c r="AL996" i="6" s="1"/>
  <c r="AM941" i="6"/>
  <c r="AK941" i="6" s="1"/>
  <c r="AN1007" i="6"/>
  <c r="AL1007" i="6" s="1"/>
  <c r="AJ853" i="6"/>
  <c r="AJ556" i="6"/>
  <c r="AN1073" i="6"/>
  <c r="AL1073" i="6" s="1"/>
  <c r="AN1095" i="6"/>
  <c r="AL1095" i="6" s="1"/>
  <c r="AN1018" i="6"/>
  <c r="AL1018" i="6" s="1"/>
  <c r="AJ864" i="6"/>
  <c r="AJ809" i="6"/>
  <c r="AM809" i="6"/>
  <c r="AD251" i="7" s="1"/>
  <c r="AJ896" i="6"/>
  <c r="AJ775" i="6"/>
  <c r="AJ390" i="6"/>
  <c r="AJ357" i="6"/>
  <c r="AJ115" i="6"/>
  <c r="AJ500" i="6"/>
  <c r="AN1105" i="6"/>
  <c r="AL1105" i="6" s="1"/>
  <c r="AM1105" i="6"/>
  <c r="AK1105" i="6" s="1"/>
  <c r="AJ490" i="6"/>
  <c r="AN314" i="6"/>
  <c r="AL314" i="6" s="1"/>
  <c r="AN325" i="6"/>
  <c r="AL325" i="6" s="1"/>
  <c r="AM688" i="6"/>
  <c r="AK688" i="6" s="1"/>
  <c r="AJ468" i="6"/>
  <c r="AN292" i="6"/>
  <c r="AL292" i="6" s="1"/>
  <c r="AN435" i="6"/>
  <c r="AL435" i="6" s="1"/>
  <c r="AM259" i="6"/>
  <c r="AK259" i="6" s="1"/>
  <c r="AN83" i="6"/>
  <c r="AL83" i="6" s="1"/>
  <c r="AN446" i="6"/>
  <c r="AL446" i="6" s="1"/>
  <c r="AN94" i="6"/>
  <c r="AL94" i="6" s="1"/>
  <c r="AN457" i="6"/>
  <c r="AL457" i="6" s="1"/>
  <c r="AJ105" i="6"/>
  <c r="AJ644" i="6"/>
  <c r="AJ589" i="6"/>
  <c r="AM589" i="6"/>
  <c r="AK589" i="6" s="1"/>
  <c r="AM479" i="6"/>
  <c r="AK479" i="6" s="1"/>
  <c r="AM28" i="6"/>
  <c r="AK28" i="6" s="1"/>
  <c r="AJ270" i="6"/>
  <c r="AM677" i="6"/>
  <c r="AK677" i="6" s="1"/>
  <c r="AJ215" i="6"/>
  <c r="AJ127" i="6"/>
  <c r="AM622" i="6"/>
  <c r="AK622" i="6" s="1"/>
  <c r="AM402" i="6"/>
  <c r="AK402" i="6" s="1"/>
  <c r="AM380" i="6"/>
  <c r="AK380" i="6" s="1"/>
  <c r="AM743" i="6"/>
  <c r="AK743" i="6" s="1"/>
  <c r="AM567" i="6"/>
  <c r="AK567" i="6" s="1"/>
  <c r="AJ754" i="6"/>
  <c r="AN358" i="6"/>
  <c r="AL358" i="6" s="1"/>
  <c r="AJ193" i="6"/>
  <c r="AM699" i="6"/>
  <c r="AK699" i="6" s="1"/>
  <c r="AN303" i="6"/>
  <c r="AL303" i="6" s="1"/>
  <c r="AN1029" i="6"/>
  <c r="AL1029" i="6" s="1"/>
  <c r="AM974" i="6"/>
  <c r="AD369" i="7" s="1"/>
  <c r="AN820" i="6"/>
  <c r="AL820" i="6" s="1"/>
  <c r="AJ820" i="6"/>
  <c r="AN886" i="6"/>
  <c r="AL886" i="6" s="1"/>
  <c r="AN831" i="6"/>
  <c r="AL831" i="6" s="1"/>
  <c r="AJ831" i="6"/>
  <c r="AN534" i="6"/>
  <c r="AL534" i="6" s="1"/>
  <c r="AN1106" i="6"/>
  <c r="AN1084" i="6"/>
  <c r="AL1084" i="6" s="1"/>
  <c r="AN930" i="6"/>
  <c r="AL930" i="6" s="1"/>
  <c r="AJ776" i="6"/>
  <c r="AM776" i="6"/>
  <c r="AK776" i="6" s="1"/>
  <c r="AJ787" i="6"/>
  <c r="AM787" i="6"/>
  <c r="AD422" i="7" s="1"/>
  <c r="AJ545" i="6"/>
  <c r="AN1062" i="6"/>
  <c r="AL1062" i="6" s="1"/>
  <c r="AM1040" i="6"/>
  <c r="AK1040" i="6" s="1"/>
  <c r="AN897" i="6"/>
  <c r="AL897" i="6" s="1"/>
  <c r="AJ897" i="6"/>
  <c r="AN853" i="6"/>
  <c r="AD367" i="7" s="1"/>
  <c r="AJ798" i="6"/>
  <c r="AM798" i="6"/>
  <c r="AK798" i="6" s="1"/>
  <c r="AM908" i="6"/>
  <c r="AM875" i="6"/>
  <c r="AK875" i="6" s="1"/>
  <c r="AJ148" i="6"/>
  <c r="AN490" i="6"/>
  <c r="AL490" i="6" s="1"/>
  <c r="AM314" i="6"/>
  <c r="AK314" i="6" s="1"/>
  <c r="AN501" i="6"/>
  <c r="AL501" i="6" s="1"/>
  <c r="AM325" i="6"/>
  <c r="AK325" i="6" s="1"/>
  <c r="AN468" i="6"/>
  <c r="AL468" i="6" s="1"/>
  <c r="AM292" i="6"/>
  <c r="AK292" i="6" s="1"/>
  <c r="AN655" i="6"/>
  <c r="AL655" i="6" s="1"/>
  <c r="AM435" i="6"/>
  <c r="AK435" i="6" s="1"/>
  <c r="AM83" i="6"/>
  <c r="AK83" i="6" s="1"/>
  <c r="AM446" i="6"/>
  <c r="AK446" i="6" s="1"/>
  <c r="AM94" i="6"/>
  <c r="AK94" i="6" s="1"/>
  <c r="AM457" i="6"/>
  <c r="AK457" i="6" s="1"/>
  <c r="AN644" i="6"/>
  <c r="AL644" i="6" s="1"/>
  <c r="AN611" i="6"/>
  <c r="AN391" i="6"/>
  <c r="AL391" i="6" s="1"/>
  <c r="AJ182" i="6"/>
  <c r="AN281" i="6"/>
  <c r="AL281" i="6" s="1"/>
  <c r="AJ424" i="6"/>
  <c r="AJ72" i="6"/>
  <c r="AN215" i="6"/>
  <c r="AL215" i="6" s="1"/>
  <c r="AJ578" i="6"/>
  <c r="AN127" i="6"/>
  <c r="AL127" i="6" s="1"/>
  <c r="AN226" i="6"/>
  <c r="AL226" i="6" s="1"/>
  <c r="AN413" i="6"/>
  <c r="AL413" i="6" s="1"/>
  <c r="AN237" i="6"/>
  <c r="AL237" i="6" s="1"/>
  <c r="AN204" i="6"/>
  <c r="AL204" i="6" s="1"/>
  <c r="AJ347" i="6"/>
  <c r="AJ171" i="6"/>
  <c r="AN754" i="6"/>
  <c r="AL754" i="6" s="1"/>
  <c r="AM358" i="6"/>
  <c r="AK358" i="6" s="1"/>
  <c r="AN512" i="6"/>
  <c r="AL512" i="6" s="1"/>
  <c r="AJ699" i="6"/>
  <c r="AM303" i="6"/>
  <c r="AK303" i="6" s="1"/>
  <c r="AN919" i="6"/>
  <c r="AL919" i="6" s="1"/>
  <c r="AM985" i="6"/>
  <c r="AK985" i="6" s="1"/>
  <c r="AJ544" i="6"/>
  <c r="AM952" i="6"/>
  <c r="AK952" i="6" s="1"/>
  <c r="AN963" i="6"/>
  <c r="AL963" i="6" s="1"/>
  <c r="AN864" i="6"/>
  <c r="AL864" i="6" s="1"/>
  <c r="AJ863" i="6"/>
  <c r="AJ742" i="6"/>
  <c r="AJ456" i="6"/>
  <c r="AM490" i="6"/>
  <c r="AK490" i="6" s="1"/>
  <c r="AJ138" i="6"/>
  <c r="AM501" i="6"/>
  <c r="AK501" i="6" s="1"/>
  <c r="AJ149" i="6"/>
  <c r="AM468" i="6"/>
  <c r="AK468" i="6" s="1"/>
  <c r="AJ116" i="6"/>
  <c r="AM655" i="6"/>
  <c r="AK655" i="6" s="1"/>
  <c r="AJ457" i="6"/>
  <c r="AN105" i="6"/>
  <c r="AL105" i="6" s="1"/>
  <c r="AM644" i="6"/>
  <c r="AK644" i="6" s="1"/>
  <c r="AJ248" i="6"/>
  <c r="AM611" i="6"/>
  <c r="AM391" i="6"/>
  <c r="AK391" i="6" s="1"/>
  <c r="AN182" i="6"/>
  <c r="AL182" i="6" s="1"/>
  <c r="AL336" i="6"/>
  <c r="AJ666" i="6"/>
  <c r="AN270" i="6"/>
  <c r="AL270" i="6" s="1"/>
  <c r="AJ677" i="6"/>
  <c r="AM281" i="6"/>
  <c r="AK281" i="6" s="1"/>
  <c r="AN424" i="6"/>
  <c r="AL424" i="6" s="1"/>
  <c r="AM215" i="6"/>
  <c r="AK215" i="6" s="1"/>
  <c r="AN160" i="6"/>
  <c r="AL160" i="6" s="1"/>
  <c r="AM127" i="6"/>
  <c r="AK127" i="6" s="1"/>
  <c r="AM226" i="6"/>
  <c r="AK226" i="6" s="1"/>
  <c r="AM413" i="6"/>
  <c r="AK413" i="6" s="1"/>
  <c r="AM237" i="6"/>
  <c r="AK237" i="6" s="1"/>
  <c r="AM204" i="6"/>
  <c r="AK204" i="6" s="1"/>
  <c r="AJ743" i="6"/>
  <c r="AN347" i="6"/>
  <c r="AL347" i="6" s="1"/>
  <c r="AN171" i="6"/>
  <c r="AL171" i="6" s="1"/>
  <c r="AM754" i="6"/>
  <c r="AK754" i="6" s="1"/>
  <c r="AN193" i="6"/>
  <c r="AL193" i="6" s="1"/>
  <c r="AM512" i="6"/>
  <c r="AK512" i="6" s="1"/>
  <c r="AM1106" i="6"/>
  <c r="AK1106" i="6" s="1"/>
  <c r="AJ875" i="6"/>
  <c r="AJ522" i="6"/>
  <c r="AJ555" i="6"/>
  <c r="AJ842" i="6"/>
  <c r="AJ830" i="6"/>
  <c r="AJ874" i="6"/>
  <c r="Y156" i="15"/>
  <c r="G912" i="6"/>
  <c r="P916" i="6" s="1"/>
  <c r="O197" i="7" s="1"/>
  <c r="AE156" i="15"/>
  <c r="G918" i="6"/>
  <c r="Y181" i="15"/>
  <c r="Y176" i="15"/>
  <c r="AC151" i="15"/>
  <c r="G905" i="6"/>
  <c r="AA151" i="15"/>
  <c r="G903" i="6"/>
  <c r="AB161" i="15"/>
  <c r="G926" i="6"/>
  <c r="P927" i="6" s="1"/>
  <c r="O311" i="7" s="1"/>
  <c r="Z151" i="15"/>
  <c r="G902" i="6"/>
  <c r="AD151" i="15"/>
  <c r="G906" i="6"/>
  <c r="Y161" i="15"/>
  <c r="G923" i="6"/>
  <c r="P923" i="6" s="1"/>
  <c r="G311" i="7" s="1"/>
  <c r="AE161" i="15"/>
  <c r="G929" i="6"/>
  <c r="P925" i="6" s="1"/>
  <c r="K311" i="7" s="1"/>
  <c r="AC156" i="15"/>
  <c r="G916" i="6"/>
  <c r="P915" i="6" s="1"/>
  <c r="M197" i="7" s="1"/>
  <c r="AA156" i="15"/>
  <c r="G914" i="6"/>
  <c r="P912" i="6" s="1"/>
  <c r="G197" i="7" s="1"/>
  <c r="AA181" i="15"/>
  <c r="AA176" i="15"/>
  <c r="AB166" i="15"/>
  <c r="G937" i="6"/>
  <c r="Z156" i="15"/>
  <c r="G913" i="6"/>
  <c r="P914" i="6" s="1"/>
  <c r="K197" i="7" s="1"/>
  <c r="AD156" i="15"/>
  <c r="G917" i="6"/>
  <c r="Y166" i="15"/>
  <c r="G934" i="6"/>
  <c r="AE166" i="15"/>
  <c r="G940" i="6"/>
  <c r="Z181" i="15"/>
  <c r="Z176" i="15"/>
  <c r="AB176" i="15"/>
  <c r="AB181" i="15"/>
  <c r="AC161" i="15"/>
  <c r="G927" i="6"/>
  <c r="P926" i="6" s="1"/>
  <c r="M311" i="7" s="1"/>
  <c r="AA161" i="15"/>
  <c r="G925" i="6"/>
  <c r="P930" i="6" s="1"/>
  <c r="U311" i="7" s="1"/>
  <c r="AB151" i="15"/>
  <c r="G904" i="6"/>
  <c r="Z161" i="15"/>
  <c r="G924" i="6"/>
  <c r="P929" i="6" s="1"/>
  <c r="S311" i="7" s="1"/>
  <c r="AD161" i="15"/>
  <c r="G928" i="6"/>
  <c r="P928" i="6" s="1"/>
  <c r="Q311" i="7" s="1"/>
  <c r="Y151" i="15"/>
  <c r="G901" i="6"/>
  <c r="AE151" i="15"/>
  <c r="G907" i="6"/>
  <c r="AC166" i="15"/>
  <c r="G938" i="6"/>
  <c r="AA166" i="15"/>
  <c r="G936" i="6"/>
  <c r="AB156" i="15"/>
  <c r="G915" i="6"/>
  <c r="P913" i="6" s="1"/>
  <c r="I197" i="7" s="1"/>
  <c r="AC181" i="15"/>
  <c r="AC176" i="15"/>
  <c r="AE181" i="15"/>
  <c r="AE176" i="15"/>
  <c r="Z166" i="15"/>
  <c r="G935" i="6"/>
  <c r="AD166" i="15"/>
  <c r="G939" i="6"/>
  <c r="AJ421" i="6"/>
  <c r="AJ255" i="6"/>
  <c r="O174" i="7"/>
  <c r="S277" i="7"/>
  <c r="M342" i="7"/>
  <c r="O120" i="7"/>
  <c r="S273" i="7"/>
  <c r="M13" i="7"/>
  <c r="I342" i="7"/>
  <c r="M120" i="7"/>
  <c r="S411" i="7"/>
  <c r="O21" i="7"/>
  <c r="I67" i="7"/>
  <c r="Q301" i="7"/>
  <c r="AI553" i="6"/>
  <c r="M178" i="7"/>
  <c r="I178" i="7"/>
  <c r="M176" i="7"/>
  <c r="G124" i="7"/>
  <c r="AI540" i="6"/>
  <c r="O124" i="7"/>
  <c r="M350" i="7"/>
  <c r="O364" i="7"/>
  <c r="I407" i="7"/>
  <c r="AJ554" i="6"/>
  <c r="AJ550" i="6"/>
  <c r="G364" i="7"/>
  <c r="AI828" i="6"/>
  <c r="AI543" i="6"/>
  <c r="G421" i="7"/>
  <c r="I252" i="7"/>
  <c r="AF967" i="6"/>
  <c r="AG912" i="6"/>
  <c r="K65" i="7"/>
  <c r="AE956" i="6"/>
  <c r="AG967" i="6"/>
  <c r="O67" i="7"/>
  <c r="AF956" i="6"/>
  <c r="AJ862" i="6"/>
  <c r="I301" i="7"/>
  <c r="I299" i="7"/>
  <c r="AH912" i="6"/>
  <c r="AH967" i="6"/>
  <c r="AF912" i="6"/>
  <c r="K17" i="14"/>
  <c r="AE912" i="6"/>
  <c r="AJ518" i="6"/>
  <c r="I140" i="7"/>
  <c r="AI893" i="6"/>
  <c r="AI518" i="6"/>
  <c r="U301" i="7"/>
  <c r="K186" i="7"/>
  <c r="AI532" i="6"/>
  <c r="AI554" i="6"/>
  <c r="AJ532" i="6"/>
  <c r="AJ146" i="6"/>
  <c r="AJ289" i="6"/>
  <c r="AJ597" i="6"/>
  <c r="AJ257" i="6"/>
  <c r="AJ356" i="6"/>
  <c r="AJ191" i="6"/>
  <c r="AI685" i="6"/>
  <c r="AI847" i="6"/>
  <c r="AI674" i="6"/>
  <c r="I411" i="7"/>
  <c r="S21" i="7"/>
  <c r="Q19" i="7"/>
  <c r="I138" i="7"/>
  <c r="Q178" i="7"/>
  <c r="AI763" i="6"/>
  <c r="O350" i="7"/>
  <c r="AI872" i="6"/>
  <c r="U178" i="7"/>
  <c r="S407" i="7"/>
  <c r="I124" i="7"/>
  <c r="AI531" i="6"/>
  <c r="AJ520" i="6"/>
  <c r="AJ619" i="6"/>
  <c r="AI59" i="6"/>
  <c r="AJ763" i="6"/>
  <c r="AI245" i="6"/>
  <c r="AJ663" i="6"/>
  <c r="AI267" i="6"/>
  <c r="AI565" i="6"/>
  <c r="AI344" i="6"/>
  <c r="AI301" i="6"/>
  <c r="AI92" i="6"/>
  <c r="AI873" i="6"/>
  <c r="AI840" i="6"/>
  <c r="AJ59" i="6"/>
  <c r="AJ565" i="6"/>
  <c r="AJ91" i="6"/>
  <c r="AI785" i="6"/>
  <c r="AI774" i="6"/>
  <c r="AJ521" i="6"/>
  <c r="AJ796" i="6"/>
  <c r="AI653" i="6"/>
  <c r="AJ157" i="6"/>
  <c r="AI708" i="6"/>
  <c r="AJ422" i="6"/>
  <c r="AI246" i="6"/>
  <c r="AJ70" i="6"/>
  <c r="AJ301" i="6"/>
  <c r="AJ543" i="6"/>
  <c r="AJ517" i="6"/>
  <c r="AJ851" i="6"/>
  <c r="AJ433" i="6"/>
  <c r="AI818" i="6"/>
  <c r="AI91" i="6"/>
  <c r="AI806" i="6"/>
  <c r="AI597" i="6"/>
  <c r="AJ212" i="6"/>
  <c r="AI563" i="6"/>
  <c r="AJ344" i="6"/>
  <c r="AI487" i="6"/>
  <c r="AI146" i="6"/>
  <c r="AI69" i="6"/>
  <c r="AI542" i="6"/>
  <c r="AI795" i="6"/>
  <c r="AJ828" i="6"/>
  <c r="AJ36" i="6"/>
  <c r="AI256" i="6"/>
  <c r="AI509" i="6"/>
  <c r="AJ388" i="6"/>
  <c r="AI212" i="6"/>
  <c r="AJ575" i="6"/>
  <c r="AJ113" i="6"/>
  <c r="AI421" i="6"/>
  <c r="AJ245" i="6"/>
  <c r="AJ102" i="6"/>
  <c r="AI520" i="6"/>
  <c r="AJ531" i="6"/>
  <c r="AJ542" i="6"/>
  <c r="AI861" i="6"/>
  <c r="AJ223" i="6"/>
  <c r="AJ410" i="6"/>
  <c r="AI179" i="6"/>
  <c r="AJ553" i="6"/>
  <c r="AI850" i="6"/>
  <c r="AI839" i="6"/>
  <c r="AJ784" i="6"/>
  <c r="AJ839" i="6"/>
  <c r="Q67" i="7"/>
  <c r="AI396" i="6"/>
  <c r="U299" i="7"/>
  <c r="O301" i="7"/>
  <c r="I354" i="7"/>
  <c r="U118" i="7"/>
  <c r="AJ528" i="6"/>
  <c r="U21" i="7"/>
  <c r="G301" i="7"/>
  <c r="G19" i="7"/>
  <c r="K67" i="7"/>
  <c r="AJ242" i="6"/>
  <c r="AI539" i="6"/>
  <c r="Q21" i="7"/>
  <c r="M21" i="7"/>
  <c r="K301" i="7"/>
  <c r="S67" i="7"/>
  <c r="M299" i="7"/>
  <c r="M301" i="7"/>
  <c r="AI464" i="6"/>
  <c r="I364" i="7"/>
  <c r="AI792" i="6"/>
  <c r="AI871" i="6"/>
  <c r="AJ860" i="6"/>
  <c r="O65" i="7"/>
  <c r="G65" i="7"/>
  <c r="U293" i="7"/>
  <c r="M354" i="7"/>
  <c r="O134" i="7"/>
  <c r="K21" i="7"/>
  <c r="AI33" i="6"/>
  <c r="AJ407" i="6"/>
  <c r="AJ726" i="6"/>
  <c r="AI726" i="6"/>
  <c r="AJ22" i="6"/>
  <c r="AJ286" i="6"/>
  <c r="AI551" i="6"/>
  <c r="AI529" i="6"/>
  <c r="AJ540" i="6"/>
  <c r="I21" i="7"/>
  <c r="G21" i="7"/>
  <c r="Q293" i="7"/>
  <c r="AI22" i="6"/>
  <c r="AJ551" i="6"/>
  <c r="AJ363" i="6"/>
  <c r="AJ529" i="6"/>
  <c r="AJ308" i="6"/>
  <c r="S354" i="7"/>
  <c r="AJ583" i="6"/>
  <c r="AJ110" i="6"/>
  <c r="AJ737" i="6"/>
  <c r="AJ143" i="6"/>
  <c r="AI66" i="6"/>
  <c r="AJ814" i="6"/>
  <c r="AI814" i="6"/>
  <c r="AI869" i="6"/>
  <c r="AI781" i="6"/>
  <c r="AI858" i="6"/>
  <c r="AI44" i="6"/>
  <c r="AJ187" i="6"/>
  <c r="U120" i="7"/>
  <c r="AI517" i="6"/>
  <c r="AI550" i="6"/>
  <c r="AJ792" i="6"/>
  <c r="AJ374" i="6"/>
  <c r="AI616" i="6"/>
  <c r="AJ396" i="6"/>
  <c r="AJ352" i="6"/>
  <c r="AI308" i="6"/>
  <c r="AI715" i="6"/>
  <c r="AJ693" i="6"/>
  <c r="AI660" i="6"/>
  <c r="AJ539" i="6"/>
  <c r="W538" i="6"/>
  <c r="W539" i="6" s="1"/>
  <c r="AI901" i="6"/>
  <c r="G136" i="7"/>
  <c r="I250" i="7"/>
  <c r="K140" i="7"/>
  <c r="K364" i="7"/>
  <c r="AI956" i="6"/>
  <c r="G140" i="7"/>
  <c r="G252" i="7"/>
  <c r="K362" i="7"/>
  <c r="G346" i="7"/>
  <c r="K248" i="7"/>
  <c r="G366" i="7"/>
  <c r="G248" i="7"/>
  <c r="AF181" i="15"/>
  <c r="K130" i="7"/>
  <c r="K360" i="7"/>
  <c r="I132" i="7"/>
  <c r="M130" i="7"/>
  <c r="M248" i="7"/>
  <c r="Q417" i="7"/>
  <c r="M307" i="7"/>
  <c r="I362" i="7"/>
  <c r="O417" i="7"/>
  <c r="Q246" i="7"/>
  <c r="M132" i="7"/>
  <c r="S132" i="7"/>
  <c r="S419" i="7"/>
  <c r="O346" i="7"/>
  <c r="K246" i="7"/>
  <c r="G419" i="7"/>
  <c r="Q132" i="7"/>
  <c r="O130" i="7"/>
  <c r="S130" i="7"/>
  <c r="S246" i="7"/>
  <c r="S417" i="7"/>
  <c r="I419" i="7"/>
  <c r="I417" i="7"/>
  <c r="M417" i="7"/>
  <c r="Q423" i="7"/>
  <c r="S421" i="7"/>
  <c r="M136" i="7"/>
  <c r="M364" i="7"/>
  <c r="Q360" i="7"/>
  <c r="O132" i="7"/>
  <c r="U344" i="7"/>
  <c r="K346" i="7"/>
  <c r="I346" i="7"/>
  <c r="K417" i="7"/>
  <c r="K419" i="7"/>
  <c r="G132" i="7"/>
  <c r="G362" i="7"/>
  <c r="G358" i="7"/>
  <c r="K356" i="7"/>
  <c r="I130" i="7"/>
  <c r="K366" i="7"/>
  <c r="Q130" i="7"/>
  <c r="G246" i="7"/>
  <c r="G417" i="7"/>
  <c r="G356" i="7"/>
  <c r="M356" i="7"/>
  <c r="M419" i="7"/>
  <c r="I356" i="7"/>
  <c r="Q134" i="7"/>
  <c r="S360" i="7"/>
  <c r="O360" i="7"/>
  <c r="I366" i="7"/>
  <c r="M360" i="7"/>
  <c r="U67" i="7"/>
  <c r="U132" i="7"/>
  <c r="Q346" i="7"/>
  <c r="K132" i="7"/>
  <c r="K358" i="7"/>
  <c r="K138" i="7"/>
  <c r="I246" i="7"/>
  <c r="I358" i="7"/>
  <c r="G360" i="7"/>
  <c r="I360" i="7"/>
  <c r="AI948" i="6"/>
  <c r="AI923" i="6"/>
  <c r="AI842" i="6"/>
  <c r="K16" i="14"/>
  <c r="K250" i="7"/>
  <c r="AI180" i="6"/>
  <c r="AJ54" i="6"/>
  <c r="K13" i="14"/>
  <c r="O293" i="7"/>
  <c r="K273" i="7"/>
  <c r="S162" i="7"/>
  <c r="M162" i="7"/>
  <c r="Q162" i="7"/>
  <c r="G13" i="7"/>
  <c r="K212" i="7"/>
  <c r="I277" i="7"/>
  <c r="S11" i="7"/>
  <c r="U291" i="7"/>
  <c r="I291" i="7"/>
  <c r="K23" i="7"/>
  <c r="K25" i="7"/>
  <c r="AI929" i="6"/>
  <c r="G192" i="7"/>
  <c r="S293" i="7"/>
  <c r="M275" i="7"/>
  <c r="U25" i="7"/>
  <c r="S25" i="7"/>
  <c r="Q273" i="7"/>
  <c r="K13" i="7"/>
  <c r="I212" i="7"/>
  <c r="S13" i="7"/>
  <c r="M212" i="7"/>
  <c r="H88" i="11"/>
  <c r="M309" i="7"/>
  <c r="K240" i="7"/>
  <c r="K188" i="7"/>
  <c r="O110" i="7"/>
  <c r="U352" i="7"/>
  <c r="M112" i="7"/>
  <c r="O271" i="7"/>
  <c r="I162" i="7"/>
  <c r="U61" i="7"/>
  <c r="AI906" i="6"/>
  <c r="I134" i="7"/>
  <c r="I136" i="7"/>
  <c r="AI961" i="6"/>
  <c r="K423" i="7"/>
  <c r="K411" i="7"/>
  <c r="M411" i="7"/>
  <c r="U411" i="7"/>
  <c r="H14" i="11"/>
  <c r="K293" i="7"/>
  <c r="O190" i="7"/>
  <c r="U190" i="7"/>
  <c r="G354" i="7"/>
  <c r="K124" i="7"/>
  <c r="S342" i="7"/>
  <c r="H60" i="11"/>
  <c r="G273" i="7"/>
  <c r="AI968" i="6"/>
  <c r="AI949" i="6"/>
  <c r="Q11" i="7"/>
  <c r="H18" i="11"/>
  <c r="Q277" i="7"/>
  <c r="I110" i="7"/>
  <c r="M23" i="7"/>
  <c r="I25" i="7"/>
  <c r="G120" i="7"/>
  <c r="S118" i="7"/>
  <c r="I160" i="7"/>
  <c r="K160" i="7"/>
  <c r="Q61" i="7"/>
  <c r="Q210" i="7"/>
  <c r="H43" i="11"/>
  <c r="O13" i="7"/>
  <c r="I210" i="7"/>
  <c r="G293" i="7"/>
  <c r="Q190" i="7"/>
  <c r="Q352" i="7"/>
  <c r="U110" i="7"/>
  <c r="U122" i="7"/>
  <c r="I340" i="7"/>
  <c r="Q25" i="7"/>
  <c r="U162" i="7"/>
  <c r="M160" i="7"/>
  <c r="P957" i="6"/>
  <c r="I254" i="7" s="1"/>
  <c r="AI951" i="6"/>
  <c r="K15" i="14"/>
  <c r="I240" i="7"/>
  <c r="G240" i="7"/>
  <c r="Q174" i="7"/>
  <c r="U188" i="7"/>
  <c r="S190" i="7"/>
  <c r="I57" i="7"/>
  <c r="M59" i="7"/>
  <c r="U275" i="7"/>
  <c r="K352" i="7"/>
  <c r="Q112" i="7"/>
  <c r="S340" i="7"/>
  <c r="Q342" i="7"/>
  <c r="I118" i="7"/>
  <c r="S271" i="7"/>
  <c r="I273" i="7"/>
  <c r="M184" i="7"/>
  <c r="M186" i="7"/>
  <c r="K162" i="7"/>
  <c r="G162" i="7"/>
  <c r="S63" i="7"/>
  <c r="Q63" i="7"/>
  <c r="AJ530" i="6"/>
  <c r="AI946" i="6"/>
  <c r="AI962" i="6"/>
  <c r="O307" i="7"/>
  <c r="AI940" i="6"/>
  <c r="I238" i="7"/>
  <c r="M190" i="7"/>
  <c r="K190" i="7"/>
  <c r="K59" i="7"/>
  <c r="O354" i="7"/>
  <c r="S112" i="7"/>
  <c r="U23" i="7"/>
  <c r="S120" i="7"/>
  <c r="Q120" i="7"/>
  <c r="M273" i="7"/>
  <c r="H17" i="11"/>
  <c r="I186" i="7"/>
  <c r="AI904" i="6"/>
  <c r="AI918" i="6"/>
  <c r="M11" i="7"/>
  <c r="S210" i="7"/>
  <c r="O212" i="7"/>
  <c r="U238" i="7"/>
  <c r="I293" i="7"/>
  <c r="M291" i="7"/>
  <c r="I190" i="7"/>
  <c r="S188" i="7"/>
  <c r="I188" i="7"/>
  <c r="U57" i="7"/>
  <c r="Q57" i="7"/>
  <c r="O59" i="7"/>
  <c r="O277" i="7"/>
  <c r="U354" i="7"/>
  <c r="I112" i="7"/>
  <c r="S110" i="7"/>
  <c r="S124" i="7"/>
  <c r="M122" i="7"/>
  <c r="K340" i="7"/>
  <c r="K342" i="7"/>
  <c r="K120" i="7"/>
  <c r="Q118" i="7"/>
  <c r="H11" i="11"/>
  <c r="K61" i="7"/>
  <c r="I63" i="7"/>
  <c r="K63" i="7"/>
  <c r="K309" i="7"/>
  <c r="M293" i="7"/>
  <c r="S59" i="7"/>
  <c r="Q59" i="7"/>
  <c r="U277" i="7"/>
  <c r="G277" i="7"/>
  <c r="M277" i="7"/>
  <c r="O352" i="7"/>
  <c r="K112" i="7"/>
  <c r="O342" i="7"/>
  <c r="G25" i="7"/>
  <c r="M25" i="7"/>
  <c r="I120" i="7"/>
  <c r="O160" i="7"/>
  <c r="AJ552" i="6"/>
  <c r="M134" i="7"/>
  <c r="Q212" i="7"/>
  <c r="Q240" i="7"/>
  <c r="G411" i="7"/>
  <c r="O240" i="7"/>
  <c r="H75" i="11"/>
  <c r="G174" i="7"/>
  <c r="K291" i="7"/>
  <c r="G190" i="7"/>
  <c r="G59" i="7"/>
  <c r="Q354" i="7"/>
  <c r="G112" i="7"/>
  <c r="H58" i="11"/>
  <c r="U124" i="7"/>
  <c r="U342" i="7"/>
  <c r="Q340" i="7"/>
  <c r="O25" i="7"/>
  <c r="U186" i="7"/>
  <c r="H86" i="11"/>
  <c r="AI950" i="6"/>
  <c r="I64" i="11"/>
  <c r="J64" i="11" s="1"/>
  <c r="K136" i="7"/>
  <c r="O55" i="7"/>
  <c r="G128" i="7"/>
  <c r="Q216" i="7"/>
  <c r="M174" i="7"/>
  <c r="Q172" i="7"/>
  <c r="U59" i="7"/>
  <c r="I59" i="7"/>
  <c r="M214" i="7"/>
  <c r="S186" i="7"/>
  <c r="Q186" i="7"/>
  <c r="S346" i="7"/>
  <c r="U346" i="7"/>
  <c r="M346" i="7"/>
  <c r="O128" i="7"/>
  <c r="Q126" i="7"/>
  <c r="K134" i="7"/>
  <c r="U240" i="7"/>
  <c r="M238" i="7"/>
  <c r="G342" i="7"/>
  <c r="Q409" i="7"/>
  <c r="O409" i="7"/>
  <c r="S55" i="7"/>
  <c r="I55" i="7"/>
  <c r="M55" i="7"/>
  <c r="M53" i="7"/>
  <c r="G55" i="7"/>
  <c r="O180" i="7"/>
  <c r="U182" i="7"/>
  <c r="K55" i="7"/>
  <c r="O53" i="7"/>
  <c r="K182" i="7"/>
  <c r="M182" i="7"/>
  <c r="I158" i="7"/>
  <c r="S158" i="7"/>
  <c r="O158" i="7"/>
  <c r="H16" i="11"/>
  <c r="Q182" i="7"/>
  <c r="O182" i="7"/>
  <c r="K158" i="7"/>
  <c r="G158" i="7"/>
  <c r="U212" i="7"/>
  <c r="U55" i="7"/>
  <c r="K238" i="7"/>
  <c r="O172" i="7"/>
  <c r="K172" i="7"/>
  <c r="S53" i="7"/>
  <c r="Q55" i="7"/>
  <c r="Q53" i="7"/>
  <c r="G53" i="7"/>
  <c r="S182" i="7"/>
  <c r="I180" i="7"/>
  <c r="I182" i="7"/>
  <c r="G182" i="7"/>
  <c r="S156" i="7"/>
  <c r="Q158" i="7"/>
  <c r="S170" i="7"/>
  <c r="G170" i="7"/>
  <c r="Q170" i="7"/>
  <c r="O242" i="7"/>
  <c r="Q244" i="7"/>
  <c r="U244" i="7"/>
  <c r="M297" i="7"/>
  <c r="I297" i="7"/>
  <c r="U17" i="7"/>
  <c r="G15" i="7"/>
  <c r="I17" i="7"/>
  <c r="K17" i="7"/>
  <c r="S108" i="7"/>
  <c r="O108" i="7"/>
  <c r="U108" i="7"/>
  <c r="G108" i="7"/>
  <c r="K108" i="7"/>
  <c r="K106" i="7"/>
  <c r="M108" i="7"/>
  <c r="O397" i="7"/>
  <c r="S397" i="7"/>
  <c r="I399" i="7"/>
  <c r="M397" i="7"/>
  <c r="G399" i="7"/>
  <c r="U267" i="7"/>
  <c r="U11" i="7"/>
  <c r="M267" i="7"/>
  <c r="I269" i="7"/>
  <c r="K232" i="7"/>
  <c r="M232" i="7"/>
  <c r="I232" i="7"/>
  <c r="K230" i="7"/>
  <c r="O232" i="7"/>
  <c r="S226" i="7"/>
  <c r="K226" i="7"/>
  <c r="M228" i="7"/>
  <c r="I228" i="7"/>
  <c r="S381" i="7"/>
  <c r="Q383" i="7"/>
  <c r="O383" i="7"/>
  <c r="H44" i="11"/>
  <c r="M415" i="7"/>
  <c r="O415" i="7"/>
  <c r="G415" i="7"/>
  <c r="K403" i="7"/>
  <c r="I403" i="7"/>
  <c r="O403" i="7"/>
  <c r="O324" i="7"/>
  <c r="G423" i="7"/>
  <c r="S13" i="9"/>
  <c r="Q477" i="7"/>
  <c r="K477" i="7"/>
  <c r="S10" i="9"/>
  <c r="I423" i="7"/>
  <c r="I309" i="7"/>
  <c r="M421" i="7"/>
  <c r="Q194" i="7"/>
  <c r="M156" i="7"/>
  <c r="K156" i="7"/>
  <c r="K170" i="7"/>
  <c r="K168" i="7"/>
  <c r="M170" i="7"/>
  <c r="O168" i="7"/>
  <c r="I168" i="7"/>
  <c r="M216" i="7"/>
  <c r="I216" i="7"/>
  <c r="O216" i="7"/>
  <c r="K216" i="7"/>
  <c r="S216" i="7"/>
  <c r="K242" i="7"/>
  <c r="O244" i="7"/>
  <c r="S244" i="7"/>
  <c r="K244" i="7"/>
  <c r="M244" i="7"/>
  <c r="K297" i="7"/>
  <c r="Q297" i="7"/>
  <c r="K15" i="7"/>
  <c r="Q17" i="7"/>
  <c r="Q15" i="7"/>
  <c r="S17" i="7"/>
  <c r="U184" i="7"/>
  <c r="G186" i="7"/>
  <c r="Q184" i="7"/>
  <c r="O186" i="7"/>
  <c r="I128" i="7"/>
  <c r="M126" i="7"/>
  <c r="M128" i="7"/>
  <c r="U106" i="7"/>
  <c r="M106" i="7"/>
  <c r="U397" i="7"/>
  <c r="U399" i="7"/>
  <c r="Q399" i="7"/>
  <c r="K399" i="7"/>
  <c r="I397" i="7"/>
  <c r="S269" i="7"/>
  <c r="Q269" i="7"/>
  <c r="O267" i="7"/>
  <c r="M269" i="7"/>
  <c r="K269" i="7"/>
  <c r="S232" i="7"/>
  <c r="Q232" i="7"/>
  <c r="I230" i="7"/>
  <c r="M387" i="7"/>
  <c r="Q387" i="7"/>
  <c r="O387" i="7"/>
  <c r="I387" i="7"/>
  <c r="S228" i="7"/>
  <c r="U228" i="7"/>
  <c r="Q228" i="7"/>
  <c r="S383" i="7"/>
  <c r="I383" i="7"/>
  <c r="M383" i="7"/>
  <c r="U413" i="7"/>
  <c r="S415" i="7"/>
  <c r="I413" i="7"/>
  <c r="U415" i="7"/>
  <c r="S403" i="7"/>
  <c r="Q403" i="7"/>
  <c r="H41" i="11"/>
  <c r="O326" i="7"/>
  <c r="G326" i="7"/>
  <c r="K326" i="7"/>
  <c r="K252" i="7"/>
  <c r="K307" i="7"/>
  <c r="S477" i="7"/>
  <c r="S14" i="9"/>
  <c r="S12" i="9"/>
  <c r="O477" i="7"/>
  <c r="S8" i="9"/>
  <c r="G477" i="7"/>
  <c r="AI934" i="6"/>
  <c r="I307" i="7"/>
  <c r="AI902" i="6"/>
  <c r="O194" i="7"/>
  <c r="O198" i="7"/>
  <c r="AI916" i="6"/>
  <c r="AI912" i="6"/>
  <c r="M194" i="7"/>
  <c r="Q192" i="7"/>
  <c r="M158" i="7"/>
  <c r="H10" i="11"/>
  <c r="S168" i="7"/>
  <c r="O170" i="7"/>
  <c r="U216" i="7"/>
  <c r="K214" i="7"/>
  <c r="S214" i="7"/>
  <c r="I214" i="7"/>
  <c r="S242" i="7"/>
  <c r="I244" i="7"/>
  <c r="U297" i="7"/>
  <c r="S297" i="7"/>
  <c r="G297" i="7"/>
  <c r="O295" i="7"/>
  <c r="H30" i="11"/>
  <c r="G17" i="7"/>
  <c r="M17" i="7"/>
  <c r="O184" i="7"/>
  <c r="S126" i="7"/>
  <c r="I126" i="7"/>
  <c r="U128" i="7"/>
  <c r="Q128" i="7"/>
  <c r="K128" i="7"/>
  <c r="H57" i="11"/>
  <c r="I108" i="7"/>
  <c r="S399" i="7"/>
  <c r="G269" i="7"/>
  <c r="U232" i="7"/>
  <c r="S387" i="7"/>
  <c r="K387" i="7"/>
  <c r="H37" i="11"/>
  <c r="U226" i="7"/>
  <c r="H72" i="11"/>
  <c r="O228" i="7"/>
  <c r="H36" i="11"/>
  <c r="K383" i="7"/>
  <c r="G383" i="7"/>
  <c r="K415" i="7"/>
  <c r="U403" i="7"/>
  <c r="I326" i="7"/>
  <c r="M326" i="7"/>
  <c r="Q326" i="7"/>
  <c r="S326" i="7"/>
  <c r="K421" i="7"/>
  <c r="K194" i="7"/>
  <c r="K192" i="7"/>
  <c r="S9" i="9"/>
  <c r="I477" i="7"/>
  <c r="O312" i="7"/>
  <c r="AI927" i="6"/>
  <c r="I192" i="7"/>
  <c r="O421" i="7"/>
  <c r="M192" i="7"/>
  <c r="U170" i="7"/>
  <c r="H13" i="11"/>
  <c r="I170" i="7"/>
  <c r="G216" i="7"/>
  <c r="H69" i="11"/>
  <c r="G244" i="7"/>
  <c r="O297" i="7"/>
  <c r="O17" i="7"/>
  <c r="S128" i="7"/>
  <c r="Q108" i="7"/>
  <c r="M399" i="7"/>
  <c r="H40" i="11"/>
  <c r="K397" i="7"/>
  <c r="O399" i="7"/>
  <c r="U269" i="7"/>
  <c r="U13" i="7"/>
  <c r="K267" i="7"/>
  <c r="O269" i="7"/>
  <c r="S230" i="7"/>
  <c r="G232" i="7"/>
  <c r="H73" i="11"/>
  <c r="U387" i="7"/>
  <c r="G387" i="7"/>
  <c r="G228" i="7"/>
  <c r="K228" i="7"/>
  <c r="I415" i="7"/>
  <c r="Q415" i="7"/>
  <c r="M403" i="7"/>
  <c r="G403" i="7"/>
  <c r="U326" i="7"/>
  <c r="G309" i="7"/>
  <c r="S11" i="9"/>
  <c r="M477" i="7"/>
  <c r="S15" i="9"/>
  <c r="U477" i="7"/>
  <c r="I421" i="7"/>
  <c r="G307" i="7"/>
  <c r="I312" i="7"/>
  <c r="AI924" i="6"/>
  <c r="G194" i="7"/>
  <c r="Q198" i="7"/>
  <c r="AI917" i="6"/>
  <c r="I194" i="7"/>
  <c r="O192" i="7"/>
  <c r="G130" i="7"/>
  <c r="AI837" i="6"/>
  <c r="I65" i="11"/>
  <c r="J65" i="11" s="1"/>
  <c r="H90" i="11"/>
  <c r="H89" i="11"/>
  <c r="I91" i="11"/>
  <c r="J91" i="11" s="1"/>
  <c r="I89" i="11"/>
  <c r="J89" i="11" s="1"/>
  <c r="K23" i="13"/>
  <c r="I63" i="11"/>
  <c r="J63" i="11" s="1"/>
  <c r="AI771" i="6"/>
  <c r="AJ837" i="6"/>
  <c r="AJ802" i="6"/>
  <c r="H91" i="11"/>
  <c r="AI936" i="6"/>
  <c r="AI849" i="6"/>
  <c r="AI740" i="6"/>
  <c r="AI257" i="6"/>
  <c r="H33" i="11"/>
  <c r="AI817" i="6"/>
  <c r="I90" i="11"/>
  <c r="J90" i="11" s="1"/>
  <c r="AI859" i="6"/>
  <c r="AI395" i="6"/>
  <c r="AI234" i="6"/>
  <c r="AI58" i="6"/>
  <c r="AI729" i="6"/>
  <c r="AJ725" i="6"/>
  <c r="AJ576" i="6"/>
  <c r="AJ764" i="6"/>
  <c r="AJ759" i="6"/>
  <c r="AI291" i="6"/>
  <c r="AJ782" i="6"/>
  <c r="AI286" i="6"/>
  <c r="AJ290" i="6"/>
  <c r="AJ112" i="6"/>
  <c r="AI957" i="6"/>
  <c r="AJ477" i="6"/>
  <c r="AI762" i="6"/>
  <c r="AJ771" i="6"/>
  <c r="H45" i="11"/>
  <c r="AI530" i="6"/>
  <c r="AI851" i="6"/>
  <c r="AJ859" i="6"/>
  <c r="AJ463" i="6"/>
  <c r="AI938" i="6"/>
  <c r="AI191" i="6"/>
  <c r="AI560" i="6"/>
  <c r="AJ566" i="6"/>
  <c r="AI165" i="6"/>
  <c r="AJ707" i="6"/>
  <c r="AJ704" i="6"/>
  <c r="AI704" i="6"/>
  <c r="AI147" i="6"/>
  <c r="AI242" i="6"/>
  <c r="AI484" i="6"/>
  <c r="AJ720" i="6"/>
  <c r="AI320" i="6"/>
  <c r="AJ247" i="6"/>
  <c r="AU978" i="6"/>
  <c r="AT978" i="6"/>
  <c r="AJ598" i="6"/>
  <c r="AJ375" i="6"/>
  <c r="AI201" i="6"/>
  <c r="AI82" i="6"/>
  <c r="AI620" i="6"/>
  <c r="AI223" i="6"/>
  <c r="AJ630" i="6"/>
  <c r="AI411" i="6"/>
  <c r="AI407" i="6"/>
  <c r="AJ412" i="6"/>
  <c r="AJ234" i="6"/>
  <c r="AJ729" i="6"/>
  <c r="AI508" i="6"/>
  <c r="AI157" i="6"/>
  <c r="AI210" i="6"/>
  <c r="AI571" i="6"/>
  <c r="AJ355" i="6"/>
  <c r="AI356" i="6"/>
  <c r="AI585" i="6"/>
  <c r="AI584" i="6"/>
  <c r="AI562" i="6"/>
  <c r="AI132" i="6"/>
  <c r="AI967" i="6"/>
  <c r="AJ258" i="6"/>
  <c r="AJ408" i="6"/>
  <c r="AJ510" i="6"/>
  <c r="AI158" i="6"/>
  <c r="AI24" i="6"/>
  <c r="AI385" i="6"/>
  <c r="AJ389" i="6"/>
  <c r="AI354" i="6"/>
  <c r="AI573" i="6"/>
  <c r="AI364" i="6"/>
  <c r="AJ686" i="6"/>
  <c r="AJ467" i="6"/>
  <c r="AI474" i="6"/>
  <c r="AJ472" i="6"/>
  <c r="AI300" i="6"/>
  <c r="AI675" i="6"/>
  <c r="AI453" i="6"/>
  <c r="AJ455" i="6"/>
  <c r="AJ454" i="6"/>
  <c r="AI103" i="6"/>
  <c r="H77" i="11"/>
  <c r="AI643" i="6"/>
  <c r="H46" i="11"/>
  <c r="AI935" i="6"/>
  <c r="AI595" i="6"/>
  <c r="AI202" i="6"/>
  <c r="AI37" i="6"/>
  <c r="AJ653" i="6"/>
  <c r="AJ648" i="6"/>
  <c r="K15" i="13"/>
  <c r="AI593" i="6"/>
  <c r="AI433" i="6"/>
  <c r="AI434" i="6"/>
  <c r="AI400" i="6"/>
  <c r="AI627" i="6"/>
  <c r="AI730" i="6"/>
  <c r="AI727" i="6"/>
  <c r="AI187" i="6"/>
  <c r="AN43" i="6"/>
  <c r="AL43" i="6" s="1"/>
  <c r="AM49" i="6"/>
  <c r="AK49" i="6" s="1"/>
  <c r="G952" i="6"/>
  <c r="AF171" i="15"/>
  <c r="K12" i="13"/>
  <c r="J20" i="13"/>
  <c r="K20" i="13" s="1"/>
  <c r="L8" i="15"/>
  <c r="J177" i="15"/>
  <c r="G172" i="15"/>
  <c r="J157" i="15"/>
  <c r="J144" i="15"/>
  <c r="L90" i="15"/>
  <c r="J167" i="15"/>
  <c r="G152" i="15"/>
  <c r="F138" i="15"/>
  <c r="H132" i="15"/>
  <c r="H99" i="15"/>
  <c r="I96" i="15"/>
  <c r="H87" i="15"/>
  <c r="K81" i="15"/>
  <c r="I78" i="15"/>
  <c r="K135" i="15"/>
  <c r="F108" i="15"/>
  <c r="J102" i="15"/>
  <c r="E93" i="15"/>
  <c r="E162" i="15"/>
  <c r="J147" i="15"/>
  <c r="K141" i="15"/>
  <c r="E129" i="15"/>
  <c r="I126" i="15"/>
  <c r="K123" i="15"/>
  <c r="L120" i="15"/>
  <c r="H117" i="15"/>
  <c r="E114" i="15"/>
  <c r="G111" i="15"/>
  <c r="G105" i="15"/>
  <c r="G84" i="15"/>
  <c r="J69" i="15"/>
  <c r="I30" i="15"/>
  <c r="G63" i="15"/>
  <c r="E48" i="15"/>
  <c r="K42" i="15"/>
  <c r="H54" i="15"/>
  <c r="J51" i="15"/>
  <c r="I45" i="15"/>
  <c r="L36" i="15"/>
  <c r="E27" i="15"/>
  <c r="E72" i="15"/>
  <c r="H66" i="15"/>
  <c r="F60" i="15"/>
  <c r="K57" i="15"/>
  <c r="F39" i="15"/>
  <c r="H33" i="15"/>
  <c r="I24" i="15"/>
  <c r="G21" i="15"/>
  <c r="F75" i="15"/>
  <c r="L7" i="15"/>
  <c r="L162" i="15"/>
  <c r="L152" i="15"/>
  <c r="I132" i="15"/>
  <c r="L126" i="15"/>
  <c r="K117" i="15"/>
  <c r="J111" i="15"/>
  <c r="J96" i="15"/>
  <c r="I87" i="15"/>
  <c r="H81" i="15"/>
  <c r="F167" i="15"/>
  <c r="I141" i="15"/>
  <c r="H135" i="15"/>
  <c r="E123" i="15"/>
  <c r="G108" i="15"/>
  <c r="K102" i="15"/>
  <c r="G90" i="15"/>
  <c r="E78" i="15"/>
  <c r="H144" i="15"/>
  <c r="F129" i="15"/>
  <c r="I120" i="15"/>
  <c r="F114" i="15"/>
  <c r="H105" i="15"/>
  <c r="G99" i="15"/>
  <c r="L84" i="15"/>
  <c r="K177" i="15"/>
  <c r="L172" i="15"/>
  <c r="K157" i="15"/>
  <c r="F147" i="15"/>
  <c r="L138" i="15"/>
  <c r="L93" i="15"/>
  <c r="F69" i="15"/>
  <c r="H63" i="15"/>
  <c r="J36" i="15"/>
  <c r="G27" i="15"/>
  <c r="K72" i="15"/>
  <c r="F66" i="15"/>
  <c r="L60" i="15"/>
  <c r="E54" i="15"/>
  <c r="J45" i="15"/>
  <c r="F33" i="15"/>
  <c r="H30" i="15"/>
  <c r="E21" i="15"/>
  <c r="F42" i="15"/>
  <c r="K39" i="15"/>
  <c r="J24" i="15"/>
  <c r="G57" i="15"/>
  <c r="I51" i="15"/>
  <c r="K48" i="15"/>
  <c r="J75" i="15"/>
  <c r="AF166" i="15"/>
  <c r="G941" i="6"/>
  <c r="AI48" i="6"/>
  <c r="AJ626" i="6"/>
  <c r="AJ760" i="6"/>
  <c r="AI463" i="6"/>
  <c r="AI110" i="6"/>
  <c r="AI561" i="6"/>
  <c r="AJ169" i="6"/>
  <c r="AJ703" i="6"/>
  <c r="AJ132" i="6"/>
  <c r="AJ714" i="6"/>
  <c r="AJ496" i="6"/>
  <c r="AI324" i="6"/>
  <c r="AI323" i="6"/>
  <c r="AJ423" i="6"/>
  <c r="AI71" i="6"/>
  <c r="AJ475" i="6"/>
  <c r="AI296" i="6"/>
  <c r="T312" i="7"/>
  <c r="P255" i="7"/>
  <c r="R312" i="7"/>
  <c r="V312" i="7"/>
  <c r="T255" i="7"/>
  <c r="N312" i="7"/>
  <c r="V255" i="7"/>
  <c r="R255" i="7"/>
  <c r="P312" i="7"/>
  <c r="AI945" i="6"/>
  <c r="J22" i="13"/>
  <c r="K22" i="13" s="1"/>
  <c r="K14" i="13"/>
  <c r="J24" i="13"/>
  <c r="K24" i="13" s="1"/>
  <c r="K16" i="13"/>
  <c r="AF161" i="15"/>
  <c r="G930" i="6"/>
  <c r="P924" i="6" s="1"/>
  <c r="I311" i="7" s="1"/>
  <c r="AI374" i="6"/>
  <c r="AJ199" i="6"/>
  <c r="AJ38" i="6"/>
  <c r="AJ256" i="6"/>
  <c r="AJ620" i="6"/>
  <c r="AI220" i="6"/>
  <c r="AJ628" i="6"/>
  <c r="AI631" i="6"/>
  <c r="AI577" i="6"/>
  <c r="AJ585" i="6"/>
  <c r="AI588" i="6"/>
  <c r="AI465" i="6"/>
  <c r="AI737" i="6"/>
  <c r="AI716" i="6"/>
  <c r="AJ147" i="6"/>
  <c r="AI243" i="6"/>
  <c r="AJ696" i="6"/>
  <c r="AI661" i="6"/>
  <c r="AI93" i="6"/>
  <c r="AI455" i="6"/>
  <c r="AJ103" i="6"/>
  <c r="G963" i="6"/>
  <c r="P962" i="6" s="1"/>
  <c r="S254" i="7" s="1"/>
  <c r="AF176" i="15"/>
  <c r="AI782" i="6"/>
  <c r="J25" i="13"/>
  <c r="K25" i="13" s="1"/>
  <c r="K17" i="13"/>
  <c r="J18" i="13"/>
  <c r="K18" i="13" s="1"/>
  <c r="K10" i="13"/>
  <c r="L10" i="15"/>
  <c r="H162" i="15"/>
  <c r="H152" i="15"/>
  <c r="F144" i="15"/>
  <c r="I135" i="15"/>
  <c r="H126" i="15"/>
  <c r="L102" i="15"/>
  <c r="G93" i="15"/>
  <c r="J78" i="15"/>
  <c r="L147" i="15"/>
  <c r="F120" i="15"/>
  <c r="K108" i="15"/>
  <c r="I105" i="15"/>
  <c r="K90" i="15"/>
  <c r="I84" i="15"/>
  <c r="L177" i="15"/>
  <c r="L157" i="15"/>
  <c r="E138" i="15"/>
  <c r="J129" i="15"/>
  <c r="E117" i="15"/>
  <c r="J114" i="15"/>
  <c r="L111" i="15"/>
  <c r="H172" i="15"/>
  <c r="L167" i="15"/>
  <c r="G141" i="15"/>
  <c r="F132" i="15"/>
  <c r="G123" i="15"/>
  <c r="F99" i="15"/>
  <c r="K96" i="15"/>
  <c r="F87" i="15"/>
  <c r="I81" i="15"/>
  <c r="H72" i="15"/>
  <c r="K66" i="15"/>
  <c r="E60" i="15"/>
  <c r="H42" i="15"/>
  <c r="E39" i="15"/>
  <c r="K33" i="15"/>
  <c r="J21" i="15"/>
  <c r="I54" i="15"/>
  <c r="I36" i="15"/>
  <c r="J63" i="15"/>
  <c r="H57" i="15"/>
  <c r="F51" i="15"/>
  <c r="G30" i="15"/>
  <c r="F24" i="15"/>
  <c r="G75" i="15"/>
  <c r="G69" i="15"/>
  <c r="G48" i="15"/>
  <c r="L45" i="15"/>
  <c r="L27" i="15"/>
  <c r="J21" i="13"/>
  <c r="K21" i="13" s="1"/>
  <c r="K13" i="13"/>
  <c r="L5" i="15"/>
  <c r="E147" i="15"/>
  <c r="H129" i="15"/>
  <c r="J105" i="15"/>
  <c r="H102" i="15"/>
  <c r="E99" i="15"/>
  <c r="H90" i="15"/>
  <c r="J84" i="15"/>
  <c r="L81" i="15"/>
  <c r="F78" i="15"/>
  <c r="E141" i="15"/>
  <c r="L135" i="15"/>
  <c r="K126" i="15"/>
  <c r="J120" i="15"/>
  <c r="G114" i="15"/>
  <c r="F93" i="15"/>
  <c r="K75" i="15"/>
  <c r="H177" i="15"/>
  <c r="I172" i="15"/>
  <c r="E167" i="15"/>
  <c r="F162" i="15"/>
  <c r="H157" i="15"/>
  <c r="I138" i="15"/>
  <c r="G132" i="15"/>
  <c r="L123" i="15"/>
  <c r="I117" i="15"/>
  <c r="H111" i="15"/>
  <c r="G87" i="15"/>
  <c r="I152" i="15"/>
  <c r="K144" i="15"/>
  <c r="E108" i="15"/>
  <c r="G96" i="15"/>
  <c r="G66" i="15"/>
  <c r="I60" i="15"/>
  <c r="J54" i="15"/>
  <c r="E30" i="15"/>
  <c r="E69" i="15"/>
  <c r="K51" i="15"/>
  <c r="L39" i="15"/>
  <c r="J33" i="15"/>
  <c r="K24" i="15"/>
  <c r="I21" i="15"/>
  <c r="F63" i="15"/>
  <c r="L57" i="15"/>
  <c r="H48" i="15"/>
  <c r="E45" i="15"/>
  <c r="J42" i="15"/>
  <c r="I72" i="15"/>
  <c r="G36" i="15"/>
  <c r="H27" i="15"/>
  <c r="AF156" i="15"/>
  <c r="G919" i="6"/>
  <c r="P917" i="6" s="1"/>
  <c r="Q197" i="7" s="1"/>
  <c r="P970" i="6"/>
  <c r="M368" i="7" s="1"/>
  <c r="P967" i="6"/>
  <c r="G368" i="7" s="1"/>
  <c r="P959" i="6"/>
  <c r="M254" i="7" s="1"/>
  <c r="AI793" i="6"/>
  <c r="L11" i="15"/>
  <c r="I147" i="15"/>
  <c r="G138" i="15"/>
  <c r="L129" i="15"/>
  <c r="K120" i="15"/>
  <c r="G117" i="15"/>
  <c r="L114" i="15"/>
  <c r="F105" i="15"/>
  <c r="K93" i="15"/>
  <c r="L75" i="15"/>
  <c r="I177" i="15"/>
  <c r="I157" i="15"/>
  <c r="I111" i="15"/>
  <c r="E172" i="15"/>
  <c r="I167" i="15"/>
  <c r="J162" i="15"/>
  <c r="L144" i="15"/>
  <c r="L141" i="15"/>
  <c r="K132" i="15"/>
  <c r="F126" i="15"/>
  <c r="H123" i="15"/>
  <c r="J108" i="15"/>
  <c r="L96" i="15"/>
  <c r="K87" i="15"/>
  <c r="H84" i="15"/>
  <c r="E152" i="15"/>
  <c r="F135" i="15"/>
  <c r="I102" i="15"/>
  <c r="J99" i="15"/>
  <c r="E90" i="15"/>
  <c r="G78" i="15"/>
  <c r="J57" i="15"/>
  <c r="F54" i="15"/>
  <c r="L51" i="15"/>
  <c r="J48" i="15"/>
  <c r="F36" i="15"/>
  <c r="I69" i="15"/>
  <c r="K63" i="15"/>
  <c r="H39" i="15"/>
  <c r="J27" i="15"/>
  <c r="G24" i="15"/>
  <c r="J72" i="15"/>
  <c r="E66" i="15"/>
  <c r="G60" i="15"/>
  <c r="E33" i="15"/>
  <c r="K30" i="15"/>
  <c r="H45" i="15"/>
  <c r="I42" i="15"/>
  <c r="K21" i="15"/>
  <c r="F81" i="15"/>
  <c r="AE17" i="15"/>
  <c r="L9" i="15"/>
  <c r="F177" i="15"/>
  <c r="F157" i="15"/>
  <c r="E132" i="15"/>
  <c r="F123" i="15"/>
  <c r="G120" i="15"/>
  <c r="H114" i="15"/>
  <c r="L108" i="15"/>
  <c r="E87" i="15"/>
  <c r="F84" i="15"/>
  <c r="J172" i="15"/>
  <c r="K152" i="15"/>
  <c r="H147" i="15"/>
  <c r="I144" i="15"/>
  <c r="J138" i="15"/>
  <c r="G129" i="15"/>
  <c r="J117" i="15"/>
  <c r="E111" i="15"/>
  <c r="L99" i="15"/>
  <c r="E96" i="15"/>
  <c r="J93" i="15"/>
  <c r="H141" i="15"/>
  <c r="F102" i="15"/>
  <c r="H167" i="15"/>
  <c r="I162" i="15"/>
  <c r="J135" i="15"/>
  <c r="E126" i="15"/>
  <c r="K105" i="15"/>
  <c r="I90" i="15"/>
  <c r="K78" i="15"/>
  <c r="H51" i="15"/>
  <c r="F48" i="15"/>
  <c r="G45" i="15"/>
  <c r="L42" i="15"/>
  <c r="I39" i="15"/>
  <c r="G33" i="15"/>
  <c r="K27" i="15"/>
  <c r="L24" i="15"/>
  <c r="F21" i="15"/>
  <c r="G72" i="15"/>
  <c r="I57" i="15"/>
  <c r="E36" i="15"/>
  <c r="L30" i="15"/>
  <c r="L69" i="15"/>
  <c r="L66" i="15"/>
  <c r="E63" i="15"/>
  <c r="J60" i="15"/>
  <c r="K54" i="15"/>
  <c r="I75" i="15"/>
  <c r="J81" i="15"/>
  <c r="AI894" i="6"/>
  <c r="K11" i="13"/>
  <c r="J19" i="13"/>
  <c r="K19" i="13" s="1"/>
  <c r="L6" i="15"/>
  <c r="K167" i="15"/>
  <c r="F141" i="15"/>
  <c r="F111" i="15"/>
  <c r="H108" i="15"/>
  <c r="F172" i="15"/>
  <c r="G162" i="15"/>
  <c r="E144" i="15"/>
  <c r="L132" i="15"/>
  <c r="K129" i="15"/>
  <c r="I123" i="15"/>
  <c r="K114" i="15"/>
  <c r="E105" i="15"/>
  <c r="G102" i="15"/>
  <c r="L87" i="15"/>
  <c r="E84" i="15"/>
  <c r="G81" i="15"/>
  <c r="F152" i="15"/>
  <c r="G147" i="15"/>
  <c r="G135" i="15"/>
  <c r="J126" i="15"/>
  <c r="E120" i="15"/>
  <c r="K99" i="15"/>
  <c r="H96" i="15"/>
  <c r="I93" i="15"/>
  <c r="J90" i="15"/>
  <c r="G177" i="15"/>
  <c r="G157" i="15"/>
  <c r="H138" i="15"/>
  <c r="L117" i="15"/>
  <c r="L63" i="15"/>
  <c r="F57" i="15"/>
  <c r="K45" i="15"/>
  <c r="H60" i="15"/>
  <c r="I48" i="15"/>
  <c r="G42" i="15"/>
  <c r="F72" i="15"/>
  <c r="I66" i="15"/>
  <c r="L54" i="15"/>
  <c r="I27" i="15"/>
  <c r="H21" i="15"/>
  <c r="K69" i="15"/>
  <c r="E51" i="15"/>
  <c r="J39" i="15"/>
  <c r="K36" i="15"/>
  <c r="L33" i="15"/>
  <c r="F30" i="15"/>
  <c r="E24" i="15"/>
  <c r="E75" i="15"/>
  <c r="H78" i="15"/>
  <c r="K172" i="15"/>
  <c r="G167" i="15"/>
  <c r="J141" i="15"/>
  <c r="K138" i="15"/>
  <c r="E135" i="15"/>
  <c r="J123" i="15"/>
  <c r="I99" i="15"/>
  <c r="F96" i="15"/>
  <c r="E177" i="15"/>
  <c r="K162" i="15"/>
  <c r="E157" i="15"/>
  <c r="G126" i="15"/>
  <c r="F117" i="15"/>
  <c r="J152" i="15"/>
  <c r="K147" i="15"/>
  <c r="L105" i="15"/>
  <c r="F90" i="15"/>
  <c r="G144" i="15"/>
  <c r="J132" i="15"/>
  <c r="I129" i="15"/>
  <c r="H120" i="15"/>
  <c r="I114" i="15"/>
  <c r="K111" i="15"/>
  <c r="I108" i="15"/>
  <c r="E102" i="15"/>
  <c r="H93" i="15"/>
  <c r="J87" i="15"/>
  <c r="K84" i="15"/>
  <c r="E81" i="15"/>
  <c r="L78" i="15"/>
  <c r="L72" i="15"/>
  <c r="H24" i="15"/>
  <c r="J66" i="15"/>
  <c r="E57" i="15"/>
  <c r="G51" i="15"/>
  <c r="F45" i="15"/>
  <c r="F27" i="15"/>
  <c r="H75" i="15"/>
  <c r="H69" i="15"/>
  <c r="K60" i="15"/>
  <c r="L48" i="15"/>
  <c r="G39" i="15"/>
  <c r="H36" i="15"/>
  <c r="I33" i="15"/>
  <c r="L21" i="15"/>
  <c r="I63" i="15"/>
  <c r="G54" i="15"/>
  <c r="E42" i="15"/>
  <c r="J30" i="15"/>
  <c r="L12" i="15"/>
  <c r="AF17" i="15"/>
  <c r="AF151" i="15"/>
  <c r="G908" i="6"/>
  <c r="O105" i="9"/>
  <c r="O178" i="9"/>
  <c r="O164" i="9"/>
  <c r="O153" i="9"/>
  <c r="O188" i="9"/>
  <c r="O184" i="9"/>
  <c r="O150" i="9"/>
  <c r="O131" i="9"/>
  <c r="O96" i="9"/>
  <c r="O132" i="9"/>
  <c r="O95" i="9"/>
  <c r="O106" i="9"/>
  <c r="O72" i="9"/>
  <c r="E72" i="9" s="1"/>
  <c r="O34" i="9"/>
  <c r="O120" i="9"/>
  <c r="G120" i="9" s="1"/>
  <c r="O80" i="9"/>
  <c r="O81" i="9"/>
  <c r="O52" i="9"/>
  <c r="O12" i="9"/>
  <c r="O57" i="9"/>
  <c r="O116" i="9"/>
  <c r="O10" i="9"/>
  <c r="O36" i="9"/>
  <c r="O177" i="9"/>
  <c r="O152" i="9"/>
  <c r="O142" i="9"/>
  <c r="O187" i="9"/>
  <c r="O166" i="9"/>
  <c r="O139" i="9"/>
  <c r="O117" i="9"/>
  <c r="O91" i="9"/>
  <c r="O129" i="9"/>
  <c r="O158" i="9"/>
  <c r="O97" i="9"/>
  <c r="O68" i="9"/>
  <c r="O29" i="9"/>
  <c r="O163" i="9"/>
  <c r="O109" i="9"/>
  <c r="O69" i="9"/>
  <c r="O75" i="9"/>
  <c r="O48" i="9"/>
  <c r="O70" i="9"/>
  <c r="O46" i="9"/>
  <c r="O9" i="9"/>
  <c r="O128" i="9"/>
  <c r="O25" i="9"/>
  <c r="G25" i="9" s="1"/>
  <c r="O180" i="9"/>
  <c r="O176" i="9"/>
  <c r="O141" i="9"/>
  <c r="O138" i="9"/>
  <c r="O186" i="9"/>
  <c r="O162" i="9"/>
  <c r="O134" i="9"/>
  <c r="O112" i="9"/>
  <c r="O83" i="9"/>
  <c r="G83" i="9" s="1"/>
  <c r="O118" i="9"/>
  <c r="O155" i="9"/>
  <c r="O92" i="9"/>
  <c r="O58" i="9"/>
  <c r="O26" i="9"/>
  <c r="O151" i="9"/>
  <c r="O90" i="9"/>
  <c r="O59" i="9"/>
  <c r="O67" i="9"/>
  <c r="O35" i="9"/>
  <c r="O33" i="9"/>
  <c r="I33" i="9" s="1"/>
  <c r="O71" i="9"/>
  <c r="G71" i="9" s="1"/>
  <c r="O24" i="9"/>
  <c r="O37" i="9"/>
  <c r="G37" i="9" s="1"/>
  <c r="O11" i="9"/>
  <c r="O49" i="9"/>
  <c r="O179" i="9"/>
  <c r="O175" i="9"/>
  <c r="O165" i="9"/>
  <c r="O189" i="9"/>
  <c r="O185" i="9"/>
  <c r="O154" i="9"/>
  <c r="O130" i="9"/>
  <c r="O107" i="9"/>
  <c r="O140" i="9"/>
  <c r="O108" i="9"/>
  <c r="O119" i="9"/>
  <c r="O79" i="9"/>
  <c r="O47" i="9"/>
  <c r="O22" i="9"/>
  <c r="O127" i="9"/>
  <c r="O82" i="9"/>
  <c r="O93" i="9"/>
  <c r="O60" i="9"/>
  <c r="O23" i="9"/>
  <c r="O45" i="9"/>
  <c r="O56" i="9"/>
  <c r="O44" i="9"/>
  <c r="AI939" i="6"/>
  <c r="AJ841" i="6"/>
  <c r="AJ840" i="6"/>
  <c r="AI835" i="6"/>
  <c r="AJ770" i="6"/>
  <c r="AJ773" i="6"/>
  <c r="AI773" i="6"/>
  <c r="AJ599" i="6"/>
  <c r="AJ593" i="6"/>
  <c r="AI599" i="6"/>
  <c r="AI598" i="6"/>
  <c r="AJ577" i="6"/>
  <c r="AJ573" i="6"/>
  <c r="AI575" i="6"/>
  <c r="AI576" i="6"/>
  <c r="AJ452" i="6"/>
  <c r="AI450" i="6"/>
  <c r="AI456" i="6"/>
  <c r="AI454" i="6"/>
  <c r="AI451" i="6"/>
  <c r="AJ418" i="6"/>
  <c r="AI418" i="6"/>
  <c r="AI423" i="6"/>
  <c r="AI422" i="6"/>
  <c r="AI319" i="6"/>
  <c r="AI318" i="6"/>
  <c r="AJ224" i="6"/>
  <c r="AI224" i="6"/>
  <c r="AI221" i="6"/>
  <c r="AJ92" i="6"/>
  <c r="AI972" i="6"/>
  <c r="AJ891" i="6"/>
  <c r="AJ829" i="6"/>
  <c r="AI825" i="6"/>
  <c r="AJ803" i="6"/>
  <c r="AI803" i="6"/>
  <c r="AJ641" i="6"/>
  <c r="AI638" i="6"/>
  <c r="AI642" i="6"/>
  <c r="AI485" i="6"/>
  <c r="AI489" i="6"/>
  <c r="AI488" i="6"/>
  <c r="AJ362" i="6"/>
  <c r="AI367" i="6"/>
  <c r="AI366" i="6"/>
  <c r="AI269" i="6"/>
  <c r="AI268" i="6"/>
  <c r="AI264" i="6"/>
  <c r="AJ213" i="6"/>
  <c r="AI209" i="6"/>
  <c r="AI213" i="6"/>
  <c r="AJ99" i="6"/>
  <c r="AI104" i="6"/>
  <c r="AI102" i="6"/>
  <c r="AI928" i="6"/>
  <c r="AJ858" i="6"/>
  <c r="AJ861" i="6"/>
  <c r="AI857" i="6"/>
  <c r="AJ758" i="6"/>
  <c r="AJ762" i="6"/>
  <c r="AI758" i="6"/>
  <c r="AI759" i="6"/>
  <c r="AI760" i="6"/>
  <c r="AI764" i="6"/>
  <c r="AJ561" i="6"/>
  <c r="AJ560" i="6"/>
  <c r="AJ564" i="6"/>
  <c r="AJ562" i="6"/>
  <c r="AI564" i="6"/>
  <c r="AI566" i="6"/>
  <c r="AJ411" i="6"/>
  <c r="AI410" i="6"/>
  <c r="AI408" i="6"/>
  <c r="AI409" i="6"/>
  <c r="AI412" i="6"/>
  <c r="AJ297" i="6"/>
  <c r="AJ300" i="6"/>
  <c r="AJ302" i="6"/>
  <c r="AI298" i="6"/>
  <c r="AI297" i="6"/>
  <c r="AI302" i="6"/>
  <c r="AJ246" i="6"/>
  <c r="AI241" i="6"/>
  <c r="AI247" i="6"/>
  <c r="AJ198" i="6"/>
  <c r="AJ197" i="6"/>
  <c r="AJ201" i="6"/>
  <c r="AI197" i="6"/>
  <c r="AI198" i="6"/>
  <c r="AI154" i="6"/>
  <c r="AJ114" i="6"/>
  <c r="AI114" i="6"/>
  <c r="AI115" i="6"/>
  <c r="AI109" i="6"/>
  <c r="AJ71" i="6"/>
  <c r="AI65" i="6"/>
  <c r="AI70" i="6"/>
  <c r="AI960" i="6"/>
  <c r="AJ852" i="6"/>
  <c r="AJ797" i="6"/>
  <c r="AI796" i="6"/>
  <c r="AJ740" i="6"/>
  <c r="AI742" i="6"/>
  <c r="AI741" i="6"/>
  <c r="AJ621" i="6"/>
  <c r="AI617" i="6"/>
  <c r="AJ507" i="6"/>
  <c r="AI506" i="6"/>
  <c r="AI510" i="6"/>
  <c r="AJ253" i="6"/>
  <c r="AI258" i="6"/>
  <c r="AI253" i="6"/>
  <c r="AJ478" i="6"/>
  <c r="AJ476" i="6"/>
  <c r="AJ473" i="6"/>
  <c r="AI473" i="6"/>
  <c r="AI477" i="6"/>
  <c r="AJ192" i="6"/>
  <c r="AI188" i="6"/>
  <c r="AI192" i="6"/>
  <c r="AI190" i="6"/>
  <c r="AI78" i="6"/>
  <c r="AI81" i="6"/>
  <c r="AI77" i="6"/>
  <c r="AI80" i="6"/>
  <c r="AI913" i="6"/>
  <c r="AJ883" i="6"/>
  <c r="AI883" i="6"/>
  <c r="AJ730" i="6"/>
  <c r="AJ708" i="6"/>
  <c r="AJ709" i="6"/>
  <c r="AI707" i="6"/>
  <c r="AI709" i="6"/>
  <c r="AI705" i="6"/>
  <c r="AJ632" i="6"/>
  <c r="AJ631" i="6"/>
  <c r="AJ627" i="6"/>
  <c r="AI630" i="6"/>
  <c r="AI628" i="6"/>
  <c r="AJ434" i="6"/>
  <c r="AI429" i="6"/>
  <c r="AI430" i="6"/>
  <c r="AJ395" i="6"/>
  <c r="AJ397" i="6"/>
  <c r="AI399" i="6"/>
  <c r="AI401" i="6"/>
  <c r="AI397" i="6"/>
  <c r="AJ351" i="6"/>
  <c r="AI351" i="6"/>
  <c r="AI357" i="6"/>
  <c r="AI352" i="6"/>
  <c r="AI355" i="6"/>
  <c r="AJ285" i="6"/>
  <c r="AI290" i="6"/>
  <c r="AI285" i="6"/>
  <c r="AJ133" i="6"/>
  <c r="AJ135" i="6"/>
  <c r="AI137" i="6"/>
  <c r="AI131" i="6"/>
  <c r="AI135" i="6"/>
  <c r="AJ60" i="6"/>
  <c r="AI54" i="6"/>
  <c r="AI60" i="6"/>
  <c r="AJ870" i="6"/>
  <c r="AJ45" i="6"/>
  <c r="AJ587" i="6"/>
  <c r="AI681" i="6"/>
  <c r="P950" i="6"/>
  <c r="Q143" i="7" s="1"/>
  <c r="AJ654" i="6"/>
  <c r="AI650" i="6"/>
  <c r="AJ48" i="6"/>
  <c r="AI329" i="6"/>
  <c r="AI388" i="6"/>
  <c r="AJ937" i="6"/>
  <c r="AI170" i="6"/>
  <c r="AI499" i="6"/>
  <c r="AJ819" i="6"/>
  <c r="AI76" i="6"/>
  <c r="I68" i="11"/>
  <c r="J68" i="11" s="1"/>
  <c r="AI615" i="6"/>
  <c r="I75" i="11"/>
  <c r="J75" i="11" s="1"/>
  <c r="G279" i="7"/>
  <c r="H26" i="11"/>
  <c r="AI252" i="6"/>
  <c r="I71" i="11"/>
  <c r="J71" i="11" s="1"/>
  <c r="AI582" i="6"/>
  <c r="I61" i="11"/>
  <c r="J61" i="11" s="1"/>
  <c r="AI736" i="6"/>
  <c r="I76" i="11"/>
  <c r="J76" i="11" s="1"/>
  <c r="AI483" i="6"/>
  <c r="I86" i="11"/>
  <c r="J86" i="11" s="1"/>
  <c r="G336" i="7"/>
  <c r="H84" i="11"/>
  <c r="AI307" i="6"/>
  <c r="I84" i="11"/>
  <c r="J84" i="11" s="1"/>
  <c r="AI714" i="6"/>
  <c r="I62" i="11"/>
  <c r="J62" i="11" s="1"/>
  <c r="AI697" i="6"/>
  <c r="AI472" i="6"/>
  <c r="I73" i="11"/>
  <c r="J73" i="11" s="1"/>
  <c r="AI439" i="6"/>
  <c r="I72" i="11"/>
  <c r="J72" i="11" s="1"/>
  <c r="AJ780" i="6"/>
  <c r="AI937" i="6"/>
  <c r="AJ959" i="6"/>
  <c r="AI905" i="6"/>
  <c r="AI373" i="6"/>
  <c r="AI379" i="6"/>
  <c r="AI36" i="6"/>
  <c r="AJ33" i="6"/>
  <c r="AI230" i="6"/>
  <c r="I70" i="11"/>
  <c r="J70" i="11" s="1"/>
  <c r="AI505" i="6"/>
  <c r="I74" i="11"/>
  <c r="J74" i="11" s="1"/>
  <c r="G275" i="7"/>
  <c r="H25" i="11"/>
  <c r="AI175" i="6"/>
  <c r="I58" i="11"/>
  <c r="J58" i="11" s="1"/>
  <c r="AI587" i="6"/>
  <c r="AI186" i="6"/>
  <c r="I69" i="11"/>
  <c r="J69" i="11" s="1"/>
  <c r="AI686" i="6"/>
  <c r="AJ685" i="6"/>
  <c r="AJ497" i="6"/>
  <c r="AI637" i="6"/>
  <c r="I87" i="11"/>
  <c r="J87" i="11" s="1"/>
  <c r="G267" i="7"/>
  <c r="H23" i="11"/>
  <c r="G287" i="7"/>
  <c r="H28" i="11"/>
  <c r="G114" i="7"/>
  <c r="H59" i="11"/>
  <c r="AI274" i="6"/>
  <c r="I59" i="11"/>
  <c r="J59" i="11" s="1"/>
  <c r="G324" i="7"/>
  <c r="H81" i="11"/>
  <c r="AI98" i="6"/>
  <c r="I81" i="11"/>
  <c r="J81" i="11" s="1"/>
  <c r="G291" i="7"/>
  <c r="H29" i="11"/>
  <c r="AI208" i="6"/>
  <c r="I82" i="11"/>
  <c r="J82" i="11" s="1"/>
  <c r="AI362" i="6"/>
  <c r="I85" i="11"/>
  <c r="J85" i="11" s="1"/>
  <c r="AI461" i="6"/>
  <c r="I60" i="11"/>
  <c r="J60" i="11" s="1"/>
  <c r="G126" i="7"/>
  <c r="H62" i="11"/>
  <c r="AI142" i="6"/>
  <c r="I57" i="11"/>
  <c r="J57" i="11" s="1"/>
  <c r="G210" i="7"/>
  <c r="H68" i="11"/>
  <c r="G328" i="7"/>
  <c r="H82" i="11"/>
  <c r="AI747" i="6"/>
  <c r="I88" i="11"/>
  <c r="J88" i="11" s="1"/>
  <c r="G234" i="7"/>
  <c r="H74" i="11"/>
  <c r="G102" i="7"/>
  <c r="H56" i="11"/>
  <c r="G303" i="7"/>
  <c r="H32" i="11"/>
  <c r="G122" i="7"/>
  <c r="H61" i="11"/>
  <c r="AI687" i="6"/>
  <c r="G271" i="7"/>
  <c r="H24" i="11"/>
  <c r="G242" i="7"/>
  <c r="H76" i="11"/>
  <c r="AI263" i="6"/>
  <c r="I83" i="11"/>
  <c r="J83" i="11" s="1"/>
  <c r="P948" i="6"/>
  <c r="M143" i="7" s="1"/>
  <c r="AL1102" i="6"/>
  <c r="G138" i="7"/>
  <c r="H65" i="11"/>
  <c r="AJ869" i="6"/>
  <c r="AI819" i="6"/>
  <c r="AJ781" i="6"/>
  <c r="AI784" i="6"/>
  <c r="AJ719" i="6"/>
  <c r="AJ718" i="6"/>
  <c r="AI720" i="6"/>
  <c r="AI718" i="6"/>
  <c r="AJ588" i="6"/>
  <c r="AJ586" i="6"/>
  <c r="AI583" i="6"/>
  <c r="AI586" i="6"/>
  <c r="AJ466" i="6"/>
  <c r="AJ465" i="6"/>
  <c r="AJ462" i="6"/>
  <c r="AI467" i="6"/>
  <c r="AI466" i="6"/>
  <c r="AI462" i="6"/>
  <c r="AI144" i="6"/>
  <c r="AI148" i="6"/>
  <c r="AI143" i="6"/>
  <c r="AJ24" i="6"/>
  <c r="AI21" i="6"/>
  <c r="AI907" i="6"/>
  <c r="AJ664" i="6"/>
  <c r="AJ665" i="6"/>
  <c r="AI659" i="6"/>
  <c r="AI664" i="6"/>
  <c r="AI663" i="6"/>
  <c r="AJ345" i="6"/>
  <c r="AI345" i="6"/>
  <c r="AJ650" i="6"/>
  <c r="AJ649" i="6"/>
  <c r="AJ652" i="6"/>
  <c r="AI654" i="6"/>
  <c r="AI648" i="6"/>
  <c r="AI649" i="6"/>
  <c r="AI652" i="6"/>
  <c r="AJ495" i="6"/>
  <c r="AJ494" i="6"/>
  <c r="AJ498" i="6"/>
  <c r="AI496" i="6"/>
  <c r="AI498" i="6"/>
  <c r="AI495" i="6"/>
  <c r="AI497" i="6"/>
  <c r="AJ330" i="6"/>
  <c r="AJ334" i="6"/>
  <c r="AJ333" i="6"/>
  <c r="AI334" i="6"/>
  <c r="AI330" i="6"/>
  <c r="AI335" i="6"/>
  <c r="AJ47" i="6"/>
  <c r="AJ49" i="6"/>
  <c r="AI47" i="6"/>
  <c r="AI45" i="6"/>
  <c r="AI43" i="6"/>
  <c r="AI49" i="6"/>
  <c r="AJ697" i="6"/>
  <c r="AI692" i="6"/>
  <c r="AI696" i="6"/>
  <c r="AI389" i="6"/>
  <c r="AJ682" i="6"/>
  <c r="AJ681" i="6"/>
  <c r="AJ687" i="6"/>
  <c r="AI683" i="6"/>
  <c r="AI682" i="6"/>
  <c r="AJ373" i="6"/>
  <c r="AJ377" i="6"/>
  <c r="AI378" i="6"/>
  <c r="AI377" i="6"/>
  <c r="AJ166" i="6"/>
  <c r="AJ165" i="6"/>
  <c r="AJ168" i="6"/>
  <c r="AJ167" i="6"/>
  <c r="AI168" i="6"/>
  <c r="AI169" i="6"/>
  <c r="AJ37" i="6"/>
  <c r="AI34" i="6"/>
  <c r="AI38" i="6"/>
  <c r="AJ926" i="6"/>
  <c r="AI860" i="6"/>
  <c r="AI926" i="6"/>
  <c r="AJ805" i="6"/>
  <c r="AJ728" i="6"/>
  <c r="AJ387" i="6"/>
  <c r="AJ673" i="6"/>
  <c r="AJ453" i="6"/>
  <c r="AJ277" i="6"/>
  <c r="AI816" i="6"/>
  <c r="AI101" i="6"/>
  <c r="U969" i="6"/>
  <c r="AJ969" i="6" s="1"/>
  <c r="AI596" i="6"/>
  <c r="AI398" i="6"/>
  <c r="AJ541" i="6"/>
  <c r="AJ783" i="6"/>
  <c r="AI376" i="6"/>
  <c r="AJ57" i="6"/>
  <c r="AI387" i="6"/>
  <c r="AJ574" i="6"/>
  <c r="AJ761" i="6"/>
  <c r="AJ486" i="6"/>
  <c r="AJ68" i="6"/>
  <c r="AI519" i="6"/>
  <c r="AJ321" i="6"/>
  <c r="AI969" i="6"/>
  <c r="AJ904" i="6"/>
  <c r="AI200" i="6"/>
  <c r="AJ651" i="6"/>
  <c r="AI431" i="6"/>
  <c r="AI79" i="6"/>
  <c r="AI222" i="6"/>
  <c r="AI46" i="6"/>
  <c r="AJ629" i="6"/>
  <c r="AI189" i="6"/>
  <c r="AJ464" i="6"/>
  <c r="AJ563" i="6"/>
  <c r="AI706" i="6"/>
  <c r="AJ706" i="6"/>
  <c r="AJ420" i="6"/>
  <c r="AJ244" i="6"/>
  <c r="AI244" i="6"/>
  <c r="AJ695" i="6"/>
  <c r="AJ662" i="6"/>
  <c r="AJ442" i="6"/>
  <c r="AI90" i="6"/>
  <c r="AI739" i="6"/>
  <c r="AI134" i="6"/>
  <c r="AJ772" i="6"/>
  <c r="AJ816" i="6"/>
  <c r="AI827" i="6"/>
  <c r="AJ35" i="6"/>
  <c r="AI651" i="6"/>
  <c r="AJ222" i="6"/>
  <c r="AI233" i="6"/>
  <c r="AI365" i="6"/>
  <c r="AI684" i="6"/>
  <c r="AJ134" i="6"/>
  <c r="AJ717" i="6"/>
  <c r="AI68" i="6"/>
  <c r="AI475" i="6"/>
  <c r="P958" i="6"/>
  <c r="K254" i="7" s="1"/>
  <c r="AJ871" i="6"/>
  <c r="AI783" i="6"/>
  <c r="AI882" i="6"/>
  <c r="AJ607" i="6"/>
  <c r="AJ178" i="6"/>
  <c r="AI145" i="6"/>
  <c r="AI695" i="6"/>
  <c r="AI35" i="6"/>
  <c r="AI794" i="6"/>
  <c r="AJ596" i="6"/>
  <c r="AJ431" i="6"/>
  <c r="AJ79" i="6"/>
  <c r="AJ618" i="6"/>
  <c r="AI618" i="6"/>
  <c r="AJ398" i="6"/>
  <c r="AJ46" i="6"/>
  <c r="AI629" i="6"/>
  <c r="AJ409" i="6"/>
  <c r="AI57" i="6"/>
  <c r="AJ332" i="6"/>
  <c r="AI156" i="6"/>
  <c r="AI607" i="6"/>
  <c r="AI211" i="6"/>
  <c r="AJ211" i="6"/>
  <c r="AJ750" i="6"/>
  <c r="AI750" i="6"/>
  <c r="AJ354" i="6"/>
  <c r="AI761" i="6"/>
  <c r="AJ365" i="6"/>
  <c r="AI288" i="6"/>
  <c r="AJ288" i="6"/>
  <c r="AI112" i="6"/>
  <c r="AJ739" i="6"/>
  <c r="AJ343" i="6"/>
  <c r="AI310" i="6"/>
  <c r="AJ640" i="6"/>
  <c r="AJ299" i="6"/>
  <c r="AJ90" i="6"/>
  <c r="AI277" i="6"/>
  <c r="W549" i="6"/>
  <c r="AI552" i="6"/>
  <c r="AJ838" i="6"/>
  <c r="AI915" i="6"/>
  <c r="AI772" i="6"/>
  <c r="AJ519" i="6"/>
  <c r="AJ827" i="6"/>
  <c r="AJ882" i="6"/>
  <c r="AI255" i="6"/>
  <c r="AJ156" i="6"/>
  <c r="AI178" i="6"/>
  <c r="AJ189" i="6"/>
  <c r="AJ684" i="6"/>
  <c r="AI167" i="6"/>
  <c r="AI486" i="6"/>
  <c r="AI717" i="6"/>
  <c r="AI640" i="6"/>
  <c r="AJ123" i="6"/>
  <c r="AI662" i="6"/>
  <c r="AJ266" i="6"/>
  <c r="AI266" i="6"/>
  <c r="AJ101" i="6"/>
  <c r="W516" i="6"/>
  <c r="V969" i="6"/>
  <c r="AI959" i="6"/>
  <c r="AJ849" i="6"/>
  <c r="AJ948" i="6"/>
  <c r="AJ794" i="6"/>
  <c r="AJ376" i="6"/>
  <c r="AJ200" i="6"/>
  <c r="AI728" i="6"/>
  <c r="AJ508" i="6"/>
  <c r="AI332" i="6"/>
  <c r="AJ310" i="6"/>
  <c r="AI321" i="6"/>
  <c r="AJ145" i="6"/>
  <c r="AI299" i="6"/>
  <c r="P969" i="6"/>
  <c r="P947" i="6"/>
  <c r="K143" i="7" s="1"/>
  <c r="AI541" i="6"/>
  <c r="AI805" i="6"/>
  <c r="B46" i="8"/>
  <c r="B7" i="8"/>
  <c r="G32" i="8"/>
  <c r="G19" i="8"/>
  <c r="M6" i="8"/>
  <c r="G6" i="8"/>
  <c r="M32" i="8"/>
  <c r="M46" i="8"/>
  <c r="G46" i="8"/>
  <c r="B32" i="8"/>
  <c r="B19" i="8"/>
  <c r="G168" i="7"/>
  <c r="G180" i="7"/>
  <c r="G188" i="7"/>
  <c r="G160" i="7"/>
  <c r="AI719" i="6"/>
  <c r="C180" i="9"/>
  <c r="D471" i="7"/>
  <c r="D1043" i="6"/>
  <c r="D466" i="7"/>
  <c r="C185" i="9"/>
  <c r="D65" i="4"/>
  <c r="D966" i="6"/>
  <c r="W57" i="3"/>
  <c r="C75" i="9"/>
  <c r="W66" i="3"/>
  <c r="S66" i="3"/>
  <c r="V63" i="3"/>
  <c r="C80" i="4"/>
  <c r="F469" i="7"/>
  <c r="D1021" i="6"/>
  <c r="D80" i="4"/>
  <c r="I1021" i="6"/>
  <c r="I1065" i="6"/>
  <c r="C454" i="7"/>
  <c r="B180" i="9"/>
  <c r="C178" i="9"/>
  <c r="C82" i="4"/>
  <c r="G1032" i="6"/>
  <c r="H1032" i="6" s="1"/>
  <c r="C472" i="7"/>
  <c r="C78" i="4"/>
  <c r="F448" i="7"/>
  <c r="D456" i="7"/>
  <c r="D451" i="7"/>
  <c r="B177" i="9"/>
  <c r="B178" i="9"/>
  <c r="D1010" i="6"/>
  <c r="G988" i="6"/>
  <c r="H988" i="6" s="1"/>
  <c r="I991" i="6" s="1"/>
  <c r="D988" i="6"/>
  <c r="G1043" i="6"/>
  <c r="H1043" i="6" s="1"/>
  <c r="B188" i="9"/>
  <c r="D1098" i="6"/>
  <c r="C175" i="9"/>
  <c r="D462" i="7"/>
  <c r="I1032" i="6"/>
  <c r="C469" i="7"/>
  <c r="F460" i="7"/>
  <c r="C463" i="7"/>
  <c r="D78" i="4"/>
  <c r="G1021" i="6"/>
  <c r="H1021" i="6" s="1"/>
  <c r="B179" i="9"/>
  <c r="D453" i="7"/>
  <c r="D80" i="5"/>
  <c r="I1010" i="6"/>
  <c r="C81" i="4"/>
  <c r="F463" i="7"/>
  <c r="F454" i="7"/>
  <c r="B176" i="9"/>
  <c r="C82" i="5"/>
  <c r="D465" i="7"/>
  <c r="C189" i="9"/>
  <c r="C187" i="9"/>
  <c r="D1065" i="6"/>
  <c r="C177" i="9"/>
  <c r="D468" i="7"/>
  <c r="F457" i="7"/>
  <c r="C77" i="4"/>
  <c r="D469" i="7"/>
  <c r="C451" i="7"/>
  <c r="B185" i="9"/>
  <c r="D460" i="7"/>
  <c r="C466" i="7"/>
  <c r="D441" i="7"/>
  <c r="D81" i="4"/>
  <c r="G1087" i="6"/>
  <c r="H1087" i="6" s="1"/>
  <c r="G1098" i="6"/>
  <c r="H1098" i="6" s="1"/>
  <c r="C79" i="4"/>
  <c r="D463" i="7"/>
  <c r="D82" i="4"/>
  <c r="I1087" i="6"/>
  <c r="D454" i="7"/>
  <c r="C460" i="7"/>
  <c r="D450" i="7"/>
  <c r="B175" i="9"/>
  <c r="G1065" i="6"/>
  <c r="H1065" i="6" s="1"/>
  <c r="D81" i="5"/>
  <c r="D1054" i="6"/>
  <c r="D457" i="7"/>
  <c r="D79" i="4"/>
  <c r="G1010" i="6"/>
  <c r="H1010" i="6" s="1"/>
  <c r="F466" i="7"/>
  <c r="B187" i="9"/>
  <c r="C457" i="7"/>
  <c r="C179" i="9"/>
  <c r="D1076" i="6"/>
  <c r="I1098" i="6"/>
  <c r="G1054" i="6"/>
  <c r="H1054" i="6" s="1"/>
  <c r="D82" i="5"/>
  <c r="G985" i="6"/>
  <c r="G978" i="6"/>
  <c r="P978" i="6" s="1"/>
  <c r="G438" i="7" s="1"/>
  <c r="G979" i="6"/>
  <c r="P979" i="6" s="1"/>
  <c r="I438" i="7" s="1"/>
  <c r="I982" i="6"/>
  <c r="V982" i="6" s="1"/>
  <c r="H982" i="6"/>
  <c r="U982" i="6" s="1"/>
  <c r="AJ982" i="6" s="1"/>
  <c r="F984" i="6"/>
  <c r="F980" i="6"/>
  <c r="I978" i="6"/>
  <c r="V978" i="6" s="1"/>
  <c r="I980" i="6"/>
  <c r="G981" i="6"/>
  <c r="P981" i="6" s="1"/>
  <c r="M438" i="7" s="1"/>
  <c r="I981" i="6"/>
  <c r="V981" i="6" s="1"/>
  <c r="I984" i="6"/>
  <c r="V984" i="6" s="1"/>
  <c r="H983" i="6"/>
  <c r="U983" i="6" s="1"/>
  <c r="AJ983" i="6" s="1"/>
  <c r="F983" i="6"/>
  <c r="F978" i="6"/>
  <c r="G982" i="6"/>
  <c r="P982" i="6" s="1"/>
  <c r="O438" i="7" s="1"/>
  <c r="G984" i="6"/>
  <c r="P984" i="6" s="1"/>
  <c r="S438" i="7" s="1"/>
  <c r="I979" i="6"/>
  <c r="V979" i="6" s="1"/>
  <c r="I983" i="6"/>
  <c r="V983" i="6" s="1"/>
  <c r="H981" i="6"/>
  <c r="U981" i="6" s="1"/>
  <c r="F982" i="6"/>
  <c r="H978" i="6"/>
  <c r="U978" i="6" s="1"/>
  <c r="H985" i="6"/>
  <c r="F981" i="6"/>
  <c r="M439" i="7" s="1"/>
  <c r="H984" i="6"/>
  <c r="U984" i="6" s="1"/>
  <c r="F979" i="6"/>
  <c r="H979" i="6"/>
  <c r="U979" i="6" s="1"/>
  <c r="AJ979" i="6" s="1"/>
  <c r="G983" i="6"/>
  <c r="P983" i="6" s="1"/>
  <c r="Q438" i="7" s="1"/>
  <c r="F985" i="6"/>
  <c r="H980" i="6"/>
  <c r="I985" i="6"/>
  <c r="G980" i="6"/>
  <c r="C188" i="9"/>
  <c r="I1043" i="6"/>
  <c r="D1087" i="6"/>
  <c r="C448" i="7"/>
  <c r="F451" i="7"/>
  <c r="D1032" i="6"/>
  <c r="I1076" i="6"/>
  <c r="D472" i="7"/>
  <c r="C176" i="9"/>
  <c r="F472" i="7"/>
  <c r="D448" i="7"/>
  <c r="D447" i="7"/>
  <c r="C442" i="7"/>
  <c r="C81" i="5"/>
  <c r="I1054" i="6"/>
  <c r="C80" i="5"/>
  <c r="D459" i="7"/>
  <c r="D77" i="4"/>
  <c r="W528" i="6"/>
  <c r="AM527" i="6"/>
  <c r="AK527" i="6" s="1"/>
  <c r="AN527" i="6"/>
  <c r="AL527" i="6" s="1"/>
  <c r="AN538" i="6"/>
  <c r="AL538" i="6" s="1"/>
  <c r="AM538" i="6"/>
  <c r="AK538" i="6" s="1"/>
  <c r="AN736" i="6"/>
  <c r="AL736" i="6" s="1"/>
  <c r="AM307" i="6"/>
  <c r="AK307" i="6" s="1"/>
  <c r="AN241" i="6"/>
  <c r="AL241" i="6" s="1"/>
  <c r="AN252" i="6"/>
  <c r="AL252" i="6" s="1"/>
  <c r="AN616" i="6"/>
  <c r="AL616" i="6" s="1"/>
  <c r="AN608" i="6"/>
  <c r="AM88" i="6"/>
  <c r="AK88" i="6" s="1"/>
  <c r="AM419" i="6"/>
  <c r="AM164" i="6"/>
  <c r="AK164" i="6" s="1"/>
  <c r="AN65" i="6"/>
  <c r="AL65" i="6" s="1"/>
  <c r="AN87" i="6"/>
  <c r="AL87" i="6" s="1"/>
  <c r="AN607" i="6"/>
  <c r="AN485" i="6"/>
  <c r="AN430" i="6"/>
  <c r="AM617" i="6"/>
  <c r="AM616" i="6"/>
  <c r="AK616" i="6" s="1"/>
  <c r="AN385" i="6"/>
  <c r="AL385" i="6" s="1"/>
  <c r="AN376" i="6"/>
  <c r="AL376" i="6" s="1"/>
  <c r="AN208" i="6"/>
  <c r="AL208" i="6" s="1"/>
  <c r="AN671" i="6"/>
  <c r="AL671" i="6" s="1"/>
  <c r="AN120" i="6"/>
  <c r="AL120" i="6" s="1"/>
  <c r="AN670" i="6"/>
  <c r="AL670" i="6" s="1"/>
  <c r="AM429" i="6"/>
  <c r="AK429" i="6" s="1"/>
  <c r="AN483" i="6"/>
  <c r="AL483" i="6" s="1"/>
  <c r="AN274" i="6"/>
  <c r="AL274" i="6" s="1"/>
  <c r="AM186" i="6"/>
  <c r="AK186" i="6" s="1"/>
  <c r="AM377" i="6"/>
  <c r="AK377" i="6" s="1"/>
  <c r="AM619" i="6"/>
  <c r="AK619" i="6" s="1"/>
  <c r="AM417" i="6"/>
  <c r="AK417" i="6" s="1"/>
  <c r="AM606" i="6"/>
  <c r="Y28" i="7" s="1"/>
  <c r="AN584" i="6"/>
  <c r="AM428" i="6"/>
  <c r="AK428" i="6" s="1"/>
  <c r="AN615" i="6"/>
  <c r="AL615" i="6" s="1"/>
  <c r="AN674" i="6"/>
  <c r="AL674" i="6" s="1"/>
  <c r="AN373" i="6"/>
  <c r="AL373" i="6" s="1"/>
  <c r="AK330" i="6"/>
  <c r="AN672" i="6"/>
  <c r="AN109" i="6"/>
  <c r="AL109" i="6" s="1"/>
  <c r="AM340" i="6"/>
  <c r="AK340" i="6" s="1"/>
  <c r="AN131" i="6"/>
  <c r="AL131" i="6" s="1"/>
  <c r="AN450" i="6"/>
  <c r="AL450" i="6" s="1"/>
  <c r="AN604" i="6"/>
  <c r="AM582" i="6"/>
  <c r="AK582" i="6" s="1"/>
  <c r="AN432" i="6"/>
  <c r="AL432" i="6" s="1"/>
  <c r="AN605" i="6"/>
  <c r="AN637" i="6"/>
  <c r="AL637" i="6" s="1"/>
  <c r="AN692" i="6"/>
  <c r="AL692" i="6" s="1"/>
  <c r="AM98" i="6"/>
  <c r="AK98" i="6" s="1"/>
  <c r="AN219" i="6"/>
  <c r="AL219" i="6" s="1"/>
  <c r="AN230" i="6"/>
  <c r="AL230" i="6" s="1"/>
  <c r="AM725" i="6"/>
  <c r="AK725" i="6" s="1"/>
  <c r="AM505" i="6"/>
  <c r="AK505" i="6" s="1"/>
  <c r="AI698" i="6"/>
  <c r="G135" i="7"/>
  <c r="AN813" i="6"/>
  <c r="AL813" i="6" s="1"/>
  <c r="AM813" i="6"/>
  <c r="AK813" i="6" s="1"/>
  <c r="G443" i="7"/>
  <c r="AM989" i="6"/>
  <c r="AK989" i="6" s="1"/>
  <c r="AN989" i="6"/>
  <c r="AL989" i="6" s="1"/>
  <c r="G139" i="7"/>
  <c r="AN868" i="6"/>
  <c r="AL868" i="6" s="1"/>
  <c r="AM868" i="6"/>
  <c r="AK868" i="6" s="1"/>
  <c r="G440" i="7"/>
  <c r="AN978" i="6"/>
  <c r="AL978" i="6" s="1"/>
  <c r="AM978" i="6"/>
  <c r="AK978" i="6" s="1"/>
  <c r="G446" i="7"/>
  <c r="AN1000" i="6"/>
  <c r="AL1000" i="6" s="1"/>
  <c r="AM1000" i="6"/>
  <c r="AK1000" i="6" s="1"/>
  <c r="AN474" i="6"/>
  <c r="AM441" i="6"/>
  <c r="AM472" i="6"/>
  <c r="AK472" i="6" s="1"/>
  <c r="AM263" i="6"/>
  <c r="AK263" i="6" s="1"/>
  <c r="AM32" i="6"/>
  <c r="AK32" i="6" s="1"/>
  <c r="AN406" i="6"/>
  <c r="AL406" i="6" s="1"/>
  <c r="AN923" i="6"/>
  <c r="AL923" i="6" s="1"/>
  <c r="S414" i="7"/>
  <c r="AN676" i="6"/>
  <c r="AL676" i="6" s="1"/>
  <c r="AM676" i="6"/>
  <c r="AK676" i="6" s="1"/>
  <c r="G251" i="7"/>
  <c r="AN846" i="6"/>
  <c r="AL846" i="6" s="1"/>
  <c r="AM846" i="6"/>
  <c r="AK846" i="6" s="1"/>
  <c r="G131" i="7"/>
  <c r="G361" i="7"/>
  <c r="AM824" i="6"/>
  <c r="AK824" i="6" s="1"/>
  <c r="AN824" i="6"/>
  <c r="AL824" i="6" s="1"/>
  <c r="G452" i="7"/>
  <c r="AN1022" i="6"/>
  <c r="AL1022" i="6" s="1"/>
  <c r="AM1022" i="6"/>
  <c r="AK1022" i="6" s="1"/>
  <c r="AN901" i="6"/>
  <c r="AL901" i="6" s="1"/>
  <c r="AM901" i="6"/>
  <c r="M97" i="9" s="1"/>
  <c r="G461" i="7"/>
  <c r="AM1055" i="6"/>
  <c r="AK1055" i="6" s="1"/>
  <c r="AN1055" i="6"/>
  <c r="AL1055" i="6" s="1"/>
  <c r="G455" i="7"/>
  <c r="AM1033" i="6"/>
  <c r="AK1033" i="6" s="1"/>
  <c r="AN1033" i="6"/>
  <c r="AL1033" i="6" s="1"/>
  <c r="AM703" i="6"/>
  <c r="AK703" i="6" s="1"/>
  <c r="AN420" i="6"/>
  <c r="AL420" i="6" s="1"/>
  <c r="AN431" i="6"/>
  <c r="AL431" i="6" s="1"/>
  <c r="AM607" i="6"/>
  <c r="AM675" i="6"/>
  <c r="AK675" i="6" s="1"/>
  <c r="AM671" i="6"/>
  <c r="AK671" i="6" s="1"/>
  <c r="AN451" i="6"/>
  <c r="AL451" i="6" s="1"/>
  <c r="AM605" i="6"/>
  <c r="AM376" i="6"/>
  <c r="AK376" i="6" s="1"/>
  <c r="AN583" i="6"/>
  <c r="AL583" i="6" s="1"/>
  <c r="AI384" i="6"/>
  <c r="AM384" i="6"/>
  <c r="AK384" i="6" s="1"/>
  <c r="G104" i="7"/>
  <c r="S353" i="7"/>
  <c r="AM753" i="6"/>
  <c r="AK753" i="6" s="1"/>
  <c r="AN753" i="6"/>
  <c r="AL753" i="6" s="1"/>
  <c r="AM440" i="6"/>
  <c r="AK440" i="6" s="1"/>
  <c r="AN142" i="6"/>
  <c r="AL142" i="6" s="1"/>
  <c r="AN747" i="6"/>
  <c r="AL747" i="6" s="1"/>
  <c r="AM408" i="6"/>
  <c r="AN409" i="6"/>
  <c r="AL409" i="6" s="1"/>
  <c r="AM749" i="6"/>
  <c r="AN751" i="6"/>
  <c r="AL751" i="6" s="1"/>
  <c r="AN153" i="6"/>
  <c r="AL153" i="6" s="1"/>
  <c r="AI390" i="6"/>
  <c r="AI346" i="6"/>
  <c r="G365" i="7"/>
  <c r="AN890" i="6"/>
  <c r="G148" i="7"/>
  <c r="AN945" i="6"/>
  <c r="AL945" i="6" s="1"/>
  <c r="G193" i="7"/>
  <c r="AN879" i="6"/>
  <c r="AM879" i="6"/>
  <c r="G458" i="7"/>
  <c r="AM1044" i="6"/>
  <c r="AK1044" i="6" s="1"/>
  <c r="AN1044" i="6"/>
  <c r="AL1044" i="6" s="1"/>
  <c r="G418" i="7"/>
  <c r="G429" i="7"/>
  <c r="AN934" i="6"/>
  <c r="AL934" i="6" s="1"/>
  <c r="G464" i="7"/>
  <c r="AM1066" i="6"/>
  <c r="AK1066" i="6" s="1"/>
  <c r="AN1066" i="6"/>
  <c r="AL1066" i="6" s="1"/>
  <c r="G467" i="7"/>
  <c r="AN1077" i="6"/>
  <c r="AL1077" i="6" s="1"/>
  <c r="AM1077" i="6"/>
  <c r="AK1077" i="6" s="1"/>
  <c r="AN419" i="6"/>
  <c r="AM672" i="6"/>
  <c r="AM674" i="6"/>
  <c r="AK674" i="6" s="1"/>
  <c r="AN285" i="6"/>
  <c r="AL285" i="6" s="1"/>
  <c r="AM483" i="6"/>
  <c r="AK483" i="6" s="1"/>
  <c r="AN620" i="6"/>
  <c r="AL620" i="6" s="1"/>
  <c r="AN618" i="6"/>
  <c r="AL618" i="6" s="1"/>
  <c r="AN673" i="6"/>
  <c r="AL673" i="6" s="1"/>
  <c r="AM431" i="6"/>
  <c r="AK431" i="6" s="1"/>
  <c r="AN472" i="6"/>
  <c r="AL472" i="6" s="1"/>
  <c r="AN659" i="6"/>
  <c r="AL659" i="6" s="1"/>
  <c r="AN750" i="6"/>
  <c r="AL750" i="6" s="1"/>
  <c r="AN484" i="6"/>
  <c r="AL484" i="6" s="1"/>
  <c r="AM604" i="6"/>
  <c r="AM747" i="6"/>
  <c r="AK747" i="6" s="1"/>
  <c r="AN582" i="6"/>
  <c r="AL582" i="6" s="1"/>
  <c r="AN675" i="6"/>
  <c r="AL675" i="6" s="1"/>
  <c r="AM430" i="6"/>
  <c r="AN617" i="6"/>
  <c r="AN619" i="6"/>
  <c r="AL619" i="6" s="1"/>
  <c r="AN220" i="6"/>
  <c r="AL220" i="6" s="1"/>
  <c r="AN417" i="6"/>
  <c r="AL417" i="6" s="1"/>
  <c r="AN439" i="6"/>
  <c r="AL439" i="6" s="1"/>
  <c r="AM670" i="6"/>
  <c r="AK670" i="6" s="1"/>
  <c r="AI693" i="6"/>
  <c r="AN329" i="6"/>
  <c r="AL329" i="6" s="1"/>
  <c r="AN606" i="6"/>
  <c r="Y30" i="7" s="1"/>
  <c r="AN749" i="6"/>
  <c r="AM751" i="6"/>
  <c r="AK751" i="6" s="1"/>
  <c r="AN748" i="6"/>
  <c r="AN407" i="6"/>
  <c r="AL407" i="6" s="1"/>
  <c r="AN374" i="6"/>
  <c r="AM373" i="6"/>
  <c r="AK373" i="6" s="1"/>
  <c r="AN428" i="6"/>
  <c r="AL428" i="6" s="1"/>
  <c r="AM615" i="6"/>
  <c r="AK615" i="6" s="1"/>
  <c r="AM219" i="6"/>
  <c r="AK219" i="6" s="1"/>
  <c r="AN562" i="6"/>
  <c r="AN571" i="6"/>
  <c r="AI665" i="6"/>
  <c r="G247" i="7"/>
  <c r="AN791" i="6"/>
  <c r="AL791" i="6" s="1"/>
  <c r="G357" i="7"/>
  <c r="AM802" i="6"/>
  <c r="AK802" i="6" s="1"/>
  <c r="AN752" i="6"/>
  <c r="AL752" i="6" s="1"/>
  <c r="AM439" i="6"/>
  <c r="AK439" i="6" s="1"/>
  <c r="AN21" i="6"/>
  <c r="AL21" i="6" s="1"/>
  <c r="S239" i="7"/>
  <c r="AN621" i="6"/>
  <c r="AL621" i="6" s="1"/>
  <c r="AM621" i="6"/>
  <c r="AK621" i="6" s="1"/>
  <c r="G449" i="7"/>
  <c r="AN1011" i="6"/>
  <c r="AL1011" i="6" s="1"/>
  <c r="AM1011" i="6"/>
  <c r="AK1011" i="6" s="1"/>
  <c r="G308" i="7"/>
  <c r="AN857" i="6"/>
  <c r="AL857" i="6" s="1"/>
  <c r="G470" i="7"/>
  <c r="AM1088" i="6"/>
  <c r="AK1088" i="6" s="1"/>
  <c r="AN1088" i="6"/>
  <c r="AL1088" i="6" s="1"/>
  <c r="G373" i="7"/>
  <c r="AM967" i="6"/>
  <c r="AN967" i="6"/>
  <c r="AL967" i="6" s="1"/>
  <c r="G422" i="7"/>
  <c r="AN835" i="6"/>
  <c r="AL835" i="6" s="1"/>
  <c r="G258" i="7"/>
  <c r="AN956" i="6"/>
  <c r="AL956" i="6" s="1"/>
  <c r="AM956" i="6"/>
  <c r="G200" i="7"/>
  <c r="AN912" i="6"/>
  <c r="AL912" i="6" s="1"/>
  <c r="AM912" i="6"/>
  <c r="AN440" i="6"/>
  <c r="AL440" i="6" s="1"/>
  <c r="AN429" i="6"/>
  <c r="AL429" i="6" s="1"/>
  <c r="AM620" i="6"/>
  <c r="AK620" i="6" s="1"/>
  <c r="AM618" i="6"/>
  <c r="AK618" i="6" s="1"/>
  <c r="AM673" i="6"/>
  <c r="AK673" i="6" s="1"/>
  <c r="AM752" i="6"/>
  <c r="AK752" i="6" s="1"/>
  <c r="AM750" i="6"/>
  <c r="AK750" i="6" s="1"/>
  <c r="AM748" i="6"/>
  <c r="AK748" i="6" s="1"/>
  <c r="AM407" i="6"/>
  <c r="X173" i="7" s="1"/>
  <c r="AI341" i="6"/>
  <c r="AI343" i="6"/>
  <c r="AM473" i="6"/>
  <c r="AK473" i="6" s="1"/>
  <c r="AN505" i="6"/>
  <c r="AL505" i="6" s="1"/>
  <c r="AN384" i="6"/>
  <c r="AL384" i="6" s="1"/>
  <c r="I401" i="7"/>
  <c r="G161" i="7"/>
  <c r="G288" i="7"/>
  <c r="G268" i="7"/>
  <c r="G272" i="7"/>
  <c r="W187" i="6"/>
  <c r="G215" i="7"/>
  <c r="G284" i="7"/>
  <c r="G349" i="7"/>
  <c r="O300" i="7"/>
  <c r="G337" i="7"/>
  <c r="I169" i="7"/>
  <c r="I173" i="7"/>
  <c r="I62" i="7"/>
  <c r="K345" i="7"/>
  <c r="G473" i="7"/>
  <c r="G243" i="7"/>
  <c r="G103" i="7"/>
  <c r="M300" i="7"/>
  <c r="G62" i="7"/>
  <c r="G169" i="7"/>
  <c r="G177" i="7"/>
  <c r="G231" i="7"/>
  <c r="K177" i="7"/>
  <c r="M239" i="7"/>
  <c r="K300" i="7"/>
  <c r="I353" i="7"/>
  <c r="G24" i="7"/>
  <c r="G414" i="7"/>
  <c r="I296" i="7"/>
  <c r="I414" i="7"/>
  <c r="G390" i="7"/>
  <c r="G382" i="7"/>
  <c r="G165" i="7"/>
  <c r="K398" i="7"/>
  <c r="G107" i="7"/>
  <c r="I103" i="7"/>
  <c r="G211" i="7"/>
  <c r="G276" i="7"/>
  <c r="I280" i="7"/>
  <c r="G333" i="7"/>
  <c r="I165" i="7"/>
  <c r="K227" i="7"/>
  <c r="G181" i="7"/>
  <c r="G394" i="7"/>
  <c r="G341" i="7"/>
  <c r="O292" i="7"/>
  <c r="M231" i="7"/>
  <c r="G185" i="7"/>
  <c r="K353" i="7"/>
  <c r="Q239" i="7"/>
  <c r="I123" i="7"/>
  <c r="G345" i="7"/>
  <c r="G292" i="7"/>
  <c r="G227" i="7"/>
  <c r="G20" i="7"/>
  <c r="K292" i="7"/>
  <c r="G304" i="7"/>
  <c r="Q414" i="7"/>
  <c r="K414" i="7"/>
  <c r="G58" i="7"/>
  <c r="G398" i="7"/>
  <c r="I239" i="7"/>
  <c r="M292" i="7"/>
  <c r="G239" i="7"/>
  <c r="G280" i="7"/>
  <c r="G300" i="7"/>
  <c r="M20" i="7"/>
  <c r="G222" i="7"/>
  <c r="M210" i="7"/>
  <c r="G12" i="7"/>
  <c r="K344" i="7"/>
  <c r="G61" i="7"/>
  <c r="O287" i="7"/>
  <c r="Q413" i="7"/>
  <c r="G219" i="7"/>
  <c r="G386" i="7"/>
  <c r="G54" i="7"/>
  <c r="I382" i="7"/>
  <c r="G16" i="7"/>
  <c r="G329" i="7"/>
  <c r="O177" i="7"/>
  <c r="I235" i="7"/>
  <c r="K296" i="7"/>
  <c r="I66" i="7"/>
  <c r="I58" i="7"/>
  <c r="O20" i="7"/>
  <c r="M398" i="7"/>
  <c r="G127" i="7"/>
  <c r="I304" i="7"/>
  <c r="G353" i="7"/>
  <c r="Q353" i="7"/>
  <c r="O414" i="7"/>
  <c r="G296" i="7"/>
  <c r="I231" i="7"/>
  <c r="G173" i="7"/>
  <c r="I177" i="7"/>
  <c r="G402" i="7"/>
  <c r="I20" i="7"/>
  <c r="M353" i="7"/>
  <c r="G123" i="7"/>
  <c r="I345" i="7"/>
  <c r="O353" i="7"/>
  <c r="I398" i="7"/>
  <c r="I292" i="7"/>
  <c r="M226" i="7"/>
  <c r="G115" i="7"/>
  <c r="G223" i="7"/>
  <c r="G157" i="7"/>
  <c r="G325" i="7"/>
  <c r="G111" i="7"/>
  <c r="I390" i="7"/>
  <c r="G406" i="7"/>
  <c r="G119" i="7"/>
  <c r="G410" i="7"/>
  <c r="I24" i="7"/>
  <c r="K123" i="7"/>
  <c r="I402" i="7"/>
  <c r="G189" i="7"/>
  <c r="O239" i="7"/>
  <c r="G235" i="7"/>
  <c r="I227" i="7"/>
  <c r="K239" i="7"/>
  <c r="K231" i="7"/>
  <c r="M414" i="7"/>
  <c r="I300" i="7"/>
  <c r="M177" i="7"/>
  <c r="G66" i="7"/>
  <c r="K20" i="7"/>
  <c r="K19" i="7"/>
  <c r="S65" i="7"/>
  <c r="O176" i="7"/>
  <c r="Q23" i="7"/>
  <c r="I271" i="7"/>
  <c r="U242" i="7"/>
  <c r="O15" i="7"/>
  <c r="S184" i="7"/>
  <c r="Q393" i="7"/>
  <c r="G409" i="7"/>
  <c r="O11" i="7"/>
  <c r="I222" i="7"/>
  <c r="M180" i="7"/>
  <c r="G156" i="7"/>
  <c r="K413" i="7"/>
  <c r="U401" i="7"/>
  <c r="Q114" i="7"/>
  <c r="M114" i="7"/>
  <c r="I324" i="7"/>
  <c r="K324" i="7"/>
  <c r="I242" i="7"/>
  <c r="Q230" i="7"/>
  <c r="S287" i="7"/>
  <c r="G332" i="7"/>
  <c r="K332" i="7"/>
  <c r="M381" i="7"/>
  <c r="O381" i="7"/>
  <c r="S385" i="7"/>
  <c r="M401" i="7"/>
  <c r="M413" i="7"/>
  <c r="I114" i="7"/>
  <c r="Q324" i="7"/>
  <c r="M324" i="7"/>
  <c r="M65" i="7"/>
  <c r="I19" i="7"/>
  <c r="U222" i="7"/>
  <c r="S409" i="7"/>
  <c r="U19" i="7"/>
  <c r="M19" i="7"/>
  <c r="G176" i="7"/>
  <c r="I176" i="7"/>
  <c r="Q176" i="7"/>
  <c r="Q238" i="7"/>
  <c r="M344" i="7"/>
  <c r="M385" i="7"/>
  <c r="G23" i="7"/>
  <c r="U409" i="7"/>
  <c r="M172" i="7"/>
  <c r="S218" i="7"/>
  <c r="O188" i="7"/>
  <c r="U234" i="7"/>
  <c r="S275" i="7"/>
  <c r="G299" i="7"/>
  <c r="O299" i="7"/>
  <c r="S328" i="7"/>
  <c r="I352" i="7"/>
  <c r="G405" i="7"/>
  <c r="M168" i="7"/>
  <c r="M110" i="7"/>
  <c r="S172" i="7"/>
  <c r="I172" i="7"/>
  <c r="K275" i="7"/>
  <c r="Q102" i="7"/>
  <c r="M409" i="7"/>
  <c r="I409" i="7"/>
  <c r="O19" i="7"/>
  <c r="K279" i="7"/>
  <c r="Q279" i="7"/>
  <c r="K11" i="7"/>
  <c r="G11" i="7"/>
  <c r="I11" i="7"/>
  <c r="U65" i="7"/>
  <c r="Q65" i="7"/>
  <c r="I65" i="7"/>
  <c r="S176" i="7"/>
  <c r="K176" i="7"/>
  <c r="M222" i="7"/>
  <c r="U210" i="7"/>
  <c r="O210" i="7"/>
  <c r="K210" i="7"/>
  <c r="S164" i="7"/>
  <c r="G295" i="7"/>
  <c r="M295" i="7"/>
  <c r="M15" i="7"/>
  <c r="K126" i="7"/>
  <c r="K393" i="7"/>
  <c r="G106" i="7"/>
  <c r="I106" i="7"/>
  <c r="O106" i="7"/>
  <c r="K283" i="7"/>
  <c r="I283" i="7"/>
  <c r="M230" i="7"/>
  <c r="I287" i="7"/>
  <c r="K287" i="7"/>
  <c r="K385" i="7"/>
  <c r="U385" i="7"/>
  <c r="Q226" i="7"/>
  <c r="G238" i="7"/>
  <c r="U172" i="7"/>
  <c r="O389" i="7"/>
  <c r="S389" i="7"/>
  <c r="K53" i="7"/>
  <c r="K180" i="7"/>
  <c r="O291" i="7"/>
  <c r="Q291" i="7"/>
  <c r="G218" i="7"/>
  <c r="M218" i="7"/>
  <c r="Q218" i="7"/>
  <c r="Q156" i="7"/>
  <c r="O156" i="7"/>
  <c r="M188" i="7"/>
  <c r="Q188" i="7"/>
  <c r="K234" i="7"/>
  <c r="S57" i="7"/>
  <c r="G57" i="7"/>
  <c r="I275" i="7"/>
  <c r="O275" i="7"/>
  <c r="I102" i="7"/>
  <c r="S102" i="7"/>
  <c r="O102" i="7"/>
  <c r="K299" i="7"/>
  <c r="M328" i="7"/>
  <c r="K328" i="7"/>
  <c r="G352" i="7"/>
  <c r="S405" i="7"/>
  <c r="K405" i="7"/>
  <c r="M405" i="7"/>
  <c r="G110" i="7"/>
  <c r="S303" i="7"/>
  <c r="K122" i="7"/>
  <c r="Q122" i="7"/>
  <c r="U340" i="7"/>
  <c r="U214" i="7"/>
  <c r="G214" i="7"/>
  <c r="Q214" i="7"/>
  <c r="I23" i="7"/>
  <c r="M164" i="7"/>
  <c r="O164" i="7"/>
  <c r="Q164" i="7"/>
  <c r="G164" i="7"/>
  <c r="Q271" i="7"/>
  <c r="K271" i="7"/>
  <c r="M271" i="7"/>
  <c r="Q242" i="7"/>
  <c r="U295" i="7"/>
  <c r="K295" i="7"/>
  <c r="U15" i="7"/>
  <c r="I15" i="7"/>
  <c r="G184" i="7"/>
  <c r="I184" i="7"/>
  <c r="Q344" i="7"/>
  <c r="O344" i="7"/>
  <c r="G344" i="7"/>
  <c r="I344" i="7"/>
  <c r="S336" i="7"/>
  <c r="S160" i="7"/>
  <c r="U126" i="7"/>
  <c r="M61" i="7"/>
  <c r="G393" i="7"/>
  <c r="U393" i="7"/>
  <c r="Q106" i="7"/>
  <c r="S106" i="7"/>
  <c r="S348" i="7"/>
  <c r="I348" i="7"/>
  <c r="O348" i="7"/>
  <c r="M348" i="7"/>
  <c r="G283" i="7"/>
  <c r="U283" i="7"/>
  <c r="S267" i="7"/>
  <c r="U230" i="7"/>
  <c r="O230" i="7"/>
  <c r="Q287" i="7"/>
  <c r="G385" i="7"/>
  <c r="O385" i="7"/>
  <c r="O226" i="7"/>
  <c r="G226" i="7"/>
  <c r="I226" i="7"/>
  <c r="M332" i="7"/>
  <c r="S332" i="7"/>
  <c r="U381" i="7"/>
  <c r="G381" i="7"/>
  <c r="O413" i="7"/>
  <c r="O238" i="7"/>
  <c r="G172" i="7"/>
  <c r="I389" i="7"/>
  <c r="G389" i="7"/>
  <c r="K389" i="7"/>
  <c r="U389" i="7"/>
  <c r="Q389" i="7"/>
  <c r="I53" i="7"/>
  <c r="S180" i="7"/>
  <c r="Q180" i="7"/>
  <c r="U180" i="7"/>
  <c r="S291" i="7"/>
  <c r="I218" i="7"/>
  <c r="I156" i="7"/>
  <c r="M234" i="7"/>
  <c r="M57" i="7"/>
  <c r="Q275" i="7"/>
  <c r="K102" i="7"/>
  <c r="M102" i="7"/>
  <c r="S299" i="7"/>
  <c r="Q299" i="7"/>
  <c r="I328" i="7"/>
  <c r="S352" i="7"/>
  <c r="M352" i="7"/>
  <c r="U168" i="7"/>
  <c r="Q168" i="7"/>
  <c r="Q110" i="7"/>
  <c r="K303" i="7"/>
  <c r="O303" i="7"/>
  <c r="S122" i="7"/>
  <c r="I122" i="7"/>
  <c r="M340" i="7"/>
  <c r="G340" i="7"/>
  <c r="O214" i="7"/>
  <c r="S23" i="7"/>
  <c r="O23" i="7"/>
  <c r="O118" i="7"/>
  <c r="G118" i="7"/>
  <c r="U271" i="7"/>
  <c r="M242" i="7"/>
  <c r="S295" i="7"/>
  <c r="Q295" i="7"/>
  <c r="I295" i="7"/>
  <c r="S15" i="7"/>
  <c r="K184" i="7"/>
  <c r="S344" i="7"/>
  <c r="Q160" i="7"/>
  <c r="U160" i="7"/>
  <c r="O126" i="7"/>
  <c r="S61" i="7"/>
  <c r="O61" i="7"/>
  <c r="O393" i="7"/>
  <c r="M393" i="7"/>
  <c r="K348" i="7"/>
  <c r="G348" i="7"/>
  <c r="G397" i="7"/>
  <c r="Q397" i="7"/>
  <c r="O283" i="7"/>
  <c r="Q267" i="7"/>
  <c r="I267" i="7"/>
  <c r="G230" i="7"/>
  <c r="I385" i="7"/>
  <c r="Q385" i="7"/>
  <c r="U332" i="7"/>
  <c r="Q381" i="7"/>
  <c r="I381" i="7"/>
  <c r="K381" i="7"/>
  <c r="G401" i="7"/>
  <c r="Q401" i="7"/>
  <c r="G413" i="7"/>
  <c r="S401" i="7"/>
  <c r="K401" i="7"/>
  <c r="U324" i="7"/>
  <c r="S413" i="7"/>
  <c r="O401" i="7"/>
  <c r="S114" i="7"/>
  <c r="K114" i="7"/>
  <c r="O114" i="7"/>
  <c r="S324" i="7"/>
  <c r="R62" i="3"/>
  <c r="C78" i="5"/>
  <c r="S62" i="3"/>
  <c r="D78" i="5"/>
  <c r="E171" i="3"/>
  <c r="D445" i="7" s="1"/>
  <c r="W65" i="3"/>
  <c r="W61" i="3"/>
  <c r="D171" i="3"/>
  <c r="B186" i="9" s="1"/>
  <c r="S64" i="3"/>
  <c r="W63" i="3"/>
  <c r="G171" i="3"/>
  <c r="F445" i="7" s="1"/>
  <c r="F171" i="3"/>
  <c r="W62" i="3"/>
  <c r="V61" i="3"/>
  <c r="S65" i="3"/>
  <c r="W64" i="3"/>
  <c r="V62" i="3"/>
  <c r="P907" i="6" l="1"/>
  <c r="S90" i="7" s="1"/>
  <c r="P908" i="6"/>
  <c r="U90" i="7" s="1"/>
  <c r="P904" i="6"/>
  <c r="M90" i="7" s="1"/>
  <c r="P918" i="6"/>
  <c r="S197" i="7" s="1"/>
  <c r="P945" i="6"/>
  <c r="G143" i="7" s="1"/>
  <c r="P905" i="6"/>
  <c r="O90" i="7" s="1"/>
  <c r="AU1077" i="6"/>
  <c r="AK897" i="6"/>
  <c r="AD42" i="7"/>
  <c r="P902" i="6"/>
  <c r="I90" i="7" s="1"/>
  <c r="P906" i="6"/>
  <c r="Q90" i="7" s="1"/>
  <c r="AK901" i="6"/>
  <c r="W91" i="7"/>
  <c r="AK908" i="6"/>
  <c r="AD91" i="7"/>
  <c r="P903" i="6"/>
  <c r="K90" i="7" s="1"/>
  <c r="AK611" i="6"/>
  <c r="AD28" i="7"/>
  <c r="Q487" i="7"/>
  <c r="Q492" i="7" s="1"/>
  <c r="Q497" i="7" s="1"/>
  <c r="Q502" i="7" s="1"/>
  <c r="Q507" i="7" s="1"/>
  <c r="Q512" i="7" s="1"/>
  <c r="Q482" i="7"/>
  <c r="AL571" i="6"/>
  <c r="W72" i="7"/>
  <c r="AK604" i="6"/>
  <c r="W28" i="7"/>
  <c r="AL607" i="6"/>
  <c r="Z30" i="7"/>
  <c r="U487" i="7"/>
  <c r="U492" i="7" s="1"/>
  <c r="U497" i="7" s="1"/>
  <c r="U502" i="7" s="1"/>
  <c r="U507" i="7" s="1"/>
  <c r="U512" i="7" s="1"/>
  <c r="U482" i="7"/>
  <c r="G487" i="7"/>
  <c r="G492" i="7" s="1"/>
  <c r="G497" i="7" s="1"/>
  <c r="G502" i="7" s="1"/>
  <c r="G507" i="7" s="1"/>
  <c r="G512" i="7" s="1"/>
  <c r="G482" i="7"/>
  <c r="M487" i="7"/>
  <c r="M492" i="7" s="1"/>
  <c r="M497" i="7" s="1"/>
  <c r="M502" i="7" s="1"/>
  <c r="M507" i="7" s="1"/>
  <c r="M512" i="7" s="1"/>
  <c r="M482" i="7"/>
  <c r="AK605" i="6"/>
  <c r="X28" i="7"/>
  <c r="AL605" i="6"/>
  <c r="X30" i="7"/>
  <c r="O487" i="7"/>
  <c r="O492" i="7" s="1"/>
  <c r="O497" i="7" s="1"/>
  <c r="O502" i="7" s="1"/>
  <c r="O507" i="7" s="1"/>
  <c r="O512" i="7" s="1"/>
  <c r="O482" i="7"/>
  <c r="P901" i="6"/>
  <c r="G90" i="7" s="1"/>
  <c r="AL611" i="6"/>
  <c r="AD30" i="7"/>
  <c r="I487" i="7"/>
  <c r="I492" i="7" s="1"/>
  <c r="I497" i="7" s="1"/>
  <c r="I502" i="7" s="1"/>
  <c r="I507" i="7" s="1"/>
  <c r="I512" i="7" s="1"/>
  <c r="I482" i="7"/>
  <c r="AL578" i="6"/>
  <c r="AD72" i="7"/>
  <c r="AK578" i="6"/>
  <c r="AD70" i="7"/>
  <c r="AK608" i="6"/>
  <c r="AA28" i="7"/>
  <c r="AL604" i="6"/>
  <c r="W30" i="7"/>
  <c r="AL608" i="6"/>
  <c r="AA30" i="7"/>
  <c r="S487" i="7"/>
  <c r="S492" i="7" s="1"/>
  <c r="S497" i="7" s="1"/>
  <c r="S502" i="7" s="1"/>
  <c r="S507" i="7" s="1"/>
  <c r="S512" i="7" s="1"/>
  <c r="S482" i="7"/>
  <c r="AK607" i="6"/>
  <c r="Z28" i="7"/>
  <c r="K487" i="7"/>
  <c r="K492" i="7" s="1"/>
  <c r="K497" i="7" s="1"/>
  <c r="K502" i="7" s="1"/>
  <c r="K507" i="7" s="1"/>
  <c r="K512" i="7" s="1"/>
  <c r="K482" i="7"/>
  <c r="I14" i="9"/>
  <c r="E14" i="9"/>
  <c r="J14" i="9"/>
  <c r="G14" i="9"/>
  <c r="N13" i="9"/>
  <c r="M13" i="9"/>
  <c r="E13" i="9"/>
  <c r="G13" i="9"/>
  <c r="J13" i="9"/>
  <c r="I13" i="9"/>
  <c r="J94" i="9"/>
  <c r="E94" i="9"/>
  <c r="G94" i="9"/>
  <c r="I94" i="9"/>
  <c r="W89" i="6"/>
  <c r="W880" i="6"/>
  <c r="W881" i="6" s="1"/>
  <c r="W803" i="6"/>
  <c r="W804" i="6" s="1"/>
  <c r="AN802" i="6" s="1"/>
  <c r="AL802" i="6" s="1"/>
  <c r="W726" i="6"/>
  <c r="AN725" i="6" s="1"/>
  <c r="AL725" i="6" s="1"/>
  <c r="W66" i="6"/>
  <c r="W660" i="6"/>
  <c r="W661" i="6" s="1"/>
  <c r="W924" i="6"/>
  <c r="W891" i="6"/>
  <c r="W892" i="6" s="1"/>
  <c r="W253" i="6"/>
  <c r="W254" i="6" s="1"/>
  <c r="AM253" i="6" s="1"/>
  <c r="W609" i="6"/>
  <c r="W610" i="6" s="1"/>
  <c r="W110" i="6"/>
  <c r="AM109" i="6" s="1"/>
  <c r="W107" i="7" s="1"/>
  <c r="W242" i="6"/>
  <c r="W243" i="6" s="1"/>
  <c r="AK963" i="6"/>
  <c r="W957" i="6"/>
  <c r="W958" i="6" s="1"/>
  <c r="W386" i="6"/>
  <c r="W387" i="6" s="1"/>
  <c r="W627" i="6"/>
  <c r="AM626" i="6" s="1"/>
  <c r="AK626" i="6" s="1"/>
  <c r="W737" i="6"/>
  <c r="W738" i="6" s="1"/>
  <c r="AM737" i="6" s="1"/>
  <c r="X353" i="7" s="1"/>
  <c r="W353" i="6"/>
  <c r="AM352" i="6" s="1"/>
  <c r="AK352" i="6" s="1"/>
  <c r="W1001" i="6"/>
  <c r="W1002" i="6" s="1"/>
  <c r="N180" i="9"/>
  <c r="W176" i="6"/>
  <c r="W177" i="6" s="1"/>
  <c r="AM175" i="6" s="1"/>
  <c r="AK175" i="6" s="1"/>
  <c r="W913" i="6"/>
  <c r="W914" i="6" s="1"/>
  <c r="AM913" i="6" s="1"/>
  <c r="I1081" i="6"/>
  <c r="V1081" i="6" s="1"/>
  <c r="AD198" i="7"/>
  <c r="AL1106" i="6"/>
  <c r="U198" i="7"/>
  <c r="S426" i="7"/>
  <c r="Q91" i="7"/>
  <c r="U255" i="7"/>
  <c r="U312" i="7"/>
  <c r="S91" i="7"/>
  <c r="AK930" i="6"/>
  <c r="AD253" i="7"/>
  <c r="W18" i="7"/>
  <c r="AK853" i="6"/>
  <c r="G1083" i="6"/>
  <c r="P1083" i="6" s="1"/>
  <c r="S465" i="7" s="1"/>
  <c r="H1078" i="6"/>
  <c r="U1078" i="6" s="1"/>
  <c r="AJ1078" i="6" s="1"/>
  <c r="I1082" i="6"/>
  <c r="V1082" i="6" s="1"/>
  <c r="W113" i="7"/>
  <c r="G1077" i="6"/>
  <c r="F1083" i="6"/>
  <c r="F1082" i="6"/>
  <c r="G1084" i="6"/>
  <c r="I1078" i="6"/>
  <c r="V1078" i="6" s="1"/>
  <c r="F1080" i="6"/>
  <c r="M466" i="7" s="1"/>
  <c r="G1080" i="6"/>
  <c r="P1080" i="6" s="1"/>
  <c r="M465" i="7" s="1"/>
  <c r="H1083" i="6"/>
  <c r="U1083" i="6" s="1"/>
  <c r="AJ1083" i="6" s="1"/>
  <c r="G1078" i="6"/>
  <c r="P1078" i="6" s="1"/>
  <c r="I465" i="7" s="1"/>
  <c r="F1079" i="6"/>
  <c r="O1077" i="6" s="1"/>
  <c r="H1077" i="6"/>
  <c r="U1077" i="6" s="1"/>
  <c r="F1077" i="6"/>
  <c r="H1082" i="6"/>
  <c r="U1082" i="6" s="1"/>
  <c r="AJ1082" i="6" s="1"/>
  <c r="G1079" i="6"/>
  <c r="P1077" i="6" s="1"/>
  <c r="H1080" i="6"/>
  <c r="U1080" i="6" s="1"/>
  <c r="I1080" i="6"/>
  <c r="V1080" i="6" s="1"/>
  <c r="H1079" i="6"/>
  <c r="F1084" i="6"/>
  <c r="H1081" i="6"/>
  <c r="U1081" i="6" s="1"/>
  <c r="AJ1081" i="6" s="1"/>
  <c r="F1081" i="6"/>
  <c r="I1084" i="6"/>
  <c r="I1079" i="6"/>
  <c r="I1083" i="6"/>
  <c r="V1083" i="6" s="1"/>
  <c r="F1078" i="6"/>
  <c r="H1084" i="6"/>
  <c r="G1081" i="6"/>
  <c r="P1081" i="6" s="1"/>
  <c r="O465" i="7" s="1"/>
  <c r="I1077" i="6"/>
  <c r="V1077" i="6" s="1"/>
  <c r="G1082" i="6"/>
  <c r="P1082" i="6" s="1"/>
  <c r="Q465" i="7" s="1"/>
  <c r="AD135" i="7"/>
  <c r="W683" i="6"/>
  <c r="W684" i="6" s="1"/>
  <c r="AN681" i="6" s="1"/>
  <c r="AL681" i="6" s="1"/>
  <c r="W99" i="6"/>
  <c r="W100" i="6" s="1"/>
  <c r="W594" i="6"/>
  <c r="AN593" i="6" s="1"/>
  <c r="AL593" i="6" s="1"/>
  <c r="W339" i="7"/>
  <c r="W1034" i="6"/>
  <c r="W1035" i="6" s="1"/>
  <c r="W869" i="6"/>
  <c r="W870" i="6" s="1"/>
  <c r="AN869" i="6" s="1"/>
  <c r="AL869" i="6" s="1"/>
  <c r="W341" i="6"/>
  <c r="W342" i="6" s="1"/>
  <c r="AM341" i="6" s="1"/>
  <c r="AK341" i="6" s="1"/>
  <c r="W143" i="6"/>
  <c r="AM142" i="6" s="1"/>
  <c r="W276" i="7" s="1"/>
  <c r="W397" i="6"/>
  <c r="AN396" i="6" s="1"/>
  <c r="AL396" i="6" s="1"/>
  <c r="W308" i="6"/>
  <c r="W309" i="6" s="1"/>
  <c r="W1078" i="6"/>
  <c r="W1079" i="6" s="1"/>
  <c r="W847" i="6"/>
  <c r="W848" i="6" s="1"/>
  <c r="W990" i="6"/>
  <c r="W991" i="6" s="1"/>
  <c r="W462" i="6"/>
  <c r="W463" i="6" s="1"/>
  <c r="AM462" i="6" s="1"/>
  <c r="W275" i="6"/>
  <c r="W276" i="6" s="1"/>
  <c r="W715" i="6"/>
  <c r="W716" i="6" s="1"/>
  <c r="AN715" i="6" s="1"/>
  <c r="W363" i="6"/>
  <c r="W364" i="6" s="1"/>
  <c r="AD247" i="7"/>
  <c r="W1012" i="6"/>
  <c r="W1013" i="6" s="1"/>
  <c r="W572" i="6"/>
  <c r="AM571" i="6" s="1"/>
  <c r="W55" i="6"/>
  <c r="AN54" i="6" s="1"/>
  <c r="AL54" i="6" s="1"/>
  <c r="W396" i="7"/>
  <c r="W1023" i="6"/>
  <c r="W1024" i="6" s="1"/>
  <c r="W132" i="6"/>
  <c r="W133" i="6" s="1"/>
  <c r="W1067" i="6"/>
  <c r="W1068" i="6" s="1"/>
  <c r="W421" i="6"/>
  <c r="AN418" i="6" s="1"/>
  <c r="AL418" i="6" s="1"/>
  <c r="W319" i="6"/>
  <c r="W320" i="6" s="1"/>
  <c r="AM318" i="6" s="1"/>
  <c r="AK318" i="6" s="1"/>
  <c r="W154" i="6"/>
  <c r="W155" i="6" s="1"/>
  <c r="AD357" i="7"/>
  <c r="W44" i="6"/>
  <c r="W45" i="6" s="1"/>
  <c r="AM44" i="6" s="1"/>
  <c r="AD426" i="7"/>
  <c r="W386" i="7"/>
  <c r="W1045" i="6"/>
  <c r="W1046" i="6" s="1"/>
  <c r="W1056" i="6"/>
  <c r="W1057" i="6" s="1"/>
  <c r="W858" i="6"/>
  <c r="W859" i="6" s="1"/>
  <c r="AM857" i="6" s="1"/>
  <c r="AK857" i="6" s="1"/>
  <c r="W433" i="6"/>
  <c r="W434" i="6" s="1"/>
  <c r="W231" i="6"/>
  <c r="W232" i="6" s="1"/>
  <c r="W411" i="6"/>
  <c r="AM410" i="6" s="1"/>
  <c r="AK410" i="6" s="1"/>
  <c r="W968" i="6"/>
  <c r="W969" i="6" s="1"/>
  <c r="W442" i="6"/>
  <c r="W443" i="6" s="1"/>
  <c r="W297" i="6"/>
  <c r="W298" i="6" s="1"/>
  <c r="AN297" i="6" s="1"/>
  <c r="W290" i="7"/>
  <c r="W946" i="6"/>
  <c r="W947" i="6" s="1"/>
  <c r="AM945" i="6" s="1"/>
  <c r="AK945" i="6" s="1"/>
  <c r="W1089" i="6"/>
  <c r="W1090" i="6" s="1"/>
  <c r="W219" i="7"/>
  <c r="W335" i="7"/>
  <c r="W638" i="6"/>
  <c r="W639" i="6" s="1"/>
  <c r="AD133" i="7"/>
  <c r="AD308" i="7"/>
  <c r="W770" i="6"/>
  <c r="AN769" i="6" s="1"/>
  <c r="AL769" i="6" s="1"/>
  <c r="W781" i="6"/>
  <c r="AN780" i="6" s="1"/>
  <c r="AL780" i="6" s="1"/>
  <c r="W979" i="6"/>
  <c r="W980" i="6" s="1"/>
  <c r="W165" i="6"/>
  <c r="W166" i="6" s="1"/>
  <c r="AL787" i="6"/>
  <c r="W264" i="6"/>
  <c r="W265" i="6" s="1"/>
  <c r="Y179" i="7"/>
  <c r="AL776" i="6"/>
  <c r="W217" i="7"/>
  <c r="W115" i="7"/>
  <c r="W22" i="6"/>
  <c r="W23" i="6" s="1"/>
  <c r="W24" i="6" s="1"/>
  <c r="W25" i="6" s="1"/>
  <c r="AK831" i="6"/>
  <c r="W329" i="7"/>
  <c r="W935" i="6"/>
  <c r="AM934" i="6" s="1"/>
  <c r="AK934" i="6" s="1"/>
  <c r="AL798" i="6"/>
  <c r="W902" i="6"/>
  <c r="W903" i="6" s="1"/>
  <c r="W792" i="6"/>
  <c r="W793" i="6" s="1"/>
  <c r="AN792" i="6" s="1"/>
  <c r="AL792" i="6" s="1"/>
  <c r="W704" i="6"/>
  <c r="W705" i="6" s="1"/>
  <c r="W77" i="6"/>
  <c r="AM76" i="6" s="1"/>
  <c r="AK76" i="6" s="1"/>
  <c r="W223" i="7"/>
  <c r="W825" i="6"/>
  <c r="W826" i="6" s="1"/>
  <c r="W814" i="6"/>
  <c r="W815" i="6" s="1"/>
  <c r="AN814" i="6" s="1"/>
  <c r="AL814" i="6" s="1"/>
  <c r="W378" i="6"/>
  <c r="AM374" i="6" s="1"/>
  <c r="AK374" i="6" s="1"/>
  <c r="W209" i="6"/>
  <c r="W210" i="6" s="1"/>
  <c r="AM209" i="6" s="1"/>
  <c r="W121" i="6"/>
  <c r="W122" i="6" s="1"/>
  <c r="AL853" i="6"/>
  <c r="AD141" i="7"/>
  <c r="AK974" i="6"/>
  <c r="AK809" i="6"/>
  <c r="AD229" i="7"/>
  <c r="AD394" i="7"/>
  <c r="AD359" i="7"/>
  <c r="AD249" i="7"/>
  <c r="AD310" i="7"/>
  <c r="AD131" i="7"/>
  <c r="AD396" i="7"/>
  <c r="AK787" i="6"/>
  <c r="AD420" i="7"/>
  <c r="AD144" i="7"/>
  <c r="AD418" i="7"/>
  <c r="AD361" i="7"/>
  <c r="AD227" i="7"/>
  <c r="AJ984" i="6"/>
  <c r="AJ1077" i="6"/>
  <c r="AJ1084" i="6"/>
  <c r="AM549" i="6"/>
  <c r="AK549" i="6" s="1"/>
  <c r="AN556" i="6"/>
  <c r="AL556" i="6" s="1"/>
  <c r="AM556" i="6"/>
  <c r="AK556" i="6" s="1"/>
  <c r="AJ978" i="6"/>
  <c r="AJ985" i="6"/>
  <c r="AN545" i="6"/>
  <c r="AL545" i="6" s="1"/>
  <c r="AM545" i="6"/>
  <c r="AK545" i="6" s="1"/>
  <c r="W517" i="6"/>
  <c r="W518" i="6" s="1"/>
  <c r="AN517" i="6" s="1"/>
  <c r="AL517" i="6" s="1"/>
  <c r="AM523" i="6"/>
  <c r="AK523" i="6" s="1"/>
  <c r="AN523" i="6"/>
  <c r="AL523" i="6" s="1"/>
  <c r="G465" i="7"/>
  <c r="J33" i="9"/>
  <c r="W550" i="6"/>
  <c r="W551" i="6" s="1"/>
  <c r="AM550" i="6" s="1"/>
  <c r="AK550" i="6" s="1"/>
  <c r="G313" i="7"/>
  <c r="AM475" i="6"/>
  <c r="AK475" i="6" s="1"/>
  <c r="R5" i="9"/>
  <c r="AN473" i="6"/>
  <c r="AL473" i="6" s="1"/>
  <c r="Y177" i="7"/>
  <c r="AM409" i="6"/>
  <c r="AK409" i="6" s="1"/>
  <c r="AN693" i="6"/>
  <c r="AL693" i="6" s="1"/>
  <c r="AN286" i="6"/>
  <c r="AL286" i="6" s="1"/>
  <c r="AM516" i="6"/>
  <c r="AN516" i="6"/>
  <c r="AL516" i="6" s="1"/>
  <c r="AN549" i="6"/>
  <c r="AL549" i="6" s="1"/>
  <c r="W327" i="7"/>
  <c r="W121" i="7"/>
  <c r="D95" i="9"/>
  <c r="K150" i="15"/>
  <c r="K151" i="15"/>
  <c r="K149" i="15"/>
  <c r="K148" i="15"/>
  <c r="E158" i="15"/>
  <c r="E159" i="15"/>
  <c r="E161" i="15"/>
  <c r="E160" i="15"/>
  <c r="F180" i="15"/>
  <c r="F178" i="15"/>
  <c r="F179" i="15"/>
  <c r="F181" i="15"/>
  <c r="I153" i="15"/>
  <c r="I154" i="15"/>
  <c r="I155" i="15"/>
  <c r="I156" i="15"/>
  <c r="F164" i="15"/>
  <c r="F165" i="15"/>
  <c r="F166" i="15"/>
  <c r="F163" i="15"/>
  <c r="L159" i="15"/>
  <c r="L158" i="15"/>
  <c r="L160" i="15"/>
  <c r="L161" i="15"/>
  <c r="L173" i="15"/>
  <c r="L176" i="15"/>
  <c r="L175" i="15"/>
  <c r="L174" i="15"/>
  <c r="F169" i="15"/>
  <c r="F170" i="15"/>
  <c r="F171" i="15"/>
  <c r="F168" i="15"/>
  <c r="L154" i="15"/>
  <c r="L153" i="15"/>
  <c r="L155" i="15"/>
  <c r="L156" i="15"/>
  <c r="J149" i="15"/>
  <c r="J150" i="15"/>
  <c r="J148" i="15"/>
  <c r="J151" i="15"/>
  <c r="J154" i="15"/>
  <c r="J155" i="15"/>
  <c r="J153" i="15"/>
  <c r="J156" i="15"/>
  <c r="K165" i="15"/>
  <c r="K166" i="15"/>
  <c r="K164" i="15"/>
  <c r="K163" i="15"/>
  <c r="G170" i="15"/>
  <c r="G171" i="15"/>
  <c r="G169" i="15"/>
  <c r="G168" i="15"/>
  <c r="G160" i="15"/>
  <c r="G161" i="15"/>
  <c r="G159" i="15"/>
  <c r="G158" i="15"/>
  <c r="I163" i="15"/>
  <c r="I164" i="15"/>
  <c r="I165" i="15"/>
  <c r="I166" i="15"/>
  <c r="H151" i="15"/>
  <c r="H148" i="15"/>
  <c r="H150" i="15"/>
  <c r="H149" i="15"/>
  <c r="J164" i="15"/>
  <c r="J165" i="15"/>
  <c r="J163" i="15"/>
  <c r="J166" i="15"/>
  <c r="I158" i="15"/>
  <c r="I159" i="15"/>
  <c r="I161" i="15"/>
  <c r="I160" i="15"/>
  <c r="E168" i="15"/>
  <c r="E169" i="15"/>
  <c r="E171" i="15"/>
  <c r="E170" i="15"/>
  <c r="L169" i="15"/>
  <c r="L168" i="15"/>
  <c r="L170" i="15"/>
  <c r="L171" i="15"/>
  <c r="L181" i="15"/>
  <c r="L178" i="15"/>
  <c r="L180" i="15"/>
  <c r="L179" i="15"/>
  <c r="K180" i="15"/>
  <c r="K178" i="15"/>
  <c r="K179" i="15"/>
  <c r="K181" i="15"/>
  <c r="L164" i="15"/>
  <c r="L163" i="15"/>
  <c r="L165" i="15"/>
  <c r="L166" i="15"/>
  <c r="E163" i="15"/>
  <c r="E164" i="15"/>
  <c r="E166" i="15"/>
  <c r="E165" i="15"/>
  <c r="G155" i="15"/>
  <c r="G156" i="15"/>
  <c r="G154" i="15"/>
  <c r="G153" i="15"/>
  <c r="J159" i="15"/>
  <c r="J160" i="15"/>
  <c r="J158" i="15"/>
  <c r="J161" i="15"/>
  <c r="W213" i="7"/>
  <c r="F95" i="9"/>
  <c r="E179" i="15"/>
  <c r="E180" i="15"/>
  <c r="E178" i="15"/>
  <c r="E181" i="15"/>
  <c r="K176" i="15"/>
  <c r="K175" i="15"/>
  <c r="K173" i="15"/>
  <c r="K174" i="15"/>
  <c r="G181" i="15"/>
  <c r="G180" i="15"/>
  <c r="G179" i="15"/>
  <c r="G178" i="15"/>
  <c r="G150" i="15"/>
  <c r="G151" i="15"/>
  <c r="G149" i="15"/>
  <c r="G148" i="15"/>
  <c r="G165" i="15"/>
  <c r="G166" i="15"/>
  <c r="G164" i="15"/>
  <c r="G163" i="15"/>
  <c r="H171" i="15"/>
  <c r="H168" i="15"/>
  <c r="H170" i="15"/>
  <c r="H169" i="15"/>
  <c r="K155" i="15"/>
  <c r="K156" i="15"/>
  <c r="K154" i="15"/>
  <c r="K153" i="15"/>
  <c r="I168" i="15"/>
  <c r="I169" i="15"/>
  <c r="I171" i="15"/>
  <c r="I170" i="15"/>
  <c r="I184" i="15"/>
  <c r="I178" i="15"/>
  <c r="I180" i="15"/>
  <c r="I181" i="15"/>
  <c r="I179" i="15"/>
  <c r="I174" i="15"/>
  <c r="I173" i="15"/>
  <c r="I176" i="15"/>
  <c r="I175" i="15"/>
  <c r="H173" i="15"/>
  <c r="H175" i="15"/>
  <c r="H174" i="15"/>
  <c r="H176" i="15"/>
  <c r="H156" i="15"/>
  <c r="H153" i="15"/>
  <c r="H155" i="15"/>
  <c r="H154" i="15"/>
  <c r="F149" i="15"/>
  <c r="F150" i="15"/>
  <c r="F148" i="15"/>
  <c r="F151" i="15"/>
  <c r="J169" i="15"/>
  <c r="J170" i="15"/>
  <c r="J168" i="15"/>
  <c r="J171" i="15"/>
  <c r="G176" i="15"/>
  <c r="G174" i="15"/>
  <c r="G173" i="15"/>
  <c r="G175" i="15"/>
  <c r="F154" i="15"/>
  <c r="F155" i="15"/>
  <c r="F153" i="15"/>
  <c r="F156" i="15"/>
  <c r="F175" i="15"/>
  <c r="F173" i="15"/>
  <c r="F176" i="15"/>
  <c r="F174" i="15"/>
  <c r="K170" i="15"/>
  <c r="K171" i="15"/>
  <c r="K169" i="15"/>
  <c r="K168" i="15"/>
  <c r="J175" i="15"/>
  <c r="J173" i="15"/>
  <c r="J176" i="15"/>
  <c r="J174" i="15"/>
  <c r="F159" i="15"/>
  <c r="F160" i="15"/>
  <c r="F158" i="15"/>
  <c r="F161" i="15"/>
  <c r="E153" i="15"/>
  <c r="E154" i="15"/>
  <c r="E156" i="15"/>
  <c r="E155" i="15"/>
  <c r="E173" i="15"/>
  <c r="E174" i="15"/>
  <c r="E175" i="15"/>
  <c r="E176" i="15"/>
  <c r="I148" i="15"/>
  <c r="I149" i="15"/>
  <c r="I151" i="15"/>
  <c r="I150" i="15"/>
  <c r="H161" i="15"/>
  <c r="H158" i="15"/>
  <c r="H160" i="15"/>
  <c r="H159" i="15"/>
  <c r="H181" i="15"/>
  <c r="H178" i="15"/>
  <c r="H179" i="15"/>
  <c r="H180" i="15"/>
  <c r="E148" i="15"/>
  <c r="E149" i="15"/>
  <c r="E151" i="15"/>
  <c r="E150" i="15"/>
  <c r="L149" i="15"/>
  <c r="L148" i="15"/>
  <c r="L150" i="15"/>
  <c r="L151" i="15"/>
  <c r="H166" i="15"/>
  <c r="H163" i="15"/>
  <c r="H165" i="15"/>
  <c r="H164" i="15"/>
  <c r="K160" i="15"/>
  <c r="K161" i="15"/>
  <c r="K159" i="15"/>
  <c r="K158" i="15"/>
  <c r="J180" i="15"/>
  <c r="J179" i="15"/>
  <c r="J181" i="15"/>
  <c r="J178" i="15"/>
  <c r="K368" i="7"/>
  <c r="W56" i="7"/>
  <c r="I993" i="6"/>
  <c r="V993" i="6" s="1"/>
  <c r="I994" i="6"/>
  <c r="V994" i="6" s="1"/>
  <c r="G992" i="6"/>
  <c r="P992" i="6" s="1"/>
  <c r="M441" i="7" s="1"/>
  <c r="F991" i="6"/>
  <c r="G991" i="6"/>
  <c r="H993" i="6"/>
  <c r="U993" i="6" s="1"/>
  <c r="AJ993" i="6" s="1"/>
  <c r="F990" i="6"/>
  <c r="I442" i="7" s="1"/>
  <c r="AU1088" i="6"/>
  <c r="AT1088" i="6"/>
  <c r="AT1011" i="6"/>
  <c r="AU1011" i="6"/>
  <c r="AU1022" i="6"/>
  <c r="AT1022" i="6"/>
  <c r="G995" i="6"/>
  <c r="P995" i="6" s="1"/>
  <c r="S441" i="7" s="1"/>
  <c r="AT989" i="6"/>
  <c r="AU989" i="6"/>
  <c r="AU1055" i="6"/>
  <c r="AT1055" i="6"/>
  <c r="AU1066" i="6"/>
  <c r="AT1066" i="6"/>
  <c r="H1037" i="6"/>
  <c r="U1037" i="6" s="1"/>
  <c r="AJ1037" i="6" s="1"/>
  <c r="AT1033" i="6"/>
  <c r="AU1033" i="6"/>
  <c r="AU1099" i="6"/>
  <c r="AT1099" i="6"/>
  <c r="AU1044" i="6"/>
  <c r="AT1044" i="6"/>
  <c r="AN408" i="6"/>
  <c r="N117" i="9" s="1"/>
  <c r="AM54" i="6"/>
  <c r="AK54" i="6" s="1"/>
  <c r="AM395" i="6"/>
  <c r="AK395" i="6" s="1"/>
  <c r="AM418" i="6"/>
  <c r="AK418" i="6" s="1"/>
  <c r="AM769" i="6"/>
  <c r="AK769" i="6" s="1"/>
  <c r="D96" i="9"/>
  <c r="F96" i="9"/>
  <c r="W191" i="7"/>
  <c r="AK495" i="6"/>
  <c r="W272" i="7"/>
  <c r="W406" i="7"/>
  <c r="AK649" i="6"/>
  <c r="E93" i="9"/>
  <c r="G93" i="9"/>
  <c r="E140" i="9"/>
  <c r="G140" i="9"/>
  <c r="E67" i="9"/>
  <c r="G67" i="9"/>
  <c r="E118" i="9"/>
  <c r="G118" i="9"/>
  <c r="G9" i="9"/>
  <c r="E9" i="9"/>
  <c r="G56" i="15"/>
  <c r="G55" i="15"/>
  <c r="H71" i="15"/>
  <c r="H70" i="15"/>
  <c r="L74" i="15"/>
  <c r="L73" i="15"/>
  <c r="K112" i="15"/>
  <c r="K113" i="15"/>
  <c r="I100" i="15"/>
  <c r="I101" i="15"/>
  <c r="E76" i="15"/>
  <c r="E77" i="15"/>
  <c r="H22" i="15"/>
  <c r="H23" i="15"/>
  <c r="K47" i="15"/>
  <c r="K46" i="15"/>
  <c r="I94" i="15"/>
  <c r="I95" i="15"/>
  <c r="G83" i="15"/>
  <c r="G82" i="15"/>
  <c r="L133" i="15"/>
  <c r="L134" i="15"/>
  <c r="E65" i="15"/>
  <c r="E64" i="15"/>
  <c r="L25" i="15"/>
  <c r="L26" i="15"/>
  <c r="K80" i="15"/>
  <c r="K79" i="15"/>
  <c r="H143" i="15"/>
  <c r="H142" i="15"/>
  <c r="E112" i="15"/>
  <c r="E113" i="15"/>
  <c r="F85" i="15"/>
  <c r="F86" i="15"/>
  <c r="E34" i="15"/>
  <c r="E35" i="15"/>
  <c r="I70" i="15"/>
  <c r="I71" i="15"/>
  <c r="J100" i="15"/>
  <c r="J101" i="15"/>
  <c r="H125" i="15"/>
  <c r="H124" i="15"/>
  <c r="I112" i="15"/>
  <c r="I113" i="15"/>
  <c r="K95" i="15"/>
  <c r="K94" i="15"/>
  <c r="K122" i="15"/>
  <c r="K121" i="15"/>
  <c r="J44" i="15"/>
  <c r="J43" i="15"/>
  <c r="F65" i="15"/>
  <c r="F64" i="15"/>
  <c r="E109" i="15"/>
  <c r="E110" i="15"/>
  <c r="I140" i="15"/>
  <c r="I139" i="15"/>
  <c r="G116" i="15"/>
  <c r="G115" i="15"/>
  <c r="F53" i="15"/>
  <c r="F52" i="15"/>
  <c r="H44" i="15"/>
  <c r="H43" i="15"/>
  <c r="G125" i="15"/>
  <c r="G124" i="15"/>
  <c r="J131" i="15"/>
  <c r="J130" i="15"/>
  <c r="F122" i="15"/>
  <c r="F121" i="15"/>
  <c r="J26" i="15"/>
  <c r="J25" i="15"/>
  <c r="L61" i="15"/>
  <c r="L62" i="15"/>
  <c r="L139" i="15"/>
  <c r="L140" i="15"/>
  <c r="F115" i="15"/>
  <c r="F116" i="15"/>
  <c r="E125" i="15"/>
  <c r="E124" i="15"/>
  <c r="K119" i="15"/>
  <c r="K118" i="15"/>
  <c r="I25" i="15"/>
  <c r="I26" i="15"/>
  <c r="L37" i="15"/>
  <c r="L38" i="15"/>
  <c r="J70" i="15"/>
  <c r="J71" i="15"/>
  <c r="I127" i="15"/>
  <c r="I128" i="15"/>
  <c r="I98" i="15"/>
  <c r="I97" i="15"/>
  <c r="AN351" i="6"/>
  <c r="AL351" i="6" s="1"/>
  <c r="G45" i="9"/>
  <c r="E45" i="9"/>
  <c r="G82" i="9"/>
  <c r="E82" i="9"/>
  <c r="E79" i="9"/>
  <c r="G79" i="9"/>
  <c r="E107" i="9"/>
  <c r="G107" i="9"/>
  <c r="E49" i="9"/>
  <c r="G49" i="9"/>
  <c r="E59" i="9"/>
  <c r="G59" i="9"/>
  <c r="E58" i="9"/>
  <c r="G58" i="9"/>
  <c r="E46" i="9"/>
  <c r="G46" i="9"/>
  <c r="G69" i="9"/>
  <c r="E69" i="9"/>
  <c r="E68" i="9"/>
  <c r="G68" i="9"/>
  <c r="E91" i="9"/>
  <c r="G91" i="9"/>
  <c r="G36" i="9"/>
  <c r="E36" i="9"/>
  <c r="E12" i="9"/>
  <c r="G12" i="9"/>
  <c r="E106" i="9"/>
  <c r="G106" i="9"/>
  <c r="E131" i="9"/>
  <c r="G131" i="9"/>
  <c r="G153" i="9"/>
  <c r="E153" i="9"/>
  <c r="E105" i="9"/>
  <c r="G105" i="9"/>
  <c r="I65" i="15"/>
  <c r="I64" i="15"/>
  <c r="G40" i="15"/>
  <c r="G41" i="15"/>
  <c r="H77" i="15"/>
  <c r="H76" i="15"/>
  <c r="E59" i="15"/>
  <c r="E58" i="15"/>
  <c r="L79" i="15"/>
  <c r="L80" i="15"/>
  <c r="H95" i="15"/>
  <c r="H94" i="15"/>
  <c r="I115" i="15"/>
  <c r="I116" i="15"/>
  <c r="G146" i="15"/>
  <c r="G145" i="15"/>
  <c r="J125" i="15"/>
  <c r="J124" i="15"/>
  <c r="E26" i="15"/>
  <c r="E25" i="15"/>
  <c r="J41" i="15"/>
  <c r="J40" i="15"/>
  <c r="I29" i="15"/>
  <c r="I28" i="15"/>
  <c r="G44" i="15"/>
  <c r="G43" i="15"/>
  <c r="F58" i="15"/>
  <c r="F59" i="15"/>
  <c r="H97" i="15"/>
  <c r="H98" i="15"/>
  <c r="G137" i="15"/>
  <c r="G136" i="15"/>
  <c r="E85" i="15"/>
  <c r="E86" i="15"/>
  <c r="K115" i="15"/>
  <c r="K116" i="15"/>
  <c r="E145" i="15"/>
  <c r="E146" i="15"/>
  <c r="F112" i="15"/>
  <c r="F113" i="15"/>
  <c r="I77" i="15"/>
  <c r="I76" i="15"/>
  <c r="L67" i="15"/>
  <c r="L68" i="15"/>
  <c r="I59" i="15"/>
  <c r="I58" i="15"/>
  <c r="K28" i="15"/>
  <c r="K29" i="15"/>
  <c r="G47" i="15"/>
  <c r="G46" i="15"/>
  <c r="I91" i="15"/>
  <c r="I92" i="15"/>
  <c r="J95" i="15"/>
  <c r="J94" i="15"/>
  <c r="J118" i="15"/>
  <c r="J119" i="15"/>
  <c r="E89" i="15"/>
  <c r="E88" i="15"/>
  <c r="F124" i="15"/>
  <c r="F125" i="15"/>
  <c r="I43" i="15"/>
  <c r="I44" i="15"/>
  <c r="G62" i="15"/>
  <c r="G61" i="15"/>
  <c r="J29" i="15"/>
  <c r="J28" i="15"/>
  <c r="F38" i="15"/>
  <c r="F37" i="15"/>
  <c r="J58" i="15"/>
  <c r="J59" i="15"/>
  <c r="I103" i="15"/>
  <c r="I104" i="15"/>
  <c r="K88" i="15"/>
  <c r="K89" i="15"/>
  <c r="F128" i="15"/>
  <c r="F127" i="15"/>
  <c r="F106" i="15"/>
  <c r="F107" i="15"/>
  <c r="L130" i="15"/>
  <c r="L131" i="15"/>
  <c r="H29" i="15"/>
  <c r="H28" i="15"/>
  <c r="E46" i="15"/>
  <c r="E47" i="15"/>
  <c r="I22" i="15"/>
  <c r="I23" i="15"/>
  <c r="K52" i="15"/>
  <c r="K53" i="15"/>
  <c r="I61" i="15"/>
  <c r="I62" i="15"/>
  <c r="K145" i="15"/>
  <c r="K146" i="15"/>
  <c r="I119" i="15"/>
  <c r="I118" i="15"/>
  <c r="J121" i="15"/>
  <c r="J122" i="15"/>
  <c r="F80" i="15"/>
  <c r="F79" i="15"/>
  <c r="E101" i="15"/>
  <c r="E100" i="15"/>
  <c r="L29" i="15"/>
  <c r="L28" i="15"/>
  <c r="G76" i="15"/>
  <c r="G77" i="15"/>
  <c r="H58" i="15"/>
  <c r="H59" i="15"/>
  <c r="J23" i="15"/>
  <c r="J22" i="15"/>
  <c r="E62" i="15"/>
  <c r="E61" i="15"/>
  <c r="F89" i="15"/>
  <c r="F88" i="15"/>
  <c r="F134" i="15"/>
  <c r="F133" i="15"/>
  <c r="L113" i="15"/>
  <c r="L112" i="15"/>
  <c r="E140" i="15"/>
  <c r="E139" i="15"/>
  <c r="K92" i="15"/>
  <c r="K91" i="15"/>
  <c r="H128" i="15"/>
  <c r="H127" i="15"/>
  <c r="K49" i="15"/>
  <c r="K50" i="15"/>
  <c r="K41" i="15"/>
  <c r="K40" i="15"/>
  <c r="F35" i="15"/>
  <c r="F34" i="15"/>
  <c r="F68" i="15"/>
  <c r="F67" i="15"/>
  <c r="H64" i="15"/>
  <c r="H65" i="15"/>
  <c r="L86" i="15"/>
  <c r="L85" i="15"/>
  <c r="I121" i="15"/>
  <c r="I122" i="15"/>
  <c r="G92" i="15"/>
  <c r="G91" i="15"/>
  <c r="H137" i="15"/>
  <c r="H136" i="15"/>
  <c r="I88" i="15"/>
  <c r="I89" i="15"/>
  <c r="L128" i="15"/>
  <c r="L127" i="15"/>
  <c r="H34" i="15"/>
  <c r="H35" i="15"/>
  <c r="H67" i="15"/>
  <c r="H68" i="15"/>
  <c r="I47" i="15"/>
  <c r="I46" i="15"/>
  <c r="E50" i="15"/>
  <c r="E49" i="15"/>
  <c r="G86" i="15"/>
  <c r="G85" i="15"/>
  <c r="H118" i="15"/>
  <c r="H119" i="15"/>
  <c r="E130" i="15"/>
  <c r="E131" i="15"/>
  <c r="E95" i="15"/>
  <c r="E94" i="15"/>
  <c r="I80" i="15"/>
  <c r="I79" i="15"/>
  <c r="H101" i="15"/>
  <c r="H100" i="15"/>
  <c r="E56" i="9"/>
  <c r="G56" i="9"/>
  <c r="G47" i="9"/>
  <c r="E47" i="9"/>
  <c r="G24" i="9"/>
  <c r="E24" i="9"/>
  <c r="E26" i="9"/>
  <c r="G26" i="9"/>
  <c r="E162" i="9"/>
  <c r="G162" i="9"/>
  <c r="G129" i="9"/>
  <c r="E129" i="9"/>
  <c r="E166" i="9"/>
  <c r="G166" i="9"/>
  <c r="E57" i="9"/>
  <c r="G57" i="9"/>
  <c r="G80" i="9"/>
  <c r="E80" i="9"/>
  <c r="E96" i="9"/>
  <c r="G96" i="9"/>
  <c r="H37" i="15"/>
  <c r="H38" i="15"/>
  <c r="G53" i="15"/>
  <c r="G52" i="15"/>
  <c r="J89" i="15"/>
  <c r="J88" i="15"/>
  <c r="J133" i="15"/>
  <c r="J134" i="15"/>
  <c r="J143" i="15"/>
  <c r="J142" i="15"/>
  <c r="K38" i="15"/>
  <c r="K37" i="15"/>
  <c r="F73" i="15"/>
  <c r="F74" i="15"/>
  <c r="H140" i="15"/>
  <c r="H139" i="15"/>
  <c r="J128" i="15"/>
  <c r="J127" i="15"/>
  <c r="E106" i="15"/>
  <c r="E107" i="15"/>
  <c r="H110" i="15"/>
  <c r="H109" i="15"/>
  <c r="J83" i="15"/>
  <c r="J82" i="15"/>
  <c r="E38" i="15"/>
  <c r="E37" i="15"/>
  <c r="L44" i="15"/>
  <c r="L43" i="15"/>
  <c r="J137" i="15"/>
  <c r="J136" i="15"/>
  <c r="I146" i="15"/>
  <c r="I145" i="15"/>
  <c r="G122" i="15"/>
  <c r="G121" i="15"/>
  <c r="K22" i="15"/>
  <c r="K23" i="15"/>
  <c r="G25" i="15"/>
  <c r="G26" i="15"/>
  <c r="F55" i="15"/>
  <c r="F56" i="15"/>
  <c r="H85" i="15"/>
  <c r="H86" i="15"/>
  <c r="L145" i="15"/>
  <c r="L146" i="15"/>
  <c r="L40" i="15"/>
  <c r="L41" i="15"/>
  <c r="J56" i="15"/>
  <c r="J55" i="15"/>
  <c r="H113" i="15"/>
  <c r="H112" i="15"/>
  <c r="E143" i="15"/>
  <c r="E142" i="15"/>
  <c r="H92" i="15"/>
  <c r="H91" i="15"/>
  <c r="H131" i="15"/>
  <c r="H130" i="15"/>
  <c r="G71" i="15"/>
  <c r="G70" i="15"/>
  <c r="I55" i="15"/>
  <c r="I56" i="15"/>
  <c r="I82" i="15"/>
  <c r="I83" i="15"/>
  <c r="I85" i="15"/>
  <c r="I86" i="15"/>
  <c r="L104" i="15"/>
  <c r="L103" i="15"/>
  <c r="J77" i="15"/>
  <c r="J76" i="15"/>
  <c r="H32" i="15"/>
  <c r="H31" i="15"/>
  <c r="J38" i="15"/>
  <c r="J37" i="15"/>
  <c r="E80" i="15"/>
  <c r="E79" i="15"/>
  <c r="H83" i="15"/>
  <c r="H82" i="15"/>
  <c r="F62" i="15"/>
  <c r="F61" i="15"/>
  <c r="K44" i="15"/>
  <c r="K43" i="15"/>
  <c r="E115" i="15"/>
  <c r="E116" i="15"/>
  <c r="K136" i="15"/>
  <c r="K137" i="15"/>
  <c r="AM21" i="6"/>
  <c r="AK21" i="6" s="1"/>
  <c r="AN375" i="6"/>
  <c r="G466" i="7"/>
  <c r="G23" i="9"/>
  <c r="E23" i="9"/>
  <c r="E127" i="9"/>
  <c r="G127" i="9"/>
  <c r="E119" i="9"/>
  <c r="G119" i="9"/>
  <c r="G130" i="9"/>
  <c r="E130" i="9"/>
  <c r="G165" i="9"/>
  <c r="E165" i="9"/>
  <c r="E11" i="9"/>
  <c r="G11" i="9"/>
  <c r="G33" i="9"/>
  <c r="E33" i="9"/>
  <c r="E90" i="9"/>
  <c r="G90" i="9"/>
  <c r="E92" i="9"/>
  <c r="G92" i="9"/>
  <c r="E138" i="9"/>
  <c r="G138" i="9"/>
  <c r="E70" i="9"/>
  <c r="G70" i="9"/>
  <c r="G109" i="9"/>
  <c r="E109" i="9"/>
  <c r="G117" i="9"/>
  <c r="E117" i="9"/>
  <c r="E142" i="9"/>
  <c r="G142" i="9"/>
  <c r="E10" i="9"/>
  <c r="G10" i="9"/>
  <c r="G95" i="9"/>
  <c r="E95" i="9"/>
  <c r="E150" i="9"/>
  <c r="G150" i="9"/>
  <c r="G164" i="9"/>
  <c r="E164" i="9"/>
  <c r="J32" i="15"/>
  <c r="J31" i="15"/>
  <c r="L22" i="15"/>
  <c r="L23" i="15"/>
  <c r="L50" i="15"/>
  <c r="L49" i="15"/>
  <c r="F28" i="15"/>
  <c r="F29" i="15"/>
  <c r="J68" i="15"/>
  <c r="J67" i="15"/>
  <c r="E82" i="15"/>
  <c r="E83" i="15"/>
  <c r="E104" i="15"/>
  <c r="E103" i="15"/>
  <c r="H122" i="15"/>
  <c r="H121" i="15"/>
  <c r="F92" i="15"/>
  <c r="F91" i="15"/>
  <c r="F119" i="15"/>
  <c r="F118" i="15"/>
  <c r="E137" i="15"/>
  <c r="E136" i="15"/>
  <c r="F32" i="15"/>
  <c r="F31" i="15"/>
  <c r="E52" i="15"/>
  <c r="E53" i="15"/>
  <c r="L55" i="15"/>
  <c r="L56" i="15"/>
  <c r="I50" i="15"/>
  <c r="I49" i="15"/>
  <c r="L64" i="15"/>
  <c r="L65" i="15"/>
  <c r="K101" i="15"/>
  <c r="K100" i="15"/>
  <c r="L88" i="15"/>
  <c r="L89" i="15"/>
  <c r="I125" i="15"/>
  <c r="I124" i="15"/>
  <c r="F142" i="15"/>
  <c r="F143" i="15"/>
  <c r="K56" i="15"/>
  <c r="K55" i="15"/>
  <c r="L71" i="15"/>
  <c r="L70" i="15"/>
  <c r="G73" i="15"/>
  <c r="G74" i="15"/>
  <c r="G34" i="15"/>
  <c r="G35" i="15"/>
  <c r="F50" i="15"/>
  <c r="F49" i="15"/>
  <c r="K107" i="15"/>
  <c r="K106" i="15"/>
  <c r="E98" i="15"/>
  <c r="E97" i="15"/>
  <c r="G131" i="15"/>
  <c r="G130" i="15"/>
  <c r="L109" i="15"/>
  <c r="L110" i="15"/>
  <c r="E133" i="15"/>
  <c r="E134" i="15"/>
  <c r="H46" i="15"/>
  <c r="H47" i="15"/>
  <c r="E67" i="15"/>
  <c r="E68" i="15"/>
  <c r="H41" i="15"/>
  <c r="H40" i="15"/>
  <c r="J50" i="15"/>
  <c r="J49" i="15"/>
  <c r="G80" i="15"/>
  <c r="G79" i="15"/>
  <c r="F136" i="15"/>
  <c r="F137" i="15"/>
  <c r="L97" i="15"/>
  <c r="L98" i="15"/>
  <c r="K134" i="15"/>
  <c r="K133" i="15"/>
  <c r="L116" i="15"/>
  <c r="L115" i="15"/>
  <c r="G140" i="15"/>
  <c r="G139" i="15"/>
  <c r="G37" i="15"/>
  <c r="G38" i="15"/>
  <c r="H50" i="15"/>
  <c r="H49" i="15"/>
  <c r="K25" i="15"/>
  <c r="K26" i="15"/>
  <c r="E70" i="15"/>
  <c r="E71" i="15"/>
  <c r="G67" i="15"/>
  <c r="G68" i="15"/>
  <c r="L124" i="15"/>
  <c r="L125" i="15"/>
  <c r="K76" i="15"/>
  <c r="K77" i="15"/>
  <c r="K128" i="15"/>
  <c r="K127" i="15"/>
  <c r="L82" i="15"/>
  <c r="L83" i="15"/>
  <c r="H104" i="15"/>
  <c r="H103" i="15"/>
  <c r="L46" i="15"/>
  <c r="L47" i="15"/>
  <c r="F26" i="15"/>
  <c r="F25" i="15"/>
  <c r="J64" i="15"/>
  <c r="J65" i="15"/>
  <c r="K35" i="15"/>
  <c r="K34" i="15"/>
  <c r="K67" i="15"/>
  <c r="K68" i="15"/>
  <c r="K97" i="15"/>
  <c r="K98" i="15"/>
  <c r="G143" i="15"/>
  <c r="G142" i="15"/>
  <c r="J115" i="15"/>
  <c r="J116" i="15"/>
  <c r="I107" i="15"/>
  <c r="I106" i="15"/>
  <c r="J80" i="15"/>
  <c r="J79" i="15"/>
  <c r="I137" i="15"/>
  <c r="I136" i="15"/>
  <c r="I52" i="15"/>
  <c r="I53" i="15"/>
  <c r="F43" i="15"/>
  <c r="F44" i="15"/>
  <c r="J46" i="15"/>
  <c r="J47" i="15"/>
  <c r="K74" i="15"/>
  <c r="K73" i="15"/>
  <c r="F71" i="15"/>
  <c r="F70" i="15"/>
  <c r="G101" i="15"/>
  <c r="G100" i="15"/>
  <c r="F131" i="15"/>
  <c r="F130" i="15"/>
  <c r="K103" i="15"/>
  <c r="K104" i="15"/>
  <c r="I143" i="15"/>
  <c r="I142" i="15"/>
  <c r="J98" i="15"/>
  <c r="J97" i="15"/>
  <c r="I133" i="15"/>
  <c r="I134" i="15"/>
  <c r="F76" i="15"/>
  <c r="F77" i="15"/>
  <c r="F41" i="15"/>
  <c r="F40" i="15"/>
  <c r="E74" i="15"/>
  <c r="E73" i="15"/>
  <c r="J53" i="15"/>
  <c r="J52" i="15"/>
  <c r="G65" i="15"/>
  <c r="G64" i="15"/>
  <c r="G107" i="15"/>
  <c r="G106" i="15"/>
  <c r="L122" i="15"/>
  <c r="L121" i="15"/>
  <c r="K142" i="15"/>
  <c r="K143" i="15"/>
  <c r="J103" i="15"/>
  <c r="J104" i="15"/>
  <c r="K82" i="15"/>
  <c r="K83" i="15"/>
  <c r="H134" i="15"/>
  <c r="H133" i="15"/>
  <c r="L91" i="15"/>
  <c r="L92" i="15"/>
  <c r="E44" i="9"/>
  <c r="G44" i="9"/>
  <c r="G60" i="9"/>
  <c r="E60" i="9"/>
  <c r="E22" i="9"/>
  <c r="G22" i="9"/>
  <c r="E108" i="9"/>
  <c r="G108" i="9"/>
  <c r="E154" i="9"/>
  <c r="G154" i="9"/>
  <c r="G35" i="9"/>
  <c r="E35" i="9"/>
  <c r="G151" i="9"/>
  <c r="E151" i="9"/>
  <c r="G155" i="9"/>
  <c r="E155" i="9"/>
  <c r="G141" i="9"/>
  <c r="E141" i="9"/>
  <c r="E128" i="9"/>
  <c r="G128" i="9"/>
  <c r="G48" i="9"/>
  <c r="E48" i="9"/>
  <c r="E163" i="9"/>
  <c r="G163" i="9"/>
  <c r="E139" i="9"/>
  <c r="G139" i="9"/>
  <c r="G152" i="9"/>
  <c r="E152" i="9"/>
  <c r="E116" i="9"/>
  <c r="G116" i="9"/>
  <c r="E81" i="9"/>
  <c r="G81" i="9"/>
  <c r="G34" i="9"/>
  <c r="E34" i="9"/>
  <c r="G132" i="9"/>
  <c r="E132" i="9"/>
  <c r="E44" i="15"/>
  <c r="E43" i="15"/>
  <c r="I34" i="15"/>
  <c r="I35" i="15"/>
  <c r="K61" i="15"/>
  <c r="K62" i="15"/>
  <c r="F47" i="15"/>
  <c r="F46" i="15"/>
  <c r="H25" i="15"/>
  <c r="H26" i="15"/>
  <c r="K86" i="15"/>
  <c r="K85" i="15"/>
  <c r="I109" i="15"/>
  <c r="I110" i="15"/>
  <c r="I131" i="15"/>
  <c r="I130" i="15"/>
  <c r="L106" i="15"/>
  <c r="L107" i="15"/>
  <c r="G128" i="15"/>
  <c r="G127" i="15"/>
  <c r="F98" i="15"/>
  <c r="F97" i="15"/>
  <c r="K139" i="15"/>
  <c r="K140" i="15"/>
  <c r="H80" i="15"/>
  <c r="H79" i="15"/>
  <c r="L35" i="15"/>
  <c r="L34" i="15"/>
  <c r="K70" i="15"/>
  <c r="K71" i="15"/>
  <c r="I68" i="15"/>
  <c r="I67" i="15"/>
  <c r="H62" i="15"/>
  <c r="H61" i="15"/>
  <c r="L119" i="15"/>
  <c r="L118" i="15"/>
  <c r="J92" i="15"/>
  <c r="J91" i="15"/>
  <c r="E121" i="15"/>
  <c r="E122" i="15"/>
  <c r="G104" i="15"/>
  <c r="G103" i="15"/>
  <c r="K130" i="15"/>
  <c r="K131" i="15"/>
  <c r="J61" i="15"/>
  <c r="J62" i="15"/>
  <c r="L31" i="15"/>
  <c r="L32" i="15"/>
  <c r="F23" i="15"/>
  <c r="F22" i="15"/>
  <c r="I41" i="15"/>
  <c r="I40" i="15"/>
  <c r="H52" i="15"/>
  <c r="H53" i="15"/>
  <c r="E128" i="15"/>
  <c r="E127" i="15"/>
  <c r="F103" i="15"/>
  <c r="F104" i="15"/>
  <c r="L100" i="15"/>
  <c r="L101" i="15"/>
  <c r="J140" i="15"/>
  <c r="J139" i="15"/>
  <c r="H116" i="15"/>
  <c r="H115" i="15"/>
  <c r="F83" i="15"/>
  <c r="F82" i="15"/>
  <c r="K31" i="15"/>
  <c r="K32" i="15"/>
  <c r="J74" i="15"/>
  <c r="J73" i="15"/>
  <c r="K65" i="15"/>
  <c r="K64" i="15"/>
  <c r="L52" i="15"/>
  <c r="L53" i="15"/>
  <c r="E91" i="15"/>
  <c r="E92" i="15"/>
  <c r="J109" i="15"/>
  <c r="J110" i="15"/>
  <c r="L142" i="15"/>
  <c r="L143" i="15"/>
  <c r="L77" i="15"/>
  <c r="L76" i="15"/>
  <c r="G119" i="15"/>
  <c r="G118" i="15"/>
  <c r="I74" i="15"/>
  <c r="I73" i="15"/>
  <c r="L59" i="15"/>
  <c r="L58" i="15"/>
  <c r="J35" i="15"/>
  <c r="J34" i="15"/>
  <c r="E32" i="15"/>
  <c r="E31" i="15"/>
  <c r="G98" i="15"/>
  <c r="G97" i="15"/>
  <c r="G88" i="15"/>
  <c r="G89" i="15"/>
  <c r="G134" i="15"/>
  <c r="G133" i="15"/>
  <c r="F95" i="15"/>
  <c r="F94" i="15"/>
  <c r="L136" i="15"/>
  <c r="L137" i="15"/>
  <c r="J86" i="15"/>
  <c r="J85" i="15"/>
  <c r="J107" i="15"/>
  <c r="J106" i="15"/>
  <c r="G50" i="15"/>
  <c r="G49" i="15"/>
  <c r="G31" i="15"/>
  <c r="G32" i="15"/>
  <c r="I37" i="15"/>
  <c r="I38" i="15"/>
  <c r="E41" i="15"/>
  <c r="E40" i="15"/>
  <c r="H73" i="15"/>
  <c r="H74" i="15"/>
  <c r="F101" i="15"/>
  <c r="F100" i="15"/>
  <c r="E119" i="15"/>
  <c r="E118" i="15"/>
  <c r="K110" i="15"/>
  <c r="K109" i="15"/>
  <c r="G94" i="15"/>
  <c r="G95" i="15"/>
  <c r="F146" i="15"/>
  <c r="F145" i="15"/>
  <c r="G58" i="15"/>
  <c r="G59" i="15"/>
  <c r="E23" i="15"/>
  <c r="E22" i="15"/>
  <c r="E55" i="15"/>
  <c r="E56" i="15"/>
  <c r="G29" i="15"/>
  <c r="G28" i="15"/>
  <c r="L94" i="15"/>
  <c r="L95" i="15"/>
  <c r="H107" i="15"/>
  <c r="H106" i="15"/>
  <c r="H145" i="15"/>
  <c r="H146" i="15"/>
  <c r="G109" i="15"/>
  <c r="G110" i="15"/>
  <c r="J112" i="15"/>
  <c r="J113" i="15"/>
  <c r="G22" i="15"/>
  <c r="G23" i="15"/>
  <c r="K59" i="15"/>
  <c r="K58" i="15"/>
  <c r="E28" i="15"/>
  <c r="E29" i="15"/>
  <c r="H56" i="15"/>
  <c r="H55" i="15"/>
  <c r="I31" i="15"/>
  <c r="I32" i="15"/>
  <c r="G113" i="15"/>
  <c r="G112" i="15"/>
  <c r="K124" i="15"/>
  <c r="K125" i="15"/>
  <c r="F110" i="15"/>
  <c r="F109" i="15"/>
  <c r="H89" i="15"/>
  <c r="H88" i="15"/>
  <c r="F140" i="15"/>
  <c r="F139" i="15"/>
  <c r="J146" i="15"/>
  <c r="J145" i="15"/>
  <c r="AI971" i="6"/>
  <c r="AI1077" i="6"/>
  <c r="AI978" i="6"/>
  <c r="G439" i="7"/>
  <c r="AI1081" i="6"/>
  <c r="O466" i="7"/>
  <c r="AI979" i="6"/>
  <c r="I439" i="7"/>
  <c r="AI983" i="6"/>
  <c r="Q439" i="7"/>
  <c r="AI984" i="6"/>
  <c r="S439" i="7"/>
  <c r="AI990" i="6"/>
  <c r="AI1078" i="6"/>
  <c r="I466" i="7"/>
  <c r="AI982" i="6"/>
  <c r="O439" i="7"/>
  <c r="AI1082" i="6"/>
  <c r="Q466" i="7"/>
  <c r="S466" i="7"/>
  <c r="G199" i="7"/>
  <c r="AI970" i="6"/>
  <c r="AJ970" i="6"/>
  <c r="P1079" i="6"/>
  <c r="K465" i="7" s="1"/>
  <c r="U1079" i="6"/>
  <c r="AJ1079" i="6" s="1"/>
  <c r="U980" i="6"/>
  <c r="AJ980" i="6" s="1"/>
  <c r="B20" i="8"/>
  <c r="G20" i="8"/>
  <c r="M47" i="8"/>
  <c r="M7" i="8"/>
  <c r="G47" i="8"/>
  <c r="M33" i="8"/>
  <c r="B33" i="8"/>
  <c r="G7" i="8"/>
  <c r="G33" i="8"/>
  <c r="B8" i="8"/>
  <c r="B47" i="8"/>
  <c r="X175" i="7"/>
  <c r="R63" i="3"/>
  <c r="F1034" i="6"/>
  <c r="X179" i="7"/>
  <c r="F1038" i="6"/>
  <c r="F1035" i="6"/>
  <c r="I1035" i="6"/>
  <c r="I1037" i="6"/>
  <c r="V1037" i="6" s="1"/>
  <c r="F1039" i="6"/>
  <c r="F1037" i="6"/>
  <c r="F1033" i="6"/>
  <c r="W420" i="7"/>
  <c r="G1033" i="6"/>
  <c r="P1033" i="6" s="1"/>
  <c r="G453" i="7" s="1"/>
  <c r="H1036" i="6"/>
  <c r="U1036" i="6" s="1"/>
  <c r="I1038" i="6"/>
  <c r="V1038" i="6" s="1"/>
  <c r="I1040" i="6"/>
  <c r="H1038" i="6"/>
  <c r="U1038" i="6" s="1"/>
  <c r="AJ1038" i="6" s="1"/>
  <c r="G1034" i="6"/>
  <c r="P1034" i="6" s="1"/>
  <c r="I453" i="7" s="1"/>
  <c r="H1040" i="6"/>
  <c r="G1035" i="6"/>
  <c r="W20" i="7"/>
  <c r="W165" i="7"/>
  <c r="G1040" i="6"/>
  <c r="F1040" i="6"/>
  <c r="G1036" i="6"/>
  <c r="P1036" i="6" s="1"/>
  <c r="M453" i="7" s="1"/>
  <c r="G1037" i="6"/>
  <c r="P1037" i="6" s="1"/>
  <c r="O453" i="7" s="1"/>
  <c r="H1039" i="6"/>
  <c r="U1039" i="6" s="1"/>
  <c r="G1038" i="6"/>
  <c r="P1038" i="6" s="1"/>
  <c r="Q453" i="7" s="1"/>
  <c r="I1039" i="6"/>
  <c r="V1039" i="6" s="1"/>
  <c r="G1039" i="6"/>
  <c r="P1039" i="6" s="1"/>
  <c r="S453" i="7" s="1"/>
  <c r="W167" i="7"/>
  <c r="H1033" i="6"/>
  <c r="U1033" i="6" s="1"/>
  <c r="I1033" i="6"/>
  <c r="V1033" i="6" s="1"/>
  <c r="H1035" i="6"/>
  <c r="F1036" i="6"/>
  <c r="M454" i="7" s="1"/>
  <c r="H1034" i="6"/>
  <c r="U1034" i="6" s="1"/>
  <c r="AJ1034" i="6" s="1"/>
  <c r="I1036" i="6"/>
  <c r="V1036" i="6" s="1"/>
  <c r="I1034" i="6"/>
  <c r="V1034" i="6" s="1"/>
  <c r="H991" i="6"/>
  <c r="F992" i="6"/>
  <c r="M442" i="7" s="1"/>
  <c r="I989" i="6"/>
  <c r="V989" i="6" s="1"/>
  <c r="G990" i="6"/>
  <c r="P990" i="6" s="1"/>
  <c r="I441" i="7" s="1"/>
  <c r="G993" i="6"/>
  <c r="P993" i="6" s="1"/>
  <c r="O441" i="7" s="1"/>
  <c r="F994" i="6"/>
  <c r="H996" i="6"/>
  <c r="F993" i="6"/>
  <c r="W278" i="7"/>
  <c r="I996" i="6"/>
  <c r="I990" i="6"/>
  <c r="V990" i="6" s="1"/>
  <c r="F989" i="6"/>
  <c r="G996" i="6"/>
  <c r="F996" i="6"/>
  <c r="G994" i="6"/>
  <c r="P994" i="6" s="1"/>
  <c r="Q441" i="7" s="1"/>
  <c r="H992" i="6"/>
  <c r="U992" i="6" s="1"/>
  <c r="F995" i="6"/>
  <c r="H995" i="6"/>
  <c r="U995" i="6" s="1"/>
  <c r="H990" i="6"/>
  <c r="U990" i="6" s="1"/>
  <c r="AJ990" i="6" s="1"/>
  <c r="H994" i="6"/>
  <c r="U994" i="6" s="1"/>
  <c r="AJ994" i="6" s="1"/>
  <c r="I992" i="6"/>
  <c r="V992" i="6" s="1"/>
  <c r="G989" i="6"/>
  <c r="P989" i="6" s="1"/>
  <c r="G441" i="7" s="1"/>
  <c r="I995" i="6"/>
  <c r="V995" i="6" s="1"/>
  <c r="H989" i="6"/>
  <c r="U989" i="6" s="1"/>
  <c r="P991" i="6"/>
  <c r="K441" i="7" s="1"/>
  <c r="G1069" i="6"/>
  <c r="P1069" i="6" s="1"/>
  <c r="M462" i="7" s="1"/>
  <c r="G1073" i="6"/>
  <c r="F1070" i="6"/>
  <c r="F1066" i="6"/>
  <c r="I1070" i="6"/>
  <c r="V1070" i="6" s="1"/>
  <c r="I1066" i="6"/>
  <c r="V1066" i="6" s="1"/>
  <c r="H1070" i="6"/>
  <c r="U1070" i="6" s="1"/>
  <c r="AJ1070" i="6" s="1"/>
  <c r="G1071" i="6"/>
  <c r="P1071" i="6" s="1"/>
  <c r="Q462" i="7" s="1"/>
  <c r="G1068" i="6"/>
  <c r="P1068" i="6" s="1"/>
  <c r="K462" i="7" s="1"/>
  <c r="H1066" i="6"/>
  <c r="U1066" i="6" s="1"/>
  <c r="F1073" i="6"/>
  <c r="F1069" i="6"/>
  <c r="M463" i="7" s="1"/>
  <c r="F1072" i="6"/>
  <c r="I1073" i="6"/>
  <c r="I1068" i="6"/>
  <c r="H1071" i="6"/>
  <c r="U1071" i="6" s="1"/>
  <c r="AJ1071" i="6" s="1"/>
  <c r="G1066" i="6"/>
  <c r="P1066" i="6" s="1"/>
  <c r="G462" i="7" s="1"/>
  <c r="F1071" i="6"/>
  <c r="I1072" i="6"/>
  <c r="V1072" i="6" s="1"/>
  <c r="I1067" i="6"/>
  <c r="V1067" i="6" s="1"/>
  <c r="H1069" i="6"/>
  <c r="U1069" i="6" s="1"/>
  <c r="G1072" i="6"/>
  <c r="P1072" i="6" s="1"/>
  <c r="S462" i="7" s="1"/>
  <c r="I1069" i="6"/>
  <c r="V1069" i="6" s="1"/>
  <c r="H1067" i="6"/>
  <c r="U1067" i="6" s="1"/>
  <c r="AJ1067" i="6" s="1"/>
  <c r="G1067" i="6"/>
  <c r="P1067" i="6" s="1"/>
  <c r="I462" i="7" s="1"/>
  <c r="F1068" i="6"/>
  <c r="H1073" i="6"/>
  <c r="G1070" i="6"/>
  <c r="P1070" i="6" s="1"/>
  <c r="O462" i="7" s="1"/>
  <c r="F1067" i="6"/>
  <c r="I1071" i="6"/>
  <c r="V1071" i="6" s="1"/>
  <c r="H1072" i="6"/>
  <c r="U1072" i="6" s="1"/>
  <c r="AJ1072" i="6" s="1"/>
  <c r="H1068" i="6"/>
  <c r="U1068" i="6" s="1"/>
  <c r="AJ1068" i="6" s="1"/>
  <c r="D444" i="7"/>
  <c r="W157" i="7"/>
  <c r="W270" i="7"/>
  <c r="W163" i="7"/>
  <c r="V980" i="6"/>
  <c r="G184" i="9"/>
  <c r="F1103" i="6"/>
  <c r="F1099" i="6"/>
  <c r="I1103" i="6"/>
  <c r="I1099" i="6"/>
  <c r="H1102" i="6"/>
  <c r="H1101" i="6"/>
  <c r="G1106" i="6"/>
  <c r="G1105" i="6"/>
  <c r="P1105" i="6" s="1"/>
  <c r="S471" i="7" s="1"/>
  <c r="G1103" i="6"/>
  <c r="P1103" i="6" s="1"/>
  <c r="O471" i="7" s="1"/>
  <c r="F1106" i="6"/>
  <c r="F1102" i="6"/>
  <c r="I1106" i="6"/>
  <c r="I1102" i="6"/>
  <c r="V1102" i="6" s="1"/>
  <c r="H1105" i="6"/>
  <c r="U1105" i="6" s="1"/>
  <c r="G1101" i="6"/>
  <c r="H1100" i="6"/>
  <c r="U1100" i="6" s="1"/>
  <c r="H1106" i="6"/>
  <c r="F1100" i="6"/>
  <c r="I1100" i="6"/>
  <c r="H1099" i="6"/>
  <c r="U1099" i="6" s="1"/>
  <c r="F1105" i="6"/>
  <c r="I1105" i="6"/>
  <c r="H1104" i="6"/>
  <c r="G1102" i="6"/>
  <c r="F1101" i="6"/>
  <c r="G1104" i="6"/>
  <c r="P1104" i="6" s="1"/>
  <c r="Q471" i="7" s="1"/>
  <c r="G1100" i="6"/>
  <c r="P1100" i="6" s="1"/>
  <c r="I471" i="7" s="1"/>
  <c r="I1104" i="6"/>
  <c r="I1101" i="6"/>
  <c r="G1099" i="6"/>
  <c r="P1099" i="6" s="1"/>
  <c r="G471" i="7" s="1"/>
  <c r="F1104" i="6"/>
  <c r="H1103" i="6"/>
  <c r="G999" i="6"/>
  <c r="H999" i="6" s="1"/>
  <c r="C79" i="5"/>
  <c r="I999" i="6"/>
  <c r="H1057" i="6"/>
  <c r="H1055" i="6"/>
  <c r="U1055" i="6" s="1"/>
  <c r="I1061" i="6"/>
  <c r="V1061" i="6" s="1"/>
  <c r="G1057" i="6"/>
  <c r="H1061" i="6"/>
  <c r="U1061" i="6" s="1"/>
  <c r="F1057" i="6"/>
  <c r="G1061" i="6"/>
  <c r="P1061" i="6" s="1"/>
  <c r="S459" i="7" s="1"/>
  <c r="I1057" i="6"/>
  <c r="F1058" i="6"/>
  <c r="M460" i="7" s="1"/>
  <c r="F1061" i="6"/>
  <c r="I1060" i="6"/>
  <c r="V1060" i="6" s="1"/>
  <c r="G1056" i="6"/>
  <c r="P1056" i="6" s="1"/>
  <c r="I459" i="7" s="1"/>
  <c r="H1060" i="6"/>
  <c r="U1060" i="6" s="1"/>
  <c r="AJ1060" i="6" s="1"/>
  <c r="F1056" i="6"/>
  <c r="G1060" i="6"/>
  <c r="P1060" i="6" s="1"/>
  <c r="Q459" i="7" s="1"/>
  <c r="I1056" i="6"/>
  <c r="V1056" i="6" s="1"/>
  <c r="F1060" i="6"/>
  <c r="F1059" i="6"/>
  <c r="G1055" i="6"/>
  <c r="P1055" i="6" s="1"/>
  <c r="G459" i="7" s="1"/>
  <c r="F1055" i="6"/>
  <c r="I1055" i="6"/>
  <c r="V1055" i="6" s="1"/>
  <c r="I1062" i="6"/>
  <c r="H1062" i="6"/>
  <c r="G1062" i="6"/>
  <c r="H1056" i="6"/>
  <c r="U1056" i="6" s="1"/>
  <c r="AJ1056" i="6" s="1"/>
  <c r="H1058" i="6"/>
  <c r="U1058" i="6" s="1"/>
  <c r="I1059" i="6"/>
  <c r="V1059" i="6" s="1"/>
  <c r="G1059" i="6"/>
  <c r="P1059" i="6" s="1"/>
  <c r="O459" i="7" s="1"/>
  <c r="I1058" i="6"/>
  <c r="V1058" i="6" s="1"/>
  <c r="H1059" i="6"/>
  <c r="U1059" i="6" s="1"/>
  <c r="AJ1059" i="6" s="1"/>
  <c r="F1062" i="6"/>
  <c r="G1058" i="6"/>
  <c r="P1058" i="6" s="1"/>
  <c r="M459" i="7" s="1"/>
  <c r="C445" i="7"/>
  <c r="G1026" i="6"/>
  <c r="P1026" i="6" s="1"/>
  <c r="O450" i="7" s="1"/>
  <c r="I1025" i="6"/>
  <c r="V1025" i="6" s="1"/>
  <c r="I1029" i="6"/>
  <c r="H1029" i="6"/>
  <c r="F1022" i="6"/>
  <c r="H1025" i="6"/>
  <c r="U1025" i="6" s="1"/>
  <c r="F1027" i="6"/>
  <c r="F1025" i="6"/>
  <c r="G1029" i="6"/>
  <c r="F1029" i="6"/>
  <c r="I1024" i="6"/>
  <c r="H1026" i="6"/>
  <c r="U1026" i="6" s="1"/>
  <c r="AJ1026" i="6" s="1"/>
  <c r="I1028" i="6"/>
  <c r="V1028" i="6" s="1"/>
  <c r="F1028" i="6"/>
  <c r="H1024" i="6"/>
  <c r="G1024" i="6"/>
  <c r="H1028" i="6"/>
  <c r="U1028" i="6" s="1"/>
  <c r="G1025" i="6"/>
  <c r="P1025" i="6" s="1"/>
  <c r="M450" i="7" s="1"/>
  <c r="H1027" i="6"/>
  <c r="U1027" i="6" s="1"/>
  <c r="AJ1027" i="6" s="1"/>
  <c r="G1022" i="6"/>
  <c r="P1022" i="6" s="1"/>
  <c r="G450" i="7" s="1"/>
  <c r="I1027" i="6"/>
  <c r="V1027" i="6" s="1"/>
  <c r="G1023" i="6"/>
  <c r="I1026" i="6"/>
  <c r="V1026" i="6" s="1"/>
  <c r="F1026" i="6"/>
  <c r="I1022" i="6"/>
  <c r="V1022" i="6" s="1"/>
  <c r="H1022" i="6"/>
  <c r="U1022" i="6" s="1"/>
  <c r="G1028" i="6"/>
  <c r="P1028" i="6" s="1"/>
  <c r="S450" i="7" s="1"/>
  <c r="F1024" i="6"/>
  <c r="G1027" i="6"/>
  <c r="P1027" i="6" s="1"/>
  <c r="Q450" i="7" s="1"/>
  <c r="F1023" i="6"/>
  <c r="I1023" i="6"/>
  <c r="V1023" i="6" s="1"/>
  <c r="H1023" i="6"/>
  <c r="U1023" i="6" s="1"/>
  <c r="AJ1023" i="6" s="1"/>
  <c r="W408" i="7"/>
  <c r="W109" i="7"/>
  <c r="K438" i="7"/>
  <c r="E184" i="9"/>
  <c r="F1013" i="6"/>
  <c r="I1017" i="6"/>
  <c r="V1017" i="6" s="1"/>
  <c r="I1013" i="6"/>
  <c r="G1017" i="6"/>
  <c r="P1017" i="6" s="1"/>
  <c r="S447" i="7" s="1"/>
  <c r="F1018" i="6"/>
  <c r="H1016" i="6"/>
  <c r="U1016" i="6" s="1"/>
  <c r="AJ1016" i="6" s="1"/>
  <c r="H1012" i="6"/>
  <c r="U1012" i="6" s="1"/>
  <c r="AJ1012" i="6" s="1"/>
  <c r="G1012" i="6"/>
  <c r="F1015" i="6"/>
  <c r="I1016" i="6"/>
  <c r="V1016" i="6" s="1"/>
  <c r="I1012" i="6"/>
  <c r="V1012" i="6" s="1"/>
  <c r="G1014" i="6"/>
  <c r="P1014" i="6" s="1"/>
  <c r="M447" i="7" s="1"/>
  <c r="F1017" i="6"/>
  <c r="H1015" i="6"/>
  <c r="U1015" i="6" s="1"/>
  <c r="AJ1015" i="6" s="1"/>
  <c r="H1011" i="6"/>
  <c r="U1011" i="6" s="1"/>
  <c r="F1016" i="6"/>
  <c r="I1015" i="6"/>
  <c r="V1015" i="6" s="1"/>
  <c r="G1013" i="6"/>
  <c r="H1014" i="6"/>
  <c r="U1014" i="6" s="1"/>
  <c r="F1014" i="6"/>
  <c r="M448" i="7" s="1"/>
  <c r="I1014" i="6"/>
  <c r="V1014" i="6" s="1"/>
  <c r="G1011" i="6"/>
  <c r="F1011" i="6"/>
  <c r="H1013" i="6"/>
  <c r="G1018" i="6"/>
  <c r="G1015" i="6"/>
  <c r="P1015" i="6" s="1"/>
  <c r="O447" i="7" s="1"/>
  <c r="H1018" i="6"/>
  <c r="I1018" i="6"/>
  <c r="H1017" i="6"/>
  <c r="U1017" i="6" s="1"/>
  <c r="F1012" i="6"/>
  <c r="I1011" i="6"/>
  <c r="V1011" i="6" s="1"/>
  <c r="G1016" i="6"/>
  <c r="P1016" i="6" s="1"/>
  <c r="Q447" i="7" s="1"/>
  <c r="H1095" i="6"/>
  <c r="G1089" i="6"/>
  <c r="H1092" i="6"/>
  <c r="U1092" i="6" s="1"/>
  <c r="AJ1092" i="6" s="1"/>
  <c r="F1093" i="6"/>
  <c r="F1089" i="6"/>
  <c r="I1093" i="6"/>
  <c r="V1093" i="6" s="1"/>
  <c r="I1089" i="6"/>
  <c r="V1089" i="6" s="1"/>
  <c r="H1093" i="6"/>
  <c r="U1093" i="6" s="1"/>
  <c r="AJ1093" i="6" s="1"/>
  <c r="H1094" i="6"/>
  <c r="U1094" i="6" s="1"/>
  <c r="G1092" i="6"/>
  <c r="P1092" i="6" s="1"/>
  <c r="O468" i="7" s="1"/>
  <c r="F1092" i="6"/>
  <c r="F1088" i="6"/>
  <c r="I1092" i="6"/>
  <c r="V1092" i="6" s="1"/>
  <c r="I1088" i="6"/>
  <c r="V1088" i="6" s="1"/>
  <c r="G1094" i="6"/>
  <c r="P1094" i="6" s="1"/>
  <c r="S468" i="7" s="1"/>
  <c r="G1088" i="6"/>
  <c r="G1095" i="6"/>
  <c r="H1091" i="6"/>
  <c r="U1091" i="6" s="1"/>
  <c r="F1091" i="6"/>
  <c r="M469" i="7" s="1"/>
  <c r="I1091" i="6"/>
  <c r="V1091" i="6" s="1"/>
  <c r="H1090" i="6"/>
  <c r="F1090" i="6"/>
  <c r="I1090" i="6"/>
  <c r="G1091" i="6"/>
  <c r="P1091" i="6" s="1"/>
  <c r="M468" i="7" s="1"/>
  <c r="F1094" i="6"/>
  <c r="G1090" i="6"/>
  <c r="H1088" i="6"/>
  <c r="U1088" i="6" s="1"/>
  <c r="I1095" i="6"/>
  <c r="I1094" i="6"/>
  <c r="V1094" i="6" s="1"/>
  <c r="F1095" i="6"/>
  <c r="H1089" i="6"/>
  <c r="U1089" i="6" s="1"/>
  <c r="AJ1089" i="6" s="1"/>
  <c r="G1093" i="6"/>
  <c r="P1093" i="6" s="1"/>
  <c r="Q468" i="7" s="1"/>
  <c r="H1044" i="6"/>
  <c r="U1044" i="6" s="1"/>
  <c r="H1046" i="6"/>
  <c r="G1050" i="6"/>
  <c r="P1050" i="6" s="1"/>
  <c r="S456" i="7" s="1"/>
  <c r="G1046" i="6"/>
  <c r="F1050" i="6"/>
  <c r="F1046" i="6"/>
  <c r="I1050" i="6"/>
  <c r="V1050" i="6" s="1"/>
  <c r="I1046" i="6"/>
  <c r="H1047" i="6"/>
  <c r="U1047" i="6" s="1"/>
  <c r="H1050" i="6"/>
  <c r="U1050" i="6" s="1"/>
  <c r="G1049" i="6"/>
  <c r="P1049" i="6" s="1"/>
  <c r="Q456" i="7" s="1"/>
  <c r="G1045" i="6"/>
  <c r="F1049" i="6"/>
  <c r="F1045" i="6"/>
  <c r="O1044" i="6" s="1"/>
  <c r="I1049" i="6"/>
  <c r="V1049" i="6" s="1"/>
  <c r="I1045" i="6"/>
  <c r="V1045" i="6" s="1"/>
  <c r="H1049" i="6"/>
  <c r="U1049" i="6" s="1"/>
  <c r="AJ1049" i="6" s="1"/>
  <c r="G1048" i="6"/>
  <c r="P1048" i="6" s="1"/>
  <c r="O456" i="7" s="1"/>
  <c r="F1048" i="6"/>
  <c r="I1048" i="6"/>
  <c r="V1048" i="6" s="1"/>
  <c r="H1051" i="6"/>
  <c r="H1048" i="6"/>
  <c r="U1048" i="6" s="1"/>
  <c r="AJ1048" i="6" s="1"/>
  <c r="G1047" i="6"/>
  <c r="P1047" i="6" s="1"/>
  <c r="M456" i="7" s="1"/>
  <c r="F1047" i="6"/>
  <c r="M457" i="7" s="1"/>
  <c r="I1047" i="6"/>
  <c r="V1047" i="6" s="1"/>
  <c r="F1051" i="6"/>
  <c r="H1045" i="6"/>
  <c r="U1045" i="6" s="1"/>
  <c r="AJ1045" i="6" s="1"/>
  <c r="F1044" i="6"/>
  <c r="G1051" i="6"/>
  <c r="I1044" i="6"/>
  <c r="V1044" i="6" s="1"/>
  <c r="I1051" i="6"/>
  <c r="G1044" i="6"/>
  <c r="V1079" i="6"/>
  <c r="W529" i="6"/>
  <c r="AM528" i="6" s="1"/>
  <c r="AK528" i="6" s="1"/>
  <c r="W540" i="6"/>
  <c r="AN539" i="6" s="1"/>
  <c r="AL539" i="6" s="1"/>
  <c r="W390" i="7"/>
  <c r="W117" i="7"/>
  <c r="G427" i="7"/>
  <c r="W225" i="7"/>
  <c r="W177" i="7"/>
  <c r="W221" i="7"/>
  <c r="W274" i="7"/>
  <c r="W286" i="7"/>
  <c r="X169" i="7"/>
  <c r="W16" i="7"/>
  <c r="W294" i="7"/>
  <c r="W22" i="7"/>
  <c r="W333" i="7"/>
  <c r="G315" i="7"/>
  <c r="G202" i="7"/>
  <c r="W300" i="7"/>
  <c r="W310" i="7"/>
  <c r="W179" i="7"/>
  <c r="AL562" i="6"/>
  <c r="AK749" i="6"/>
  <c r="W141" i="7"/>
  <c r="G372" i="7"/>
  <c r="AK672" i="6"/>
  <c r="AL672" i="6"/>
  <c r="AL584" i="6"/>
  <c r="AL430" i="6"/>
  <c r="AK430" i="6"/>
  <c r="AK617" i="6"/>
  <c r="W392" i="7"/>
  <c r="W331" i="7"/>
  <c r="AL485" i="6"/>
  <c r="AL474" i="6"/>
  <c r="AK419" i="6"/>
  <c r="W388" i="7"/>
  <c r="W412" i="7"/>
  <c r="G146" i="7"/>
  <c r="AL749" i="6"/>
  <c r="AL617" i="6"/>
  <c r="AL419" i="6"/>
  <c r="AK408" i="6"/>
  <c r="AK441" i="6"/>
  <c r="G370" i="7"/>
  <c r="G371" i="7"/>
  <c r="G259" i="7"/>
  <c r="W171" i="7"/>
  <c r="W139" i="7"/>
  <c r="G430" i="7"/>
  <c r="G145" i="7"/>
  <c r="G316" i="7"/>
  <c r="G256" i="7"/>
  <c r="X392" i="7"/>
  <c r="W189" i="7"/>
  <c r="X177" i="7"/>
  <c r="W249" i="7"/>
  <c r="G428" i="7"/>
  <c r="G147" i="7"/>
  <c r="G314" i="7"/>
  <c r="AK606" i="6"/>
  <c r="W251" i="7"/>
  <c r="G201" i="7"/>
  <c r="K12" i="7"/>
  <c r="AN34" i="6"/>
  <c r="I452" i="7"/>
  <c r="AM1023" i="6"/>
  <c r="AK1023" i="6" s="1"/>
  <c r="AN1023" i="6"/>
  <c r="AL1023" i="6" s="1"/>
  <c r="M103" i="7"/>
  <c r="AM25" i="6"/>
  <c r="AK25" i="6" s="1"/>
  <c r="AN23" i="6"/>
  <c r="AM715" i="6"/>
  <c r="AM378" i="6"/>
  <c r="AN378" i="6"/>
  <c r="AM507" i="6"/>
  <c r="AN507" i="6"/>
  <c r="AN737" i="6"/>
  <c r="AK879" i="6"/>
  <c r="I193" i="7"/>
  <c r="AN880" i="6"/>
  <c r="AM880" i="6"/>
  <c r="I455" i="7"/>
  <c r="AM1034" i="6"/>
  <c r="AK1034" i="6" s="1"/>
  <c r="AN1034" i="6"/>
  <c r="AL1034" i="6" s="1"/>
  <c r="I251" i="7"/>
  <c r="AM847" i="6"/>
  <c r="AK847" i="6" s="1"/>
  <c r="AN847" i="6"/>
  <c r="AL847" i="6" s="1"/>
  <c r="I440" i="7"/>
  <c r="AM979" i="6"/>
  <c r="AK979" i="6" s="1"/>
  <c r="AN979" i="6"/>
  <c r="AL979" i="6" s="1"/>
  <c r="I357" i="7"/>
  <c r="AN803" i="6"/>
  <c r="AL803" i="6" s="1"/>
  <c r="W137" i="7"/>
  <c r="I202" i="7"/>
  <c r="AN913" i="6"/>
  <c r="AL913" i="6" s="1"/>
  <c r="I422" i="7"/>
  <c r="AN836" i="6"/>
  <c r="AL836" i="6" s="1"/>
  <c r="AM836" i="6"/>
  <c r="AK836" i="6" s="1"/>
  <c r="AN726" i="6"/>
  <c r="AN386" i="6"/>
  <c r="AL386" i="6" s="1"/>
  <c r="AM386" i="6"/>
  <c r="AK386" i="6" s="1"/>
  <c r="AM694" i="6"/>
  <c r="AK694" i="6" s="1"/>
  <c r="AN694" i="6"/>
  <c r="AL694" i="6" s="1"/>
  <c r="AN221" i="6"/>
  <c r="AM221" i="6"/>
  <c r="AM99" i="6"/>
  <c r="AN99" i="6"/>
  <c r="AN253" i="6"/>
  <c r="AM476" i="6"/>
  <c r="AN476" i="6"/>
  <c r="AN363" i="6"/>
  <c r="AN660" i="6"/>
  <c r="AL660" i="6" s="1"/>
  <c r="AN264" i="6"/>
  <c r="AM264" i="6"/>
  <c r="AN154" i="6"/>
  <c r="K103" i="7"/>
  <c r="AL27" i="6"/>
  <c r="AM22" i="6"/>
  <c r="AK22" i="6" s="1"/>
  <c r="X20" i="7"/>
  <c r="AL606" i="6"/>
  <c r="AL879" i="6"/>
  <c r="W195" i="7"/>
  <c r="I428" i="7"/>
  <c r="AN935" i="6"/>
  <c r="AL935" i="6" s="1"/>
  <c r="I446" i="7"/>
  <c r="AM1001" i="6"/>
  <c r="AK1001" i="6" s="1"/>
  <c r="AN1001" i="6"/>
  <c r="AL1001" i="6" s="1"/>
  <c r="I247" i="7"/>
  <c r="AN209" i="6"/>
  <c r="AN89" i="6"/>
  <c r="AM89" i="6"/>
  <c r="AM121" i="6"/>
  <c r="AN121" i="6"/>
  <c r="I12" i="7"/>
  <c r="AN38" i="6"/>
  <c r="AL38" i="6" s="1"/>
  <c r="AN397" i="6"/>
  <c r="AN638" i="6"/>
  <c r="AN66" i="6"/>
  <c r="AL374" i="6"/>
  <c r="X22" i="7"/>
  <c r="I467" i="7"/>
  <c r="AN1078" i="6"/>
  <c r="AL1078" i="6" s="1"/>
  <c r="AM1078" i="6"/>
  <c r="AK1078" i="6" s="1"/>
  <c r="I146" i="7"/>
  <c r="AN946" i="6"/>
  <c r="AL946" i="6" s="1"/>
  <c r="AM946" i="6"/>
  <c r="I461" i="7"/>
  <c r="AM1056" i="6"/>
  <c r="AK1056" i="6" s="1"/>
  <c r="AN1056" i="6"/>
  <c r="AL1056" i="6" s="1"/>
  <c r="I131" i="7"/>
  <c r="AM781" i="6"/>
  <c r="AK781" i="6" s="1"/>
  <c r="I443" i="7"/>
  <c r="AM990" i="6"/>
  <c r="AK990" i="6" s="1"/>
  <c r="AN990" i="6"/>
  <c r="AL990" i="6" s="1"/>
  <c r="I256" i="7"/>
  <c r="AN957" i="6"/>
  <c r="AL957" i="6" s="1"/>
  <c r="AM957" i="6"/>
  <c r="I371" i="7"/>
  <c r="AN968" i="6"/>
  <c r="AL968" i="6" s="1"/>
  <c r="AM968" i="6"/>
  <c r="I308" i="7"/>
  <c r="AN421" i="6"/>
  <c r="AM421" i="6"/>
  <c r="AN563" i="6"/>
  <c r="AN433" i="6"/>
  <c r="AM433" i="6"/>
  <c r="AN44" i="6"/>
  <c r="AN231" i="6"/>
  <c r="AM231" i="6"/>
  <c r="G257" i="7"/>
  <c r="AN353" i="6"/>
  <c r="AM353" i="6"/>
  <c r="AN609" i="6"/>
  <c r="AB30" i="7" s="1"/>
  <c r="AM609" i="6"/>
  <c r="AB28" i="7" s="1"/>
  <c r="AM242" i="6"/>
  <c r="AN242" i="6"/>
  <c r="AK407" i="6"/>
  <c r="AK967" i="6"/>
  <c r="W369" i="7"/>
  <c r="AL748" i="6"/>
  <c r="I458" i="7"/>
  <c r="AM1045" i="6"/>
  <c r="AK1045" i="6" s="1"/>
  <c r="AN1045" i="6"/>
  <c r="AL1045" i="6" s="1"/>
  <c r="I139" i="7"/>
  <c r="AN486" i="6"/>
  <c r="AN308" i="6"/>
  <c r="AL308" i="6" s="1"/>
  <c r="AM308" i="6"/>
  <c r="AK308" i="6" s="1"/>
  <c r="AN187" i="6"/>
  <c r="AK912" i="6"/>
  <c r="W198" i="7"/>
  <c r="W35" i="6"/>
  <c r="W36" i="6" s="1"/>
  <c r="AN37" i="6" s="1"/>
  <c r="AL37" i="6" s="1"/>
  <c r="I464" i="7"/>
  <c r="AN1067" i="6"/>
  <c r="AL1067" i="6" s="1"/>
  <c r="AM1067" i="6"/>
  <c r="AK1067" i="6" s="1"/>
  <c r="I418" i="7"/>
  <c r="I365" i="7"/>
  <c r="AN891" i="6"/>
  <c r="AN902" i="6"/>
  <c r="AL902" i="6" s="1"/>
  <c r="I361" i="7"/>
  <c r="AN825" i="6"/>
  <c r="AL825" i="6" s="1"/>
  <c r="I314" i="7"/>
  <c r="AN924" i="6"/>
  <c r="AL924" i="6" s="1"/>
  <c r="I135" i="7"/>
  <c r="I470" i="7"/>
  <c r="AN1089" i="6"/>
  <c r="AL1089" i="6" s="1"/>
  <c r="AM1089" i="6"/>
  <c r="AK1089" i="6" s="1"/>
  <c r="I449" i="7"/>
  <c r="AM1012" i="6"/>
  <c r="AK1012" i="6" s="1"/>
  <c r="AN1012" i="6"/>
  <c r="AL1012" i="6" s="1"/>
  <c r="AM452" i="6"/>
  <c r="AN341" i="6"/>
  <c r="AL341" i="6" s="1"/>
  <c r="AM585" i="6"/>
  <c r="AN585" i="6"/>
  <c r="AN594" i="6"/>
  <c r="AM594" i="6"/>
  <c r="X24" i="7" s="1"/>
  <c r="AM572" i="6"/>
  <c r="X70" i="7" s="1"/>
  <c r="AN572" i="6"/>
  <c r="X72" i="7" s="1"/>
  <c r="AN176" i="6"/>
  <c r="AM176" i="6"/>
  <c r="AN55" i="6"/>
  <c r="X384" i="7" s="1"/>
  <c r="AM275" i="6"/>
  <c r="AN275" i="6"/>
  <c r="AM411" i="6"/>
  <c r="AN411" i="6"/>
  <c r="AN319" i="6"/>
  <c r="AM442" i="6"/>
  <c r="AN442" i="6"/>
  <c r="AM287" i="6"/>
  <c r="AN287" i="6"/>
  <c r="AN199" i="6"/>
  <c r="AM199" i="6"/>
  <c r="AN77" i="6"/>
  <c r="AK956" i="6"/>
  <c r="W255" i="7"/>
  <c r="AL890" i="6"/>
  <c r="W367" i="7"/>
  <c r="AM24" i="6"/>
  <c r="AK24" i="6" s="1"/>
  <c r="AN26" i="6"/>
  <c r="AL26" i="6" s="1"/>
  <c r="W761" i="6"/>
  <c r="AN759" i="6" s="1"/>
  <c r="K304" i="7"/>
  <c r="W564" i="6"/>
  <c r="M296" i="7"/>
  <c r="I54" i="7"/>
  <c r="I284" i="7"/>
  <c r="W453" i="6"/>
  <c r="AN452" i="6" s="1"/>
  <c r="K402" i="7"/>
  <c r="W586" i="6"/>
  <c r="AM584" i="6" s="1"/>
  <c r="M123" i="7"/>
  <c r="I410" i="7"/>
  <c r="I406" i="7"/>
  <c r="I111" i="7"/>
  <c r="I157" i="7"/>
  <c r="I115" i="7"/>
  <c r="I185" i="7"/>
  <c r="Q292" i="7"/>
  <c r="I394" i="7"/>
  <c r="M227" i="7"/>
  <c r="W288" i="6"/>
  <c r="AM286" i="6" s="1"/>
  <c r="AK286" i="6" s="1"/>
  <c r="K165" i="7"/>
  <c r="W200" i="6"/>
  <c r="AN197" i="6" s="1"/>
  <c r="AL197" i="6" s="1"/>
  <c r="K280" i="7"/>
  <c r="I211" i="7"/>
  <c r="I107" i="7"/>
  <c r="I16" i="7"/>
  <c r="K169" i="7"/>
  <c r="I288" i="7"/>
  <c r="I127" i="7"/>
  <c r="Q20" i="7"/>
  <c r="W651" i="6"/>
  <c r="K66" i="7"/>
  <c r="W508" i="6"/>
  <c r="AM506" i="6" s="1"/>
  <c r="K235" i="7"/>
  <c r="I329" i="7"/>
  <c r="W90" i="6"/>
  <c r="AM87" i="6" s="1"/>
  <c r="AK87" i="6" s="1"/>
  <c r="K382" i="7"/>
  <c r="I386" i="7"/>
  <c r="I243" i="7"/>
  <c r="W487" i="6"/>
  <c r="AM486" i="6" s="1"/>
  <c r="M345" i="7"/>
  <c r="K173" i="7"/>
  <c r="I337" i="7"/>
  <c r="I349" i="7"/>
  <c r="W188" i="6"/>
  <c r="AM187" i="6" s="1"/>
  <c r="I215" i="7"/>
  <c r="W67" i="6"/>
  <c r="AM65" i="6" s="1"/>
  <c r="W12" i="7" s="1"/>
  <c r="I268" i="7"/>
  <c r="I161" i="7"/>
  <c r="O398" i="7"/>
  <c r="W332" i="6"/>
  <c r="K58" i="7"/>
  <c r="Q177" i="7"/>
  <c r="I219" i="7"/>
  <c r="W1101" i="6"/>
  <c r="I473" i="7"/>
  <c r="W497" i="6"/>
  <c r="K62" i="7"/>
  <c r="Q300" i="7"/>
  <c r="I272" i="7"/>
  <c r="W727" i="6"/>
  <c r="AM726" i="6" s="1"/>
  <c r="I189" i="7"/>
  <c r="W695" i="6"/>
  <c r="AM692" i="6" s="1"/>
  <c r="AK692" i="6" s="1"/>
  <c r="K24" i="7"/>
  <c r="I119" i="7"/>
  <c r="W222" i="6"/>
  <c r="K390" i="7"/>
  <c r="I325" i="7"/>
  <c r="I223" i="7"/>
  <c r="W477" i="6"/>
  <c r="AM474" i="6" s="1"/>
  <c r="O231" i="7"/>
  <c r="I341" i="7"/>
  <c r="I181" i="7"/>
  <c r="I333" i="7"/>
  <c r="I276" i="7"/>
  <c r="W925" i="6"/>
  <c r="W837" i="6"/>
  <c r="AM835" i="6" s="1"/>
  <c r="AK835" i="6" s="1"/>
  <c r="AD237" i="7"/>
  <c r="AD235" i="7"/>
  <c r="AD335" i="7"/>
  <c r="AD333" i="7"/>
  <c r="AD191" i="7"/>
  <c r="AD189" i="7"/>
  <c r="AD62" i="7"/>
  <c r="AD64" i="7"/>
  <c r="AD117" i="7"/>
  <c r="AD115" i="7"/>
  <c r="AD270" i="7"/>
  <c r="AD268" i="7"/>
  <c r="AD185" i="7"/>
  <c r="AD187" i="7"/>
  <c r="AD119" i="7"/>
  <c r="AD121" i="7"/>
  <c r="AD282" i="7"/>
  <c r="AD280" i="7"/>
  <c r="AD211" i="7"/>
  <c r="AD213" i="7"/>
  <c r="AD183" i="7"/>
  <c r="AD181" i="7"/>
  <c r="AD276" i="7"/>
  <c r="AD278" i="7"/>
  <c r="AD388" i="7"/>
  <c r="AD386" i="7"/>
  <c r="AD129" i="7"/>
  <c r="AD127" i="7"/>
  <c r="AD239" i="7"/>
  <c r="AD241" i="7"/>
  <c r="AD169" i="7"/>
  <c r="AD171" i="7"/>
  <c r="AD274" i="7"/>
  <c r="AD272" i="7"/>
  <c r="AD284" i="7"/>
  <c r="AD286" i="7"/>
  <c r="AD163" i="7"/>
  <c r="AD161" i="7"/>
  <c r="AD24" i="7"/>
  <c r="AD26" i="7"/>
  <c r="AD179" i="7"/>
  <c r="AD177" i="7"/>
  <c r="AD16" i="7"/>
  <c r="AD18" i="7"/>
  <c r="AD382" i="7"/>
  <c r="AD384" i="7"/>
  <c r="AD300" i="7"/>
  <c r="AD302" i="7"/>
  <c r="AD343" i="7"/>
  <c r="AD341" i="7"/>
  <c r="AD109" i="7"/>
  <c r="AD107" i="7"/>
  <c r="AD233" i="7"/>
  <c r="AD231" i="7"/>
  <c r="AD331" i="7"/>
  <c r="AD329" i="7"/>
  <c r="AD345" i="7"/>
  <c r="AD347" i="7"/>
  <c r="AD294" i="7"/>
  <c r="AD292" i="7"/>
  <c r="AD111" i="7"/>
  <c r="AD113" i="7"/>
  <c r="AD245" i="7"/>
  <c r="AD243" i="7"/>
  <c r="AD175" i="7"/>
  <c r="AD173" i="7"/>
  <c r="AD290" i="7"/>
  <c r="AD288" i="7"/>
  <c r="AD125" i="7"/>
  <c r="AD123" i="7"/>
  <c r="AD22" i="7"/>
  <c r="AD20" i="7"/>
  <c r="AD225" i="7"/>
  <c r="AD223" i="7"/>
  <c r="AD390" i="7"/>
  <c r="AD392" i="7"/>
  <c r="AD416" i="7"/>
  <c r="AD414" i="7"/>
  <c r="AD402" i="7"/>
  <c r="AD404" i="7"/>
  <c r="AD219" i="7"/>
  <c r="AD221" i="7"/>
  <c r="AD66" i="7"/>
  <c r="AD68" i="7"/>
  <c r="AD400" i="7"/>
  <c r="AD398" i="7"/>
  <c r="AD215" i="7"/>
  <c r="AD217" i="7"/>
  <c r="AD325" i="7"/>
  <c r="AD327" i="7"/>
  <c r="AD54" i="7"/>
  <c r="AD56" i="7"/>
  <c r="AD157" i="7"/>
  <c r="AD159" i="7"/>
  <c r="P1011" i="6" l="1"/>
  <c r="G447" i="7" s="1"/>
  <c r="P1023" i="6"/>
  <c r="I450" i="7" s="1"/>
  <c r="M451" i="7"/>
  <c r="O1023" i="6"/>
  <c r="Q44" i="7"/>
  <c r="Q45" i="7"/>
  <c r="Q46" i="7"/>
  <c r="Q43" i="7"/>
  <c r="S44" i="7"/>
  <c r="S45" i="7"/>
  <c r="S46" i="7"/>
  <c r="S43" i="7"/>
  <c r="W243" i="7"/>
  <c r="S95" i="7"/>
  <c r="S92" i="7"/>
  <c r="S93" i="7"/>
  <c r="S94" i="7"/>
  <c r="Q95" i="7"/>
  <c r="Q92" i="7"/>
  <c r="Q93" i="7"/>
  <c r="Q94" i="7"/>
  <c r="K13" i="9"/>
  <c r="L13" i="9"/>
  <c r="AD410" i="7"/>
  <c r="X231" i="7"/>
  <c r="X416" i="7"/>
  <c r="Y400" i="7"/>
  <c r="AK571" i="6"/>
  <c r="W70" i="7"/>
  <c r="AD412" i="7"/>
  <c r="E53" i="9"/>
  <c r="G16" i="9"/>
  <c r="E16" i="9"/>
  <c r="G15" i="9"/>
  <c r="E15" i="9"/>
  <c r="W337" i="7"/>
  <c r="X66" i="7"/>
  <c r="AK109" i="6"/>
  <c r="W111" i="6"/>
  <c r="AN110" i="6" s="1"/>
  <c r="AL110" i="6" s="1"/>
  <c r="E31" i="9"/>
  <c r="W354" i="6"/>
  <c r="AM351" i="6" s="1"/>
  <c r="AK351" i="6" s="1"/>
  <c r="X345" i="7"/>
  <c r="W56" i="6"/>
  <c r="AM55" i="6" s="1"/>
  <c r="X382" i="7" s="1"/>
  <c r="W398" i="6"/>
  <c r="AN395" i="6" s="1"/>
  <c r="W628" i="6"/>
  <c r="AN627" i="6" s="1"/>
  <c r="X241" i="7" s="1"/>
  <c r="W573" i="6"/>
  <c r="W574" i="6" s="1"/>
  <c r="W239" i="7"/>
  <c r="W595" i="6"/>
  <c r="AM593" i="6" s="1"/>
  <c r="W181" i="7" s="1"/>
  <c r="W782" i="6"/>
  <c r="AN781" i="6" s="1"/>
  <c r="AL781" i="6" s="1"/>
  <c r="I10" i="11"/>
  <c r="J10" i="11" s="1"/>
  <c r="I13" i="11"/>
  <c r="J13" i="11" s="1"/>
  <c r="I40" i="11"/>
  <c r="J40" i="11" s="1"/>
  <c r="I39" i="11"/>
  <c r="J39" i="11" s="1"/>
  <c r="I25" i="11"/>
  <c r="J25" i="11" s="1"/>
  <c r="I17" i="11"/>
  <c r="J17" i="11" s="1"/>
  <c r="I18" i="11"/>
  <c r="J18" i="11" s="1"/>
  <c r="I19" i="11"/>
  <c r="J19" i="11" s="1"/>
  <c r="L91" i="11"/>
  <c r="G91" i="11" s="1"/>
  <c r="N91" i="11" s="1"/>
  <c r="O91" i="11" s="1"/>
  <c r="I38" i="11"/>
  <c r="J38" i="11" s="1"/>
  <c r="I37" i="11"/>
  <c r="J37" i="11" s="1"/>
  <c r="K75" i="11"/>
  <c r="L75" i="11" s="1"/>
  <c r="G75" i="11" s="1"/>
  <c r="N75" i="11" s="1"/>
  <c r="O75" i="11" s="1"/>
  <c r="I46" i="11"/>
  <c r="J46" i="11" s="1"/>
  <c r="I45" i="11"/>
  <c r="J45" i="11" s="1"/>
  <c r="I28" i="11"/>
  <c r="J28" i="11" s="1"/>
  <c r="I23" i="11"/>
  <c r="J23" i="11" s="1"/>
  <c r="I27" i="11"/>
  <c r="J27" i="11" s="1"/>
  <c r="L78" i="11"/>
  <c r="G78" i="11" s="1"/>
  <c r="N78" i="11" s="1"/>
  <c r="O78" i="11" s="1"/>
  <c r="L64" i="11"/>
  <c r="G64" i="11" s="1"/>
  <c r="N64" i="11" s="1"/>
  <c r="O64" i="11" s="1"/>
  <c r="I12" i="11"/>
  <c r="J12" i="11" s="1"/>
  <c r="I26" i="11"/>
  <c r="J26" i="11" s="1"/>
  <c r="I11" i="11"/>
  <c r="J11" i="11" s="1"/>
  <c r="I41" i="11"/>
  <c r="J41" i="11" s="1"/>
  <c r="K62" i="11"/>
  <c r="L62" i="11" s="1"/>
  <c r="G62" i="11" s="1"/>
  <c r="N62" i="11" s="1"/>
  <c r="O62" i="11" s="1"/>
  <c r="I24" i="11"/>
  <c r="J24" i="11" s="1"/>
  <c r="I29" i="11"/>
  <c r="J29" i="11" s="1"/>
  <c r="I44" i="11"/>
  <c r="J44" i="11" s="1"/>
  <c r="I14" i="11"/>
  <c r="J14" i="11" s="1"/>
  <c r="I31" i="11"/>
  <c r="J31" i="11" s="1"/>
  <c r="I36" i="11"/>
  <c r="J36" i="11" s="1"/>
  <c r="I33" i="11"/>
  <c r="J33" i="11" s="1"/>
  <c r="I16" i="11"/>
  <c r="J16" i="11" s="1"/>
  <c r="I43" i="11"/>
  <c r="J43" i="11" s="1"/>
  <c r="I42" i="11"/>
  <c r="J42" i="11" s="1"/>
  <c r="I30" i="11"/>
  <c r="J30" i="11" s="1"/>
  <c r="K89" i="11"/>
  <c r="L89" i="11" s="1"/>
  <c r="G89" i="11" s="1"/>
  <c r="N89" i="11" s="1"/>
  <c r="O89" i="11" s="1"/>
  <c r="I32" i="11"/>
  <c r="J32" i="11" s="1"/>
  <c r="I15" i="11"/>
  <c r="J15" i="11" s="1"/>
  <c r="W379" i="6"/>
  <c r="AM375" i="6" s="1"/>
  <c r="AK375" i="6" s="1"/>
  <c r="W144" i="6"/>
  <c r="AN143" i="6" s="1"/>
  <c r="X278" i="7" s="1"/>
  <c r="G178" i="9"/>
  <c r="W363" i="7"/>
  <c r="W426" i="7"/>
  <c r="W424" i="7"/>
  <c r="W78" i="6"/>
  <c r="W79" i="6" s="1"/>
  <c r="AK142" i="6"/>
  <c r="W384" i="7"/>
  <c r="X400" i="7"/>
  <c r="W412" i="6"/>
  <c r="AM406" i="6" s="1"/>
  <c r="AK406" i="6" s="1"/>
  <c r="K117" i="9" s="1"/>
  <c r="X229" i="7"/>
  <c r="W771" i="6"/>
  <c r="AN770" i="6" s="1"/>
  <c r="AL770" i="6" s="1"/>
  <c r="W422" i="6"/>
  <c r="W423" i="6" s="1"/>
  <c r="W936" i="6"/>
  <c r="W937" i="6" s="1"/>
  <c r="AM935" i="6" s="1"/>
  <c r="X426" i="7" s="1"/>
  <c r="AD351" i="7"/>
  <c r="X167" i="7"/>
  <c r="AD408" i="7"/>
  <c r="AD298" i="7"/>
  <c r="AD296" i="7"/>
  <c r="AD406" i="7"/>
  <c r="W351" i="7"/>
  <c r="N58" i="9"/>
  <c r="AJ1017" i="6"/>
  <c r="AD349" i="7"/>
  <c r="AJ1050" i="6"/>
  <c r="AJ995" i="6"/>
  <c r="AJ1088" i="6"/>
  <c r="AJ1095" i="6"/>
  <c r="AJ1011" i="6"/>
  <c r="AJ1018" i="6"/>
  <c r="AJ1028" i="6"/>
  <c r="AJ1055" i="6"/>
  <c r="AJ1062" i="6"/>
  <c r="AJ1066" i="6"/>
  <c r="AJ1073" i="6"/>
  <c r="AJ1105" i="6"/>
  <c r="AJ1106" i="6"/>
  <c r="AJ1044" i="6"/>
  <c r="AJ1051" i="6"/>
  <c r="AJ1033" i="6"/>
  <c r="AJ1040" i="6"/>
  <c r="AJ1022" i="6"/>
  <c r="AJ1029" i="6"/>
  <c r="AJ989" i="6"/>
  <c r="AJ996" i="6"/>
  <c r="AJ1039" i="6"/>
  <c r="W361" i="7"/>
  <c r="W398" i="7"/>
  <c r="Y20" i="7"/>
  <c r="AN550" i="6"/>
  <c r="AL550" i="6" s="1"/>
  <c r="E98" i="9"/>
  <c r="E159" i="9"/>
  <c r="E135" i="9"/>
  <c r="X165" i="7"/>
  <c r="E114" i="9"/>
  <c r="E54" i="9"/>
  <c r="E113" i="9"/>
  <c r="E136" i="9"/>
  <c r="M58" i="9"/>
  <c r="E99" i="9"/>
  <c r="E76" i="9"/>
  <c r="E77" i="9"/>
  <c r="G31" i="9"/>
  <c r="E30" i="9"/>
  <c r="G77" i="9"/>
  <c r="G135" i="9"/>
  <c r="G159" i="9"/>
  <c r="G98" i="9"/>
  <c r="G114" i="9"/>
  <c r="G160" i="9"/>
  <c r="G99" i="9"/>
  <c r="G76" i="9"/>
  <c r="AN528" i="6"/>
  <c r="AL528" i="6" s="1"/>
  <c r="G54" i="9"/>
  <c r="G136" i="9"/>
  <c r="G113" i="9"/>
  <c r="G30" i="9"/>
  <c r="G53" i="9"/>
  <c r="E160" i="9"/>
  <c r="AM517" i="6"/>
  <c r="AK517" i="6" s="1"/>
  <c r="X402" i="7"/>
  <c r="X292" i="7"/>
  <c r="AL759" i="6"/>
  <c r="X306" i="7"/>
  <c r="AK516" i="6"/>
  <c r="W349" i="7"/>
  <c r="AM539" i="6"/>
  <c r="AK539" i="6" s="1"/>
  <c r="G457" i="7"/>
  <c r="W253" i="7"/>
  <c r="W357" i="7"/>
  <c r="Z179" i="7"/>
  <c r="Y22" i="7"/>
  <c r="Z177" i="7"/>
  <c r="W355" i="7"/>
  <c r="X227" i="7"/>
  <c r="W193" i="7"/>
  <c r="W211" i="7"/>
  <c r="W215" i="7"/>
  <c r="E185" i="9"/>
  <c r="X398" i="7"/>
  <c r="AL408" i="6"/>
  <c r="L117" i="9" s="1"/>
  <c r="W418" i="7"/>
  <c r="I448" i="7"/>
  <c r="D119" i="15"/>
  <c r="D127" i="15"/>
  <c r="D122" i="15"/>
  <c r="AU1000" i="6"/>
  <c r="AU1108" i="6" s="1"/>
  <c r="H35" i="2" s="1"/>
  <c r="AT1000" i="6"/>
  <c r="AT1108" i="6" s="1"/>
  <c r="G35" i="2" s="1"/>
  <c r="D118" i="15"/>
  <c r="AI1083" i="6"/>
  <c r="P1044" i="6"/>
  <c r="G456" i="7" s="1"/>
  <c r="P1045" i="6"/>
  <c r="I456" i="7" s="1"/>
  <c r="D56" i="15"/>
  <c r="D31" i="15"/>
  <c r="D92" i="15"/>
  <c r="D52" i="15"/>
  <c r="D79" i="15"/>
  <c r="D77" i="15"/>
  <c r="W111" i="7"/>
  <c r="I457" i="7"/>
  <c r="P1089" i="6"/>
  <c r="I468" i="7" s="1"/>
  <c r="AK65" i="6"/>
  <c r="D74" i="15"/>
  <c r="D116" i="15"/>
  <c r="D131" i="15"/>
  <c r="D61" i="15"/>
  <c r="I469" i="7"/>
  <c r="W394" i="7"/>
  <c r="W359" i="7"/>
  <c r="D55" i="15"/>
  <c r="D32" i="15"/>
  <c r="D91" i="15"/>
  <c r="D128" i="15"/>
  <c r="D130" i="15"/>
  <c r="D121" i="15"/>
  <c r="D68" i="15"/>
  <c r="D134" i="15"/>
  <c r="D83" i="15"/>
  <c r="D115" i="15"/>
  <c r="D80" i="15"/>
  <c r="D38" i="15"/>
  <c r="D140" i="15"/>
  <c r="D62" i="15"/>
  <c r="D89" i="15"/>
  <c r="D145" i="15"/>
  <c r="D85" i="15"/>
  <c r="D34" i="15"/>
  <c r="D112" i="15"/>
  <c r="D65" i="15"/>
  <c r="D76" i="15"/>
  <c r="AK584" i="6"/>
  <c r="D137" i="15"/>
  <c r="D37" i="15"/>
  <c r="D139" i="15"/>
  <c r="D86" i="15"/>
  <c r="W144" i="7"/>
  <c r="W382" i="7"/>
  <c r="AL375" i="6"/>
  <c r="AM362" i="6"/>
  <c r="AN362" i="6"/>
  <c r="W60" i="7" s="1"/>
  <c r="AM494" i="6"/>
  <c r="W235" i="7" s="1"/>
  <c r="AN494" i="6"/>
  <c r="W237" i="7" s="1"/>
  <c r="AN648" i="6"/>
  <c r="W133" i="7" s="1"/>
  <c r="AM648" i="6"/>
  <c r="W410" i="7"/>
  <c r="AM560" i="6"/>
  <c r="W123" i="7" s="1"/>
  <c r="AN560" i="6"/>
  <c r="W125" i="7" s="1"/>
  <c r="W308" i="7"/>
  <c r="P1088" i="6"/>
  <c r="G468" i="7" s="1"/>
  <c r="AI1089" i="6"/>
  <c r="P1012" i="6"/>
  <c r="I447" i="7" s="1"/>
  <c r="L40" i="11"/>
  <c r="G40" i="11" s="1"/>
  <c r="N40" i="11" s="1"/>
  <c r="O40" i="11" s="1"/>
  <c r="L63" i="11"/>
  <c r="G63" i="11" s="1"/>
  <c r="N63" i="11" s="1"/>
  <c r="O63" i="11" s="1"/>
  <c r="L18" i="11"/>
  <c r="L17" i="11"/>
  <c r="G17" i="11" s="1"/>
  <c r="N17" i="11" s="1"/>
  <c r="O17" i="11" s="1"/>
  <c r="L42" i="11"/>
  <c r="G42" i="11" s="1"/>
  <c r="N42" i="11" s="1"/>
  <c r="O42" i="11" s="1"/>
  <c r="L24" i="11"/>
  <c r="G24" i="11" s="1"/>
  <c r="N24" i="11" s="1"/>
  <c r="O24" i="11" s="1"/>
  <c r="L84" i="11"/>
  <c r="G84" i="11" s="1"/>
  <c r="N84" i="11" s="1"/>
  <c r="O84" i="11" s="1"/>
  <c r="L70" i="11"/>
  <c r="G70" i="11" s="1"/>
  <c r="N70" i="11" s="1"/>
  <c r="O70" i="11" s="1"/>
  <c r="L46" i="11"/>
  <c r="G46" i="11" s="1"/>
  <c r="N46" i="11" s="1"/>
  <c r="O46" i="11" s="1"/>
  <c r="L15" i="11"/>
  <c r="G15" i="11" s="1"/>
  <c r="N15" i="11" s="1"/>
  <c r="O15" i="11" s="1"/>
  <c r="L65" i="11"/>
  <c r="G65" i="11" s="1"/>
  <c r="N65" i="11" s="1"/>
  <c r="O65" i="11" s="1"/>
  <c r="L44" i="11"/>
  <c r="G44" i="11" s="1"/>
  <c r="N44" i="11" s="1"/>
  <c r="O44" i="11" s="1"/>
  <c r="L74" i="11"/>
  <c r="G74" i="11" s="1"/>
  <c r="N74" i="11" s="1"/>
  <c r="O74" i="11" s="1"/>
  <c r="L30" i="11"/>
  <c r="G30" i="11" s="1"/>
  <c r="N30" i="11" s="1"/>
  <c r="O30" i="11" s="1"/>
  <c r="L14" i="11"/>
  <c r="G14" i="11" s="1"/>
  <c r="N14" i="11" s="1"/>
  <c r="O14" i="11" s="1"/>
  <c r="L58" i="11"/>
  <c r="G58" i="11" s="1"/>
  <c r="N58" i="11" s="1"/>
  <c r="O58" i="11" s="1"/>
  <c r="L32" i="11"/>
  <c r="G32" i="11" s="1"/>
  <c r="N32" i="11" s="1"/>
  <c r="O32" i="11" s="1"/>
  <c r="L83" i="11"/>
  <c r="G83" i="11" s="1"/>
  <c r="N83" i="11" s="1"/>
  <c r="O83" i="11" s="1"/>
  <c r="L33" i="11"/>
  <c r="G33" i="11" s="1"/>
  <c r="N33" i="11" s="1"/>
  <c r="O33" i="11" s="1"/>
  <c r="L72" i="11"/>
  <c r="G72" i="11" s="1"/>
  <c r="N72" i="11" s="1"/>
  <c r="O72" i="11" s="1"/>
  <c r="L37" i="11"/>
  <c r="G37" i="11" s="1"/>
  <c r="N37" i="11" s="1"/>
  <c r="O37" i="11" s="1"/>
  <c r="K28" i="11"/>
  <c r="L28" i="11" s="1"/>
  <c r="G28" i="11" s="1"/>
  <c r="N28" i="11" s="1"/>
  <c r="O28" i="11" s="1"/>
  <c r="L76" i="11"/>
  <c r="G76" i="11" s="1"/>
  <c r="N76" i="11" s="1"/>
  <c r="O76" i="11" s="1"/>
  <c r="L85" i="11"/>
  <c r="G85" i="11" s="1"/>
  <c r="N85" i="11" s="1"/>
  <c r="O85" i="11" s="1"/>
  <c r="L86" i="11"/>
  <c r="G86" i="11" s="1"/>
  <c r="N86" i="11" s="1"/>
  <c r="O86" i="11" s="1"/>
  <c r="K10" i="11"/>
  <c r="L10" i="11" s="1"/>
  <c r="G10" i="11" s="1"/>
  <c r="N10" i="11" s="1"/>
  <c r="O10" i="11" s="1"/>
  <c r="K12" i="11"/>
  <c r="L12" i="11" s="1"/>
  <c r="G12" i="11" s="1"/>
  <c r="N12" i="11" s="1"/>
  <c r="O12" i="11" s="1"/>
  <c r="L60" i="11"/>
  <c r="G60" i="11" s="1"/>
  <c r="N60" i="11" s="1"/>
  <c r="O60" i="11" s="1"/>
  <c r="L68" i="11"/>
  <c r="G68" i="11" s="1"/>
  <c r="N68" i="11" s="1"/>
  <c r="O68" i="11" s="1"/>
  <c r="L87" i="11"/>
  <c r="G87" i="11" s="1"/>
  <c r="N87" i="11" s="1"/>
  <c r="O87" i="11" s="1"/>
  <c r="L41" i="11"/>
  <c r="G41" i="11" s="1"/>
  <c r="N41" i="11" s="1"/>
  <c r="O41" i="11" s="1"/>
  <c r="L25" i="11"/>
  <c r="G25" i="11" s="1"/>
  <c r="N25" i="11" s="1"/>
  <c r="O25" i="11" s="1"/>
  <c r="L38" i="11"/>
  <c r="G38" i="11" s="1"/>
  <c r="N38" i="11" s="1"/>
  <c r="O38" i="11" s="1"/>
  <c r="L16" i="11"/>
  <c r="G16" i="11" s="1"/>
  <c r="N16" i="11" s="1"/>
  <c r="O16" i="11" s="1"/>
  <c r="L71" i="11"/>
  <c r="G71" i="11" s="1"/>
  <c r="N71" i="11" s="1"/>
  <c r="O71" i="11" s="1"/>
  <c r="L45" i="11"/>
  <c r="G45" i="11" s="1"/>
  <c r="N45" i="11" s="1"/>
  <c r="O45" i="11" s="1"/>
  <c r="L90" i="11"/>
  <c r="G90" i="11" s="1"/>
  <c r="N90" i="11" s="1"/>
  <c r="O90" i="11" s="1"/>
  <c r="L27" i="11"/>
  <c r="G27" i="11" s="1"/>
  <c r="N27" i="11" s="1"/>
  <c r="O27" i="11" s="1"/>
  <c r="L29" i="11"/>
  <c r="G29" i="11" s="1"/>
  <c r="N29" i="11" s="1"/>
  <c r="O29" i="11" s="1"/>
  <c r="L88" i="11"/>
  <c r="G88" i="11" s="1"/>
  <c r="N88" i="11" s="1"/>
  <c r="O88" i="11" s="1"/>
  <c r="L73" i="11"/>
  <c r="G73" i="11" s="1"/>
  <c r="N73" i="11" s="1"/>
  <c r="O73" i="11" s="1"/>
  <c r="L59" i="11"/>
  <c r="G59" i="11" s="1"/>
  <c r="N59" i="11" s="1"/>
  <c r="O59" i="11" s="1"/>
  <c r="L19" i="11"/>
  <c r="G19" i="11" s="1"/>
  <c r="N19" i="11" s="1"/>
  <c r="O19" i="11" s="1"/>
  <c r="L43" i="11"/>
  <c r="G43" i="11" s="1"/>
  <c r="N43" i="11" s="1"/>
  <c r="O43" i="11" s="1"/>
  <c r="L77" i="11"/>
  <c r="G77" i="11" s="1"/>
  <c r="N77" i="11" s="1"/>
  <c r="O77" i="11" s="1"/>
  <c r="L81" i="11"/>
  <c r="G81" i="11" s="1"/>
  <c r="N81" i="11" s="1"/>
  <c r="O81" i="11" s="1"/>
  <c r="L13" i="11"/>
  <c r="G13" i="11" s="1"/>
  <c r="N13" i="11" s="1"/>
  <c r="O13" i="11" s="1"/>
  <c r="L26" i="11"/>
  <c r="G26" i="11" s="1"/>
  <c r="N26" i="11" s="1"/>
  <c r="O26" i="11" s="1"/>
  <c r="L61" i="11"/>
  <c r="G61" i="11" s="1"/>
  <c r="N61" i="11" s="1"/>
  <c r="O61" i="11" s="1"/>
  <c r="K23" i="11"/>
  <c r="L23" i="11" s="1"/>
  <c r="G23" i="11" s="1"/>
  <c r="N23" i="11" s="1"/>
  <c r="O23" i="11" s="1"/>
  <c r="L31" i="11"/>
  <c r="G31" i="11" s="1"/>
  <c r="N31" i="11" s="1"/>
  <c r="O31" i="11" s="1"/>
  <c r="L11" i="11"/>
  <c r="G11" i="11" s="1"/>
  <c r="N11" i="11" s="1"/>
  <c r="O11" i="11" s="1"/>
  <c r="K36" i="11"/>
  <c r="L36" i="11" s="1"/>
  <c r="G36" i="11" s="1"/>
  <c r="N36" i="11" s="1"/>
  <c r="O36" i="11" s="1"/>
  <c r="K57" i="11"/>
  <c r="L57" i="11" s="1"/>
  <c r="G57" i="11" s="1"/>
  <c r="N57" i="11" s="1"/>
  <c r="O57" i="11" s="1"/>
  <c r="K39" i="11"/>
  <c r="L39" i="11" s="1"/>
  <c r="G39" i="11" s="1"/>
  <c r="N39" i="11" s="1"/>
  <c r="O39" i="11" s="1"/>
  <c r="K69" i="11"/>
  <c r="L69" i="11" s="1"/>
  <c r="G69" i="11" s="1"/>
  <c r="N69" i="11" s="1"/>
  <c r="O69" i="11" s="1"/>
  <c r="K82" i="11"/>
  <c r="L82" i="11" s="1"/>
  <c r="G82" i="11" s="1"/>
  <c r="N82" i="11" s="1"/>
  <c r="O82" i="11" s="1"/>
  <c r="D29" i="15"/>
  <c r="D22" i="15"/>
  <c r="D40" i="15"/>
  <c r="D43" i="15"/>
  <c r="D70" i="15"/>
  <c r="D67" i="15"/>
  <c r="D133" i="15"/>
  <c r="D82" i="15"/>
  <c r="D142" i="15"/>
  <c r="D107" i="15"/>
  <c r="D94" i="15"/>
  <c r="D49" i="15"/>
  <c r="D100" i="15"/>
  <c r="D47" i="15"/>
  <c r="D104" i="15"/>
  <c r="D113" i="15"/>
  <c r="D58" i="15"/>
  <c r="D124" i="15"/>
  <c r="D110" i="15"/>
  <c r="D71" i="15"/>
  <c r="AK506" i="6"/>
  <c r="X235" i="7"/>
  <c r="D98" i="15"/>
  <c r="D88" i="15"/>
  <c r="D35" i="15"/>
  <c r="AM34" i="6"/>
  <c r="AK34" i="6" s="1"/>
  <c r="AN858" i="6"/>
  <c r="AL858" i="6" s="1"/>
  <c r="AM33" i="6"/>
  <c r="AK33" i="6" s="1"/>
  <c r="AK474" i="6"/>
  <c r="W282" i="7"/>
  <c r="W175" i="7"/>
  <c r="G460" i="7"/>
  <c r="D28" i="15"/>
  <c r="D23" i="15"/>
  <c r="D41" i="15"/>
  <c r="D25" i="15"/>
  <c r="D44" i="15"/>
  <c r="D64" i="15"/>
  <c r="D73" i="15"/>
  <c r="D97" i="15"/>
  <c r="D53" i="15"/>
  <c r="D136" i="15"/>
  <c r="D103" i="15"/>
  <c r="D143" i="15"/>
  <c r="D106" i="15"/>
  <c r="D95" i="15"/>
  <c r="D50" i="15"/>
  <c r="D101" i="15"/>
  <c r="D46" i="15"/>
  <c r="D26" i="15"/>
  <c r="D146" i="15"/>
  <c r="D59" i="15"/>
  <c r="D125" i="15"/>
  <c r="D109" i="15"/>
  <c r="AJ1061" i="6"/>
  <c r="AJ1094" i="6"/>
  <c r="AI1048" i="6"/>
  <c r="O457" i="7"/>
  <c r="AI1092" i="6"/>
  <c r="O469" i="7"/>
  <c r="AI1011" i="6"/>
  <c r="G448" i="7"/>
  <c r="AI1027" i="6"/>
  <c r="Q451" i="7"/>
  <c r="AI1055" i="6"/>
  <c r="E180" i="9"/>
  <c r="AI1070" i="6"/>
  <c r="O463" i="7"/>
  <c r="AI989" i="6"/>
  <c r="G442" i="7"/>
  <c r="AI1033" i="6"/>
  <c r="G454" i="7"/>
  <c r="AI1034" i="6"/>
  <c r="I454" i="7"/>
  <c r="AI1079" i="6"/>
  <c r="K466" i="7"/>
  <c r="AI1045" i="6"/>
  <c r="AI1023" i="6"/>
  <c r="I451" i="7"/>
  <c r="AI1028" i="6"/>
  <c r="S451" i="7"/>
  <c r="AI1071" i="6"/>
  <c r="Q463" i="7"/>
  <c r="AI993" i="6"/>
  <c r="O442" i="7"/>
  <c r="AI1037" i="6"/>
  <c r="O454" i="7"/>
  <c r="AI1038" i="6"/>
  <c r="Q454" i="7"/>
  <c r="Q457" i="7"/>
  <c r="S457" i="7"/>
  <c r="S469" i="7"/>
  <c r="AI1017" i="6"/>
  <c r="S448" i="7"/>
  <c r="AI1015" i="6"/>
  <c r="O448" i="7"/>
  <c r="AI1022" i="6"/>
  <c r="G451" i="7"/>
  <c r="AI1059" i="6"/>
  <c r="O460" i="7"/>
  <c r="AI1056" i="6"/>
  <c r="I460" i="7"/>
  <c r="S460" i="7"/>
  <c r="AI1067" i="6"/>
  <c r="I463" i="7"/>
  <c r="AI1072" i="6"/>
  <c r="S463" i="7"/>
  <c r="AI1039" i="6"/>
  <c r="S454" i="7"/>
  <c r="AI1044" i="6"/>
  <c r="AI1088" i="6"/>
  <c r="Q469" i="7"/>
  <c r="AI1016" i="6"/>
  <c r="Q448" i="7"/>
  <c r="AI1024" i="6"/>
  <c r="K451" i="7"/>
  <c r="AI1026" i="6"/>
  <c r="O451" i="7"/>
  <c r="Q460" i="7"/>
  <c r="AI1066" i="6"/>
  <c r="G463" i="7"/>
  <c r="AI995" i="6"/>
  <c r="S442" i="7"/>
  <c r="AI994" i="6"/>
  <c r="Q442" i="7"/>
  <c r="AI980" i="6"/>
  <c r="K439" i="7"/>
  <c r="I201" i="7"/>
  <c r="I373" i="7"/>
  <c r="U1035" i="6"/>
  <c r="AJ1035" i="6" s="1"/>
  <c r="U1013" i="6"/>
  <c r="AJ1013" i="6" s="1"/>
  <c r="U1046" i="6"/>
  <c r="AJ1046" i="6" s="1"/>
  <c r="V1046" i="6"/>
  <c r="U1057" i="6"/>
  <c r="AJ1057" i="6" s="1"/>
  <c r="U1024" i="6"/>
  <c r="AJ1024" i="6" s="1"/>
  <c r="V1024" i="6"/>
  <c r="V991" i="6"/>
  <c r="AI1025" i="6"/>
  <c r="P1035" i="6"/>
  <c r="K453" i="7" s="1"/>
  <c r="U991" i="6"/>
  <c r="AJ991" i="6" s="1"/>
  <c r="V1035" i="6"/>
  <c r="AJ1080" i="6"/>
  <c r="F178" i="9" s="1"/>
  <c r="AI1080" i="6"/>
  <c r="P1090" i="6"/>
  <c r="K468" i="7" s="1"/>
  <c r="AJ1036" i="6"/>
  <c r="AJ981" i="6"/>
  <c r="U1090" i="6"/>
  <c r="AJ1090" i="6" s="1"/>
  <c r="AJ1058" i="6"/>
  <c r="AJ1069" i="6"/>
  <c r="AI981" i="6"/>
  <c r="G34" i="8"/>
  <c r="B48" i="8"/>
  <c r="G8" i="8"/>
  <c r="G21" i="8"/>
  <c r="M34" i="8"/>
  <c r="B21" i="8"/>
  <c r="B9" i="8"/>
  <c r="B34" i="8"/>
  <c r="M8" i="8"/>
  <c r="G48" i="8"/>
  <c r="M48" i="8"/>
  <c r="P1102" i="6"/>
  <c r="M471" i="7" s="1"/>
  <c r="G177" i="9"/>
  <c r="C184" i="9"/>
  <c r="D77" i="5"/>
  <c r="D977" i="6"/>
  <c r="S61" i="3"/>
  <c r="V1013" i="6"/>
  <c r="G175" i="9"/>
  <c r="B189" i="9"/>
  <c r="D999" i="6"/>
  <c r="C186" i="9"/>
  <c r="V1090" i="6"/>
  <c r="G179" i="9"/>
  <c r="G1007" i="6"/>
  <c r="G1006" i="6"/>
  <c r="P1006" i="6" s="1"/>
  <c r="S444" i="7" s="1"/>
  <c r="F1001" i="6"/>
  <c r="H1002" i="6"/>
  <c r="H1006" i="6"/>
  <c r="U1006" i="6" s="1"/>
  <c r="I1002" i="6"/>
  <c r="I1006" i="6"/>
  <c r="V1006" i="6" s="1"/>
  <c r="F1004" i="6"/>
  <c r="G1005" i="6"/>
  <c r="P1005" i="6" s="1"/>
  <c r="Q444" i="7" s="1"/>
  <c r="G1003" i="6"/>
  <c r="P1003" i="6" s="1"/>
  <c r="M444" i="7" s="1"/>
  <c r="G1000" i="6"/>
  <c r="P1000" i="6" s="1"/>
  <c r="G444" i="7" s="1"/>
  <c r="G1004" i="6"/>
  <c r="P1004" i="6" s="1"/>
  <c r="O444" i="7" s="1"/>
  <c r="H1005" i="6"/>
  <c r="U1005" i="6" s="1"/>
  <c r="AJ1005" i="6" s="1"/>
  <c r="I1000" i="6"/>
  <c r="V1000" i="6" s="1"/>
  <c r="I1005" i="6"/>
  <c r="V1005" i="6" s="1"/>
  <c r="F1005" i="6"/>
  <c r="F1000" i="6"/>
  <c r="F1006" i="6"/>
  <c r="H1001" i="6"/>
  <c r="U1001" i="6" s="1"/>
  <c r="AJ1001" i="6" s="1"/>
  <c r="H1007" i="6"/>
  <c r="I1001" i="6"/>
  <c r="V1001" i="6" s="1"/>
  <c r="I1007" i="6"/>
  <c r="F1007" i="6"/>
  <c r="H1000" i="6"/>
  <c r="U1000" i="6" s="1"/>
  <c r="I1003" i="6"/>
  <c r="V1003" i="6" s="1"/>
  <c r="G1001" i="6"/>
  <c r="P1001" i="6" s="1"/>
  <c r="I444" i="7" s="1"/>
  <c r="I1004" i="6"/>
  <c r="V1004" i="6" s="1"/>
  <c r="G1002" i="6"/>
  <c r="H1003" i="6"/>
  <c r="U1003" i="6" s="1"/>
  <c r="F1002" i="6"/>
  <c r="H1004" i="6"/>
  <c r="U1004" i="6" s="1"/>
  <c r="AJ1004" i="6" s="1"/>
  <c r="F1003" i="6"/>
  <c r="M445" i="7" s="1"/>
  <c r="S63" i="3"/>
  <c r="V1057" i="6"/>
  <c r="G188" i="9"/>
  <c r="P1057" i="6"/>
  <c r="K459" i="7" s="1"/>
  <c r="E188" i="9"/>
  <c r="V1068" i="6"/>
  <c r="G189" i="9"/>
  <c r="D79" i="5"/>
  <c r="P1013" i="6"/>
  <c r="K447" i="7" s="1"/>
  <c r="E175" i="9"/>
  <c r="X339" i="7"/>
  <c r="I199" i="7"/>
  <c r="P1046" i="6"/>
  <c r="K456" i="7" s="1"/>
  <c r="E187" i="9"/>
  <c r="P1024" i="6"/>
  <c r="K450" i="7" s="1"/>
  <c r="E176" i="9"/>
  <c r="W541" i="6"/>
  <c r="AN540" i="6" s="1"/>
  <c r="AL540" i="6" s="1"/>
  <c r="W552" i="6"/>
  <c r="AN551" i="6" s="1"/>
  <c r="W519" i="6"/>
  <c r="AN518" i="6" s="1"/>
  <c r="AL518" i="6" s="1"/>
  <c r="W530" i="6"/>
  <c r="AM529" i="6" s="1"/>
  <c r="AK529" i="6" s="1"/>
  <c r="X422" i="7"/>
  <c r="I257" i="7"/>
  <c r="I430" i="7"/>
  <c r="I147" i="7"/>
  <c r="I258" i="7"/>
  <c r="I259" i="7"/>
  <c r="I200" i="7"/>
  <c r="X131" i="7"/>
  <c r="X253" i="7"/>
  <c r="X418" i="7"/>
  <c r="AK287" i="6"/>
  <c r="X137" i="7"/>
  <c r="X359" i="7"/>
  <c r="AL23" i="6"/>
  <c r="AL34" i="6"/>
  <c r="AL287" i="6"/>
  <c r="I315" i="7"/>
  <c r="I316" i="7"/>
  <c r="I313" i="7"/>
  <c r="X249" i="7"/>
  <c r="X141" i="7"/>
  <c r="K135" i="7"/>
  <c r="AN815" i="6"/>
  <c r="AM815" i="6"/>
  <c r="K446" i="7"/>
  <c r="AN1002" i="6"/>
  <c r="AM1002" i="6"/>
  <c r="K418" i="7"/>
  <c r="K308" i="7"/>
  <c r="AM859" i="6"/>
  <c r="K427" i="7"/>
  <c r="AN936" i="6"/>
  <c r="AL936" i="6" s="1"/>
  <c r="AN727" i="6"/>
  <c r="AN610" i="6"/>
  <c r="AC30" i="7" s="1"/>
  <c r="AM610" i="6"/>
  <c r="AC28" i="7" s="1"/>
  <c r="AM434" i="6"/>
  <c r="AN434" i="6"/>
  <c r="AM422" i="6"/>
  <c r="AN422" i="6"/>
  <c r="AN67" i="6"/>
  <c r="Y14" i="7" s="1"/>
  <c r="AM67" i="6"/>
  <c r="AN90" i="6"/>
  <c r="AM90" i="6"/>
  <c r="AN508" i="6"/>
  <c r="AM379" i="6"/>
  <c r="AN379" i="6"/>
  <c r="AN298" i="6"/>
  <c r="AN78" i="6"/>
  <c r="AN320" i="6"/>
  <c r="AM320" i="6"/>
  <c r="AM56" i="6"/>
  <c r="Y382" i="7" s="1"/>
  <c r="AN56" i="6"/>
  <c r="Y384" i="7" s="1"/>
  <c r="AN586" i="6"/>
  <c r="AM586" i="6"/>
  <c r="AM45" i="6"/>
  <c r="AN45" i="6"/>
  <c r="AL199" i="6"/>
  <c r="Y282" i="7"/>
  <c r="AK275" i="6"/>
  <c r="X115" i="7"/>
  <c r="AL563" i="6"/>
  <c r="AK89" i="6"/>
  <c r="AL476" i="6"/>
  <c r="AK462" i="6"/>
  <c r="X119" i="7"/>
  <c r="AL726" i="6"/>
  <c r="X191" i="7"/>
  <c r="AL737" i="6"/>
  <c r="K449" i="7"/>
  <c r="AN1013" i="6"/>
  <c r="AM1013" i="6"/>
  <c r="K467" i="7"/>
  <c r="AM1079" i="6"/>
  <c r="AN1079" i="6"/>
  <c r="K372" i="7"/>
  <c r="AN969" i="6"/>
  <c r="AL969" i="6" s="1"/>
  <c r="AM969" i="6"/>
  <c r="I145" i="7"/>
  <c r="X187" i="7"/>
  <c r="AL572" i="6"/>
  <c r="X408" i="7"/>
  <c r="AL585" i="6"/>
  <c r="AL452" i="6"/>
  <c r="X365" i="7"/>
  <c r="M12" i="7"/>
  <c r="AN36" i="6"/>
  <c r="AL36" i="6" s="1"/>
  <c r="AL187" i="6"/>
  <c r="X217" i="7"/>
  <c r="AK486" i="6"/>
  <c r="X274" i="7"/>
  <c r="AL609" i="6"/>
  <c r="AL44" i="6"/>
  <c r="X56" i="7"/>
  <c r="AK433" i="6"/>
  <c r="AK957" i="6"/>
  <c r="X255" i="7"/>
  <c r="AL66" i="6"/>
  <c r="X270" i="7"/>
  <c r="AL397" i="6"/>
  <c r="Y175" i="7"/>
  <c r="AL89" i="6"/>
  <c r="AL264" i="6"/>
  <c r="X335" i="7"/>
  <c r="AK476" i="6"/>
  <c r="AK99" i="6"/>
  <c r="X121" i="7"/>
  <c r="AK726" i="6"/>
  <c r="X189" i="7"/>
  <c r="AK913" i="6"/>
  <c r="X198" i="7"/>
  <c r="AK880" i="6"/>
  <c r="AL507" i="6"/>
  <c r="AK715" i="6"/>
  <c r="X127" i="7"/>
  <c r="K365" i="7"/>
  <c r="AM892" i="6"/>
  <c r="Y42" i="7" s="1"/>
  <c r="AN892" i="6"/>
  <c r="N14" i="9" s="1"/>
  <c r="AN100" i="6"/>
  <c r="AM100" i="6"/>
  <c r="AM761" i="6"/>
  <c r="AK411" i="6"/>
  <c r="AL594" i="6"/>
  <c r="X412" i="7"/>
  <c r="AK187" i="6"/>
  <c r="X215" i="7"/>
  <c r="AL231" i="6"/>
  <c r="X221" i="7"/>
  <c r="AL421" i="6"/>
  <c r="AK264" i="6"/>
  <c r="X333" i="7"/>
  <c r="AL99" i="6"/>
  <c r="AK378" i="6"/>
  <c r="O12" i="7"/>
  <c r="AN33" i="6"/>
  <c r="AL33" i="6" s="1"/>
  <c r="AM37" i="6"/>
  <c r="AK37" i="6" s="1"/>
  <c r="K422" i="7"/>
  <c r="AM837" i="6"/>
  <c r="AN837" i="6"/>
  <c r="K146" i="7"/>
  <c r="AN947" i="6"/>
  <c r="AL947" i="6" s="1"/>
  <c r="AM947" i="6"/>
  <c r="K443" i="7"/>
  <c r="AM991" i="6"/>
  <c r="AN991" i="6"/>
  <c r="K139" i="7"/>
  <c r="AM870" i="6"/>
  <c r="AN870" i="6"/>
  <c r="K464" i="7"/>
  <c r="AM1068" i="6"/>
  <c r="AN1068" i="6"/>
  <c r="K361" i="7"/>
  <c r="AM826" i="6"/>
  <c r="AN826" i="6"/>
  <c r="I427" i="7"/>
  <c r="I370" i="7"/>
  <c r="K470" i="7"/>
  <c r="AM1090" i="6"/>
  <c r="AN1090" i="6"/>
  <c r="X420" i="7"/>
  <c r="K440" i="7"/>
  <c r="AM980" i="6"/>
  <c r="AN980" i="6"/>
  <c r="K251" i="7"/>
  <c r="AM848" i="6"/>
  <c r="AN848" i="6"/>
  <c r="K201" i="7"/>
  <c r="AN914" i="6"/>
  <c r="AL914" i="6" s="1"/>
  <c r="AM914" i="6"/>
  <c r="K357" i="7"/>
  <c r="AN804" i="6"/>
  <c r="Y359" i="7" s="1"/>
  <c r="AM804" i="6"/>
  <c r="Y357" i="7" s="1"/>
  <c r="K452" i="7"/>
  <c r="AM1024" i="6"/>
  <c r="AN1024" i="6"/>
  <c r="K259" i="7"/>
  <c r="AN958" i="6"/>
  <c r="AL958" i="6" s="1"/>
  <c r="AM958" i="6"/>
  <c r="AN903" i="6"/>
  <c r="AL903" i="6" s="1"/>
  <c r="AM903" i="6"/>
  <c r="AM155" i="6"/>
  <c r="AN155" i="6"/>
  <c r="AM661" i="6"/>
  <c r="AK661" i="6" s="1"/>
  <c r="AN661" i="6"/>
  <c r="AL661" i="6" s="1"/>
  <c r="AN364" i="6"/>
  <c r="AN254" i="6"/>
  <c r="AN222" i="6"/>
  <c r="AM222" i="6"/>
  <c r="AN387" i="6"/>
  <c r="AM387" i="6"/>
  <c r="I429" i="7"/>
  <c r="AM111" i="6"/>
  <c r="AN111" i="6"/>
  <c r="AN497" i="6"/>
  <c r="AN232" i="6"/>
  <c r="AM232" i="6"/>
  <c r="AN332" i="6"/>
  <c r="AL332" i="6" s="1"/>
  <c r="AM133" i="6"/>
  <c r="AN188" i="6"/>
  <c r="AN309" i="6"/>
  <c r="AM309" i="6"/>
  <c r="AM487" i="6"/>
  <c r="AN487" i="6"/>
  <c r="AN122" i="6"/>
  <c r="AM122" i="6"/>
  <c r="AN210" i="6"/>
  <c r="AM651" i="6"/>
  <c r="AN651" i="6"/>
  <c r="AN716" i="6"/>
  <c r="I148" i="7"/>
  <c r="AM354" i="6"/>
  <c r="AN354" i="6"/>
  <c r="I372" i="7"/>
  <c r="AN144" i="6"/>
  <c r="AM200" i="6"/>
  <c r="AN200" i="6"/>
  <c r="AM443" i="6"/>
  <c r="AN443" i="6"/>
  <c r="AN412" i="6"/>
  <c r="AM412" i="6"/>
  <c r="AN276" i="6"/>
  <c r="AM276" i="6"/>
  <c r="AM177" i="6"/>
  <c r="AN177" i="6"/>
  <c r="AM595" i="6"/>
  <c r="AN595" i="6"/>
  <c r="AN342" i="6"/>
  <c r="AL342" i="6" s="1"/>
  <c r="AM342" i="6"/>
  <c r="AK342" i="6" s="1"/>
  <c r="AN243" i="6"/>
  <c r="AN564" i="6"/>
  <c r="AL77" i="6"/>
  <c r="X213" i="7"/>
  <c r="AL319" i="6"/>
  <c r="X396" i="7"/>
  <c r="AL55" i="6"/>
  <c r="AK572" i="6"/>
  <c r="AK585" i="6"/>
  <c r="AK452" i="6"/>
  <c r="AL891" i="6"/>
  <c r="X367" i="7"/>
  <c r="AL242" i="6"/>
  <c r="X286" i="7"/>
  <c r="AK353" i="6"/>
  <c r="AK44" i="6"/>
  <c r="AL433" i="6"/>
  <c r="AK968" i="6"/>
  <c r="X369" i="7"/>
  <c r="AK946" i="6"/>
  <c r="X144" i="7"/>
  <c r="X268" i="7"/>
  <c r="AL121" i="6"/>
  <c r="X388" i="7"/>
  <c r="AL209" i="6"/>
  <c r="X331" i="7"/>
  <c r="AK253" i="6"/>
  <c r="X223" i="7"/>
  <c r="AK221" i="6"/>
  <c r="Y390" i="7"/>
  <c r="AL880" i="6"/>
  <c r="AK507" i="6"/>
  <c r="AL715" i="6"/>
  <c r="X129" i="7"/>
  <c r="K458" i="7"/>
  <c r="AN1046" i="6"/>
  <c r="AM1046" i="6"/>
  <c r="AN265" i="6"/>
  <c r="AM265" i="6"/>
  <c r="AN477" i="6"/>
  <c r="AM477" i="6"/>
  <c r="AM695" i="6"/>
  <c r="AN695" i="6"/>
  <c r="AN639" i="6"/>
  <c r="AM738" i="6"/>
  <c r="AN738" i="6"/>
  <c r="AN288" i="6"/>
  <c r="AL288" i="6" s="1"/>
  <c r="AM288" i="6"/>
  <c r="AK288" i="6" s="1"/>
  <c r="AM705" i="6"/>
  <c r="Y300" i="7" s="1"/>
  <c r="AN705" i="6"/>
  <c r="Y302" i="7" s="1"/>
  <c r="AN573" i="6"/>
  <c r="AN453" i="6"/>
  <c r="AK442" i="6"/>
  <c r="AL176" i="6"/>
  <c r="AL486" i="6"/>
  <c r="AK609" i="6"/>
  <c r="X183" i="7"/>
  <c r="K247" i="7"/>
  <c r="AN793" i="6"/>
  <c r="K131" i="7"/>
  <c r="K315" i="7"/>
  <c r="AM925" i="6"/>
  <c r="AN925" i="6"/>
  <c r="AL925" i="6" s="1"/>
  <c r="K455" i="7"/>
  <c r="AN1035" i="6"/>
  <c r="AM1035" i="6"/>
  <c r="O103" i="7"/>
  <c r="AN25" i="6"/>
  <c r="AL25" i="6" s="1"/>
  <c r="AM23" i="6"/>
  <c r="K461" i="7"/>
  <c r="AN1057" i="6"/>
  <c r="AM1057" i="6"/>
  <c r="K193" i="7"/>
  <c r="AN881" i="6"/>
  <c r="AM881" i="6"/>
  <c r="AK199" i="6"/>
  <c r="Y280" i="7"/>
  <c r="AL442" i="6"/>
  <c r="AL411" i="6"/>
  <c r="AL275" i="6"/>
  <c r="X117" i="7"/>
  <c r="AK176" i="6"/>
  <c r="AK594" i="6"/>
  <c r="AL297" i="6"/>
  <c r="X290" i="7"/>
  <c r="AK242" i="6"/>
  <c r="X284" i="7"/>
  <c r="AL353" i="6"/>
  <c r="AK231" i="6"/>
  <c r="X219" i="7"/>
  <c r="AK421" i="6"/>
  <c r="AL638" i="6"/>
  <c r="X351" i="7"/>
  <c r="AK121" i="6"/>
  <c r="AK209" i="6"/>
  <c r="X329" i="7"/>
  <c r="AL154" i="6"/>
  <c r="AL363" i="6"/>
  <c r="X343" i="7"/>
  <c r="AL253" i="6"/>
  <c r="X225" i="7"/>
  <c r="AL221" i="6"/>
  <c r="Y392" i="7"/>
  <c r="AK737" i="6"/>
  <c r="AL378" i="6"/>
  <c r="W156" i="6"/>
  <c r="K276" i="7"/>
  <c r="W662" i="6"/>
  <c r="W365" i="6"/>
  <c r="K341" i="7"/>
  <c r="W255" i="6"/>
  <c r="K223" i="7"/>
  <c r="W223" i="6"/>
  <c r="AM220" i="6" s="1"/>
  <c r="M390" i="7"/>
  <c r="W685" i="6"/>
  <c r="AN682" i="6" s="1"/>
  <c r="X355" i="7" s="1"/>
  <c r="M24" i="7"/>
  <c r="W388" i="6"/>
  <c r="K272" i="7"/>
  <c r="W498" i="6"/>
  <c r="AN495" i="6" s="1"/>
  <c r="X237" i="7" s="1"/>
  <c r="M62" i="7"/>
  <c r="W233" i="6"/>
  <c r="K219" i="7"/>
  <c r="W333" i="6"/>
  <c r="AL331" i="6" s="1"/>
  <c r="M58" i="7"/>
  <c r="W134" i="6"/>
  <c r="AM132" i="6" s="1"/>
  <c r="X161" i="7" s="1"/>
  <c r="K161" i="7"/>
  <c r="W189" i="6"/>
  <c r="K215" i="7"/>
  <c r="W310" i="6"/>
  <c r="K337" i="7"/>
  <c r="W488" i="6"/>
  <c r="AM485" i="6" s="1"/>
  <c r="O345" i="7"/>
  <c r="W123" i="6"/>
  <c r="K386" i="7"/>
  <c r="W211" i="6"/>
  <c r="AM210" i="6" s="1"/>
  <c r="K329" i="7"/>
  <c r="W652" i="6"/>
  <c r="M66" i="7"/>
  <c r="W717" i="6"/>
  <c r="K127" i="7"/>
  <c r="M169" i="7"/>
  <c r="K107" i="7"/>
  <c r="W201" i="6"/>
  <c r="M280" i="7"/>
  <c r="W444" i="6"/>
  <c r="O227" i="7"/>
  <c r="S292" i="7"/>
  <c r="W277" i="6"/>
  <c r="K115" i="7"/>
  <c r="W178" i="6"/>
  <c r="K111" i="7"/>
  <c r="K410" i="7"/>
  <c r="W343" i="6"/>
  <c r="W244" i="6"/>
  <c r="AM243" i="6" s="1"/>
  <c r="K284" i="7"/>
  <c r="W565" i="6"/>
  <c r="O296" i="7"/>
  <c r="W266" i="6"/>
  <c r="K333" i="7"/>
  <c r="K181" i="7"/>
  <c r="W478" i="6"/>
  <c r="Q231" i="7"/>
  <c r="W101" i="6"/>
  <c r="K325" i="7"/>
  <c r="W464" i="6"/>
  <c r="K119" i="7"/>
  <c r="W696" i="6"/>
  <c r="W728" i="6"/>
  <c r="AM727" i="6" s="1"/>
  <c r="K189" i="7"/>
  <c r="S300" i="7"/>
  <c r="W611" i="6"/>
  <c r="U300" i="7" s="1"/>
  <c r="W1102" i="6"/>
  <c r="K473" i="7"/>
  <c r="S177" i="7"/>
  <c r="W435" i="6"/>
  <c r="U177" i="7" s="1"/>
  <c r="Q398" i="7"/>
  <c r="W68" i="6"/>
  <c r="AM66" i="6" s="1"/>
  <c r="X12" i="7" s="1"/>
  <c r="K268" i="7"/>
  <c r="W640" i="6"/>
  <c r="AM639" i="6" s="1"/>
  <c r="K349" i="7"/>
  <c r="M173" i="7"/>
  <c r="W739" i="6"/>
  <c r="K243" i="7"/>
  <c r="W91" i="6"/>
  <c r="M382" i="7"/>
  <c r="W509" i="6"/>
  <c r="AM508" i="6" s="1"/>
  <c r="M235" i="7"/>
  <c r="S20" i="7"/>
  <c r="W299" i="6"/>
  <c r="AM296" i="6" s="1"/>
  <c r="K288" i="7"/>
  <c r="W167" i="6"/>
  <c r="AN165" i="6" s="1"/>
  <c r="AL165" i="6" s="1"/>
  <c r="K16" i="7"/>
  <c r="K211" i="7"/>
  <c r="W289" i="6"/>
  <c r="M165" i="7"/>
  <c r="W321" i="6"/>
  <c r="K394" i="7"/>
  <c r="W706" i="6"/>
  <c r="K185" i="7"/>
  <c r="K157" i="7"/>
  <c r="K406" i="7"/>
  <c r="W587" i="6"/>
  <c r="AM583" i="6" s="1"/>
  <c r="X296" i="7" s="1"/>
  <c r="O123" i="7"/>
  <c r="W454" i="6"/>
  <c r="M402" i="7"/>
  <c r="W46" i="6"/>
  <c r="K54" i="7"/>
  <c r="W762" i="6"/>
  <c r="M304" i="7"/>
  <c r="W26" i="6"/>
  <c r="W1058" i="6"/>
  <c r="W827" i="6"/>
  <c r="AM825" i="6" s="1"/>
  <c r="AK825" i="6" s="1"/>
  <c r="W1091" i="6"/>
  <c r="W948" i="6"/>
  <c r="W926" i="6"/>
  <c r="AM924" i="6" s="1"/>
  <c r="X312" i="7" s="1"/>
  <c r="W1080" i="6"/>
  <c r="W1014" i="6"/>
  <c r="W794" i="6"/>
  <c r="AM792" i="6" s="1"/>
  <c r="AK792" i="6" s="1"/>
  <c r="W981" i="6"/>
  <c r="W893" i="6"/>
  <c r="AM891" i="6" s="1"/>
  <c r="W915" i="6"/>
  <c r="W1025" i="6"/>
  <c r="W959" i="6"/>
  <c r="W1003" i="6"/>
  <c r="W816" i="6"/>
  <c r="W992" i="6"/>
  <c r="W1036" i="6"/>
  <c r="W970" i="6"/>
  <c r="W871" i="6"/>
  <c r="W1069" i="6"/>
  <c r="W882" i="6"/>
  <c r="W838" i="6"/>
  <c r="AN842" i="6" s="1"/>
  <c r="W849" i="6"/>
  <c r="W860" i="6"/>
  <c r="W805" i="6"/>
  <c r="AM803" i="6" s="1"/>
  <c r="W1047" i="6"/>
  <c r="W904" i="6"/>
  <c r="AD261" i="7"/>
  <c r="AL13" i="8" s="1"/>
  <c r="W37" i="6"/>
  <c r="Y167" i="7"/>
  <c r="Y165" i="7"/>
  <c r="X245" i="7" l="1"/>
  <c r="AK891" i="6"/>
  <c r="X42" i="7"/>
  <c r="AK903" i="6"/>
  <c r="Y91" i="7"/>
  <c r="W112" i="6"/>
  <c r="X109" i="7"/>
  <c r="Y416" i="7"/>
  <c r="Y229" i="7"/>
  <c r="AL395" i="6"/>
  <c r="W404" i="7"/>
  <c r="Y72" i="7"/>
  <c r="N94" i="9"/>
  <c r="W355" i="6"/>
  <c r="Y339" i="7"/>
  <c r="Y337" i="7"/>
  <c r="W26" i="7"/>
  <c r="W399" i="6"/>
  <c r="AM397" i="6" s="1"/>
  <c r="Y398" i="7" s="1"/>
  <c r="W596" i="6"/>
  <c r="W597" i="6" s="1"/>
  <c r="W629" i="6"/>
  <c r="AN626" i="6" s="1"/>
  <c r="W783" i="6"/>
  <c r="AM780" i="6" s="1"/>
  <c r="W422" i="7" s="1"/>
  <c r="X424" i="7"/>
  <c r="AL627" i="6"/>
  <c r="W57" i="6"/>
  <c r="W58" i="6" s="1"/>
  <c r="AK55" i="6"/>
  <c r="AK593" i="6"/>
  <c r="W400" i="7"/>
  <c r="W380" i="6"/>
  <c r="U20" i="7" s="1"/>
  <c r="AL143" i="6"/>
  <c r="W413" i="6"/>
  <c r="U292" i="7" s="1"/>
  <c r="W145" i="6"/>
  <c r="W146" i="6" s="1"/>
  <c r="AN145" i="6" s="1"/>
  <c r="W772" i="6"/>
  <c r="X363" i="7"/>
  <c r="W173" i="7"/>
  <c r="M117" i="9"/>
  <c r="AD432" i="7"/>
  <c r="Z53" i="8" s="1"/>
  <c r="L58" i="9"/>
  <c r="AJ1006" i="6"/>
  <c r="AJ1000" i="6"/>
  <c r="AJ1007" i="6"/>
  <c r="K58" i="9"/>
  <c r="AI1093" i="6"/>
  <c r="AI1060" i="6"/>
  <c r="X406" i="7"/>
  <c r="AI1049" i="6"/>
  <c r="AM540" i="6"/>
  <c r="AK540" i="6" s="1"/>
  <c r="AI1012" i="6"/>
  <c r="AN561" i="6"/>
  <c r="X125" i="7" s="1"/>
  <c r="AM563" i="6"/>
  <c r="AK563" i="6" s="1"/>
  <c r="AM36" i="6"/>
  <c r="AK36" i="6" s="1"/>
  <c r="AM35" i="6"/>
  <c r="AK35" i="6" s="1"/>
  <c r="AM551" i="6"/>
  <c r="AK551" i="6" s="1"/>
  <c r="AM332" i="6"/>
  <c r="AK332" i="6" s="1"/>
  <c r="AM684" i="6"/>
  <c r="AK684" i="6" s="1"/>
  <c r="AN398" i="6"/>
  <c r="AL398" i="6" s="1"/>
  <c r="AN529" i="6"/>
  <c r="AL529" i="6" s="1"/>
  <c r="AM518" i="6"/>
  <c r="AK518" i="6" s="1"/>
  <c r="AK803" i="6"/>
  <c r="X251" i="7"/>
  <c r="AK66" i="6"/>
  <c r="AK924" i="6"/>
  <c r="AM461" i="6"/>
  <c r="W292" i="7" s="1"/>
  <c r="AN462" i="6"/>
  <c r="Y141" i="7"/>
  <c r="AA177" i="7"/>
  <c r="X135" i="7"/>
  <c r="X347" i="7"/>
  <c r="X233" i="7"/>
  <c r="W347" i="7"/>
  <c r="W233" i="7"/>
  <c r="Z233" i="7"/>
  <c r="AK387" i="6"/>
  <c r="Z20" i="7"/>
  <c r="Y139" i="7"/>
  <c r="AL551" i="6"/>
  <c r="Y298" i="7"/>
  <c r="W345" i="7"/>
  <c r="W231" i="7"/>
  <c r="AL842" i="6"/>
  <c r="AD195" i="7"/>
  <c r="AA179" i="7"/>
  <c r="AL387" i="6"/>
  <c r="Z22" i="7"/>
  <c r="G469" i="7"/>
  <c r="X357" i="7"/>
  <c r="X159" i="7"/>
  <c r="X195" i="7"/>
  <c r="Z347" i="7"/>
  <c r="X157" i="7"/>
  <c r="Y173" i="7"/>
  <c r="Y171" i="7"/>
  <c r="AL695" i="6"/>
  <c r="Y251" i="7"/>
  <c r="X113" i="7"/>
  <c r="AK695" i="6"/>
  <c r="X325" i="7"/>
  <c r="N108" i="9"/>
  <c r="Y137" i="7"/>
  <c r="Z345" i="7"/>
  <c r="M108" i="9"/>
  <c r="Y308" i="7"/>
  <c r="AI1094" i="6"/>
  <c r="K257" i="7"/>
  <c r="AI1050" i="6"/>
  <c r="Y60" i="7"/>
  <c r="Y12" i="7"/>
  <c r="AI1061" i="6"/>
  <c r="X211" i="7"/>
  <c r="AK935" i="6"/>
  <c r="AK132" i="6"/>
  <c r="X310" i="7"/>
  <c r="X18" i="7"/>
  <c r="AL494" i="6"/>
  <c r="W64" i="7"/>
  <c r="AM760" i="6"/>
  <c r="AN760" i="6"/>
  <c r="W183" i="7"/>
  <c r="X298" i="7"/>
  <c r="AN198" i="6"/>
  <c r="AM197" i="6"/>
  <c r="AL682" i="6"/>
  <c r="AN133" i="6"/>
  <c r="AL133" i="6" s="1"/>
  <c r="X247" i="7"/>
  <c r="AM166" i="6"/>
  <c r="AK166" i="6" s="1"/>
  <c r="AK494" i="6"/>
  <c r="W131" i="7"/>
  <c r="G18" i="11"/>
  <c r="N18" i="11" s="1"/>
  <c r="O18" i="11" s="1"/>
  <c r="AL560" i="6"/>
  <c r="W298" i="7"/>
  <c r="AK648" i="6"/>
  <c r="W66" i="7"/>
  <c r="AL362" i="6"/>
  <c r="W343" i="7"/>
  <c r="AK583" i="6"/>
  <c r="X123" i="7"/>
  <c r="AK296" i="6"/>
  <c r="W288" i="7"/>
  <c r="W119" i="7"/>
  <c r="AK485" i="6"/>
  <c r="AL495" i="6"/>
  <c r="X64" i="7"/>
  <c r="AK220" i="6"/>
  <c r="X390" i="7"/>
  <c r="AM564" i="6"/>
  <c r="AK560" i="6"/>
  <c r="W296" i="7"/>
  <c r="AL648" i="6"/>
  <c r="W68" i="7"/>
  <c r="AK362" i="6"/>
  <c r="W341" i="7"/>
  <c r="AJ1014" i="6"/>
  <c r="F177" i="9"/>
  <c r="AI1001" i="6"/>
  <c r="I445" i="7"/>
  <c r="AI1099" i="6"/>
  <c r="M472" i="7"/>
  <c r="AI1068" i="6"/>
  <c r="K463" i="7"/>
  <c r="AI1006" i="6"/>
  <c r="S445" i="7"/>
  <c r="AI1013" i="6"/>
  <c r="K448" i="7"/>
  <c r="AI991" i="6"/>
  <c r="K442" i="7"/>
  <c r="AI1090" i="6"/>
  <c r="K469" i="7"/>
  <c r="AI1000" i="6"/>
  <c r="G445" i="7"/>
  <c r="AI1035" i="6"/>
  <c r="K454" i="7"/>
  <c r="AI1005" i="6"/>
  <c r="Q445" i="7"/>
  <c r="AI1004" i="6"/>
  <c r="O445" i="7"/>
  <c r="AI1057" i="6"/>
  <c r="K460" i="7"/>
  <c r="AJ1047" i="6"/>
  <c r="F187" i="9" s="1"/>
  <c r="AI1046" i="6"/>
  <c r="K457" i="7"/>
  <c r="AJ1025" i="6"/>
  <c r="F176" i="9" s="1"/>
  <c r="AI1091" i="6"/>
  <c r="AI1036" i="6"/>
  <c r="AJ1091" i="6"/>
  <c r="AI1069" i="6"/>
  <c r="V1002" i="6"/>
  <c r="AI1058" i="6"/>
  <c r="AI992" i="6"/>
  <c r="AI1003" i="6"/>
  <c r="U1002" i="6"/>
  <c r="AJ1002" i="6" s="1"/>
  <c r="AI1014" i="6"/>
  <c r="AJ992" i="6"/>
  <c r="AI1047" i="6"/>
  <c r="M49" i="8"/>
  <c r="G49" i="8"/>
  <c r="M35" i="8"/>
  <c r="B35" i="8"/>
  <c r="G22" i="8"/>
  <c r="B22" i="8"/>
  <c r="G35" i="8"/>
  <c r="B10" i="8"/>
  <c r="B49" i="8"/>
  <c r="G9" i="8"/>
  <c r="M9" i="8"/>
  <c r="P1002" i="6"/>
  <c r="K444" i="7" s="1"/>
  <c r="E186" i="9"/>
  <c r="W553" i="6"/>
  <c r="AM552" i="6" s="1"/>
  <c r="W531" i="6"/>
  <c r="AN530" i="6" s="1"/>
  <c r="W520" i="6"/>
  <c r="AN519" i="6" s="1"/>
  <c r="AL519" i="6" s="1"/>
  <c r="W542" i="6"/>
  <c r="AM541" i="6" s="1"/>
  <c r="AK541" i="6" s="1"/>
  <c r="K430" i="7"/>
  <c r="K373" i="7"/>
  <c r="K147" i="7"/>
  <c r="K145" i="7"/>
  <c r="K148" i="7"/>
  <c r="K258" i="7"/>
  <c r="K256" i="7"/>
  <c r="AK1057" i="6"/>
  <c r="AK309" i="6"/>
  <c r="AL1024" i="6"/>
  <c r="AL804" i="6"/>
  <c r="AL980" i="6"/>
  <c r="AL826" i="6"/>
  <c r="AK1068" i="6"/>
  <c r="AK837" i="6"/>
  <c r="AL1002" i="6"/>
  <c r="AL1035" i="6"/>
  <c r="AL1057" i="6"/>
  <c r="AL793" i="6"/>
  <c r="AK1046" i="6"/>
  <c r="AL309" i="6"/>
  <c r="AK1024" i="6"/>
  <c r="AL848" i="6"/>
  <c r="AK980" i="6"/>
  <c r="AK826" i="6"/>
  <c r="AL991" i="6"/>
  <c r="AL1079" i="6"/>
  <c r="AK1013" i="6"/>
  <c r="AL1046" i="6"/>
  <c r="AK848" i="6"/>
  <c r="AL1090" i="6"/>
  <c r="AL870" i="6"/>
  <c r="AK991" i="6"/>
  <c r="AK1079" i="6"/>
  <c r="AL1013" i="6"/>
  <c r="AK859" i="6"/>
  <c r="AK815" i="6"/>
  <c r="AK23" i="6"/>
  <c r="K33" i="9" s="1"/>
  <c r="M33" i="9"/>
  <c r="AK1035" i="6"/>
  <c r="AK804" i="6"/>
  <c r="AK1090" i="6"/>
  <c r="AL1068" i="6"/>
  <c r="AK870" i="6"/>
  <c r="AL837" i="6"/>
  <c r="AK1002" i="6"/>
  <c r="AL815" i="6"/>
  <c r="K371" i="7"/>
  <c r="K316" i="7"/>
  <c r="K429" i="7"/>
  <c r="K428" i="7"/>
  <c r="K202" i="7"/>
  <c r="K370" i="7"/>
  <c r="K200" i="7"/>
  <c r="K199" i="7"/>
  <c r="K313" i="7"/>
  <c r="K314" i="7"/>
  <c r="M446" i="7"/>
  <c r="AM1003" i="6"/>
  <c r="AK1003" i="6" s="1"/>
  <c r="AN1003" i="6"/>
  <c r="AL1003" i="6" s="1"/>
  <c r="M314" i="7"/>
  <c r="AN926" i="6"/>
  <c r="AL926" i="6" s="1"/>
  <c r="AM91" i="6"/>
  <c r="AN91" i="6"/>
  <c r="AN399" i="6"/>
  <c r="AA400" i="7" s="1"/>
  <c r="AN68" i="6"/>
  <c r="AM355" i="6"/>
  <c r="M69" i="9" s="1"/>
  <c r="AM123" i="6"/>
  <c r="AN123" i="6"/>
  <c r="AN310" i="6"/>
  <c r="AL310" i="6" s="1"/>
  <c r="AM310" i="6"/>
  <c r="AK310" i="6" s="1"/>
  <c r="AM233" i="6"/>
  <c r="AN233" i="6"/>
  <c r="AM112" i="6"/>
  <c r="AN112" i="6"/>
  <c r="AM685" i="6"/>
  <c r="AN255" i="6"/>
  <c r="AN662" i="6"/>
  <c r="AL662" i="6" s="1"/>
  <c r="AK595" i="6"/>
  <c r="AK443" i="6"/>
  <c r="AL122" i="6"/>
  <c r="Y388" i="7"/>
  <c r="AK133" i="6"/>
  <c r="Y161" i="7"/>
  <c r="AK111" i="6"/>
  <c r="Y272" i="7"/>
  <c r="AL222" i="6"/>
  <c r="Z392" i="7"/>
  <c r="AK155" i="6"/>
  <c r="AL586" i="6"/>
  <c r="AL90" i="6"/>
  <c r="AK434" i="6"/>
  <c r="AN904" i="6"/>
  <c r="AL904" i="6" s="1"/>
  <c r="AM904" i="6"/>
  <c r="M131" i="7"/>
  <c r="AM783" i="6"/>
  <c r="AK783" i="6" s="1"/>
  <c r="M193" i="7"/>
  <c r="AM882" i="6"/>
  <c r="AN882" i="6"/>
  <c r="M139" i="7"/>
  <c r="AM871" i="6"/>
  <c r="AK871" i="6" s="1"/>
  <c r="AN871" i="6"/>
  <c r="AL871" i="6" s="1"/>
  <c r="M365" i="7"/>
  <c r="AM893" i="6"/>
  <c r="Z42" i="7" s="1"/>
  <c r="AN893" i="6"/>
  <c r="AL573" i="6"/>
  <c r="L94" i="9" s="1"/>
  <c r="Y408" i="7"/>
  <c r="AK639" i="6"/>
  <c r="AL477" i="6"/>
  <c r="AL177" i="6"/>
  <c r="AK412" i="6"/>
  <c r="AL200" i="6"/>
  <c r="Z282" i="7"/>
  <c r="AK210" i="6"/>
  <c r="Y329" i="7"/>
  <c r="AL487" i="6"/>
  <c r="AK914" i="6"/>
  <c r="Y198" i="7"/>
  <c r="AL100" i="6"/>
  <c r="AK969" i="6"/>
  <c r="Y369" i="7"/>
  <c r="AL45" i="6"/>
  <c r="Y56" i="7"/>
  <c r="AL56" i="6"/>
  <c r="Y159" i="7"/>
  <c r="AL508" i="6"/>
  <c r="Z237" i="7"/>
  <c r="Z175" i="7"/>
  <c r="AL422" i="6"/>
  <c r="AK610" i="6"/>
  <c r="AM454" i="6"/>
  <c r="AN454" i="6"/>
  <c r="N92" i="9" s="1"/>
  <c r="AN574" i="6"/>
  <c r="Z72" i="7" s="1"/>
  <c r="AM574" i="6"/>
  <c r="Z70" i="7" s="1"/>
  <c r="AN167" i="6"/>
  <c r="AM167" i="6"/>
  <c r="AM101" i="6"/>
  <c r="AN101" i="6"/>
  <c r="AN565" i="6"/>
  <c r="AM565" i="6"/>
  <c r="AN178" i="6"/>
  <c r="N44" i="9" s="1"/>
  <c r="AM178" i="6"/>
  <c r="M44" i="9" s="1"/>
  <c r="AN201" i="6"/>
  <c r="AM201" i="6"/>
  <c r="AN652" i="6"/>
  <c r="AM134" i="6"/>
  <c r="AN134" i="6"/>
  <c r="AL881" i="6"/>
  <c r="AL639" i="6"/>
  <c r="Y351" i="7"/>
  <c r="AK477" i="6"/>
  <c r="AK243" i="6"/>
  <c r="Y284" i="7"/>
  <c r="AL276" i="6"/>
  <c r="Y117" i="7"/>
  <c r="AK651" i="6"/>
  <c r="AL232" i="6"/>
  <c r="Y221" i="7"/>
  <c r="AK958" i="6"/>
  <c r="Y255" i="7"/>
  <c r="AK100" i="6"/>
  <c r="Y325" i="7"/>
  <c r="AL320" i="6"/>
  <c r="Y396" i="7"/>
  <c r="AK379" i="6"/>
  <c r="AL67" i="6"/>
  <c r="Y270" i="7"/>
  <c r="AL727" i="6"/>
  <c r="Y191" i="7"/>
  <c r="M357" i="7"/>
  <c r="AN805" i="6"/>
  <c r="AL805" i="6" s="1"/>
  <c r="AM805" i="6"/>
  <c r="AK805" i="6" s="1"/>
  <c r="M427" i="7"/>
  <c r="AM937" i="6"/>
  <c r="AN937" i="6"/>
  <c r="AL937" i="6" s="1"/>
  <c r="M247" i="7"/>
  <c r="AN794" i="6"/>
  <c r="AL794" i="6" s="1"/>
  <c r="M145" i="7"/>
  <c r="AN948" i="6"/>
  <c r="AL948" i="6" s="1"/>
  <c r="AM948" i="6"/>
  <c r="M361" i="7"/>
  <c r="AN827" i="6"/>
  <c r="AL827" i="6" s="1"/>
  <c r="AM827" i="6"/>
  <c r="AK827" i="6" s="1"/>
  <c r="Q12" i="7"/>
  <c r="AM38" i="6"/>
  <c r="AK38" i="6" s="1"/>
  <c r="AN32" i="6"/>
  <c r="M458" i="7"/>
  <c r="AN1047" i="6"/>
  <c r="AL1047" i="6" s="1"/>
  <c r="AM1047" i="6"/>
  <c r="AK1047" i="6" s="1"/>
  <c r="Y253" i="7"/>
  <c r="M418" i="7"/>
  <c r="AN772" i="6"/>
  <c r="AL772" i="6" s="1"/>
  <c r="M464" i="7"/>
  <c r="AM1069" i="6"/>
  <c r="AK1069" i="6" s="1"/>
  <c r="AN1069" i="6"/>
  <c r="AL1069" i="6" s="1"/>
  <c r="M372" i="7"/>
  <c r="AN970" i="6"/>
  <c r="AL970" i="6" s="1"/>
  <c r="AM970" i="6"/>
  <c r="M258" i="7"/>
  <c r="AM959" i="6"/>
  <c r="AN959" i="6"/>
  <c r="AL959" i="6" s="1"/>
  <c r="M440" i="7"/>
  <c r="AM981" i="6"/>
  <c r="AK981" i="6" s="1"/>
  <c r="AN981" i="6"/>
  <c r="AL981" i="6" s="1"/>
  <c r="M449" i="7"/>
  <c r="AM1014" i="6"/>
  <c r="AK1014" i="6" s="1"/>
  <c r="AN1014" i="6"/>
  <c r="AL1014" i="6" s="1"/>
  <c r="M470" i="7"/>
  <c r="AM1091" i="6"/>
  <c r="AK1091" i="6" s="1"/>
  <c r="AN1091" i="6"/>
  <c r="AL1091" i="6" s="1"/>
  <c r="M461" i="7"/>
  <c r="AM1058" i="6"/>
  <c r="AK1058" i="6" s="1"/>
  <c r="AN1058" i="6"/>
  <c r="AL1058" i="6" s="1"/>
  <c r="AM46" i="6"/>
  <c r="AN46" i="6"/>
  <c r="AN587" i="6"/>
  <c r="AM587" i="6"/>
  <c r="AN57" i="6"/>
  <c r="AM57" i="6"/>
  <c r="AN321" i="6"/>
  <c r="AN79" i="6"/>
  <c r="AN299" i="6"/>
  <c r="AN509" i="6"/>
  <c r="N59" i="9" s="1"/>
  <c r="AM509" i="6"/>
  <c r="M59" i="9" s="1"/>
  <c r="AM739" i="6"/>
  <c r="AN739" i="6"/>
  <c r="AN640" i="6"/>
  <c r="AM423" i="6"/>
  <c r="AN423" i="6"/>
  <c r="AN728" i="6"/>
  <c r="AM728" i="6"/>
  <c r="AM464" i="6"/>
  <c r="AN464" i="6"/>
  <c r="AN478" i="6"/>
  <c r="AM478" i="6"/>
  <c r="AM266" i="6"/>
  <c r="AN266" i="6"/>
  <c r="AN244" i="6"/>
  <c r="AM244" i="6"/>
  <c r="AN596" i="6"/>
  <c r="Z68" i="7" s="1"/>
  <c r="AM596" i="6"/>
  <c r="AM277" i="6"/>
  <c r="AN277" i="6"/>
  <c r="AM444" i="6"/>
  <c r="AN444" i="6"/>
  <c r="AM717" i="6"/>
  <c r="AN717" i="6"/>
  <c r="AM211" i="6"/>
  <c r="AN211" i="6"/>
  <c r="AM488" i="6"/>
  <c r="AN488" i="6"/>
  <c r="AN189" i="6"/>
  <c r="AM189" i="6"/>
  <c r="AN333" i="6"/>
  <c r="AL333" i="6" s="1"/>
  <c r="AM333" i="6"/>
  <c r="AK333" i="6" s="1"/>
  <c r="AN498" i="6"/>
  <c r="AM388" i="6"/>
  <c r="M11" i="9" s="1"/>
  <c r="AN388" i="6"/>
  <c r="N11" i="9" s="1"/>
  <c r="AN223" i="6"/>
  <c r="N151" i="9" s="1"/>
  <c r="AM223" i="6"/>
  <c r="M151" i="9" s="1"/>
  <c r="AN365" i="6"/>
  <c r="AM365" i="6"/>
  <c r="Z58" i="7" s="1"/>
  <c r="AM156" i="6"/>
  <c r="AN156" i="6"/>
  <c r="AK925" i="6"/>
  <c r="Y312" i="7"/>
  <c r="AL453" i="6"/>
  <c r="AL705" i="6"/>
  <c r="Y187" i="7"/>
  <c r="AL738" i="6"/>
  <c r="AK265" i="6"/>
  <c r="Y333" i="7"/>
  <c r="AL564" i="6"/>
  <c r="AK177" i="6"/>
  <c r="AL412" i="6"/>
  <c r="AK200" i="6"/>
  <c r="Z280" i="7"/>
  <c r="AL354" i="6"/>
  <c r="Z171" i="7"/>
  <c r="AL716" i="6"/>
  <c r="Y129" i="7"/>
  <c r="AL210" i="6"/>
  <c r="Y331" i="7"/>
  <c r="AK487" i="6"/>
  <c r="AL188" i="6"/>
  <c r="Y217" i="7"/>
  <c r="AL497" i="6"/>
  <c r="Z64" i="7"/>
  <c r="AL254" i="6"/>
  <c r="Y225" i="7"/>
  <c r="AK761" i="6"/>
  <c r="Z304" i="7"/>
  <c r="AL892" i="6"/>
  <c r="L14" i="9" s="1"/>
  <c r="Y367" i="7"/>
  <c r="AK45" i="6"/>
  <c r="AK56" i="6"/>
  <c r="Y157" i="7"/>
  <c r="AL78" i="6"/>
  <c r="Y213" i="7"/>
  <c r="AL298" i="6"/>
  <c r="Y290" i="7"/>
  <c r="AK508" i="6"/>
  <c r="Z173" i="7"/>
  <c r="AK422" i="6"/>
  <c r="AL610" i="6"/>
  <c r="M308" i="7"/>
  <c r="AN860" i="6"/>
  <c r="AL860" i="6" s="1"/>
  <c r="M422" i="7"/>
  <c r="AN838" i="6"/>
  <c r="AL838" i="6" s="1"/>
  <c r="AM838" i="6"/>
  <c r="AK838" i="6" s="1"/>
  <c r="M443" i="7"/>
  <c r="AM992" i="6"/>
  <c r="AK992" i="6" s="1"/>
  <c r="AN992" i="6"/>
  <c r="AL992" i="6" s="1"/>
  <c r="M200" i="7"/>
  <c r="AN915" i="6"/>
  <c r="AL915" i="6" s="1"/>
  <c r="AM762" i="6"/>
  <c r="AM289" i="6"/>
  <c r="AK289" i="6" s="1"/>
  <c r="K107" i="9" s="1"/>
  <c r="AN289" i="6"/>
  <c r="AL289" i="6" s="1"/>
  <c r="L107" i="9" s="1"/>
  <c r="AN696" i="6"/>
  <c r="AM696" i="6"/>
  <c r="AN629" i="6"/>
  <c r="AM629" i="6"/>
  <c r="AN343" i="6"/>
  <c r="AL343" i="6" s="1"/>
  <c r="AM343" i="6"/>
  <c r="AK343" i="6" s="1"/>
  <c r="M251" i="7"/>
  <c r="AM849" i="6"/>
  <c r="AK849" i="6" s="1"/>
  <c r="AN849" i="6"/>
  <c r="AL849" i="6" s="1"/>
  <c r="M455" i="7"/>
  <c r="AN1036" i="6"/>
  <c r="AL1036" i="6" s="1"/>
  <c r="AM1036" i="6"/>
  <c r="AK1036" i="6" s="1"/>
  <c r="M135" i="7"/>
  <c r="AN816" i="6"/>
  <c r="AL816" i="6" s="1"/>
  <c r="M452" i="7"/>
  <c r="AM1025" i="6"/>
  <c r="AK1025" i="6" s="1"/>
  <c r="AN1025" i="6"/>
  <c r="AL1025" i="6" s="1"/>
  <c r="Y249" i="7"/>
  <c r="M467" i="7"/>
  <c r="AM1080" i="6"/>
  <c r="AK1080" i="6" s="1"/>
  <c r="AN1080" i="6"/>
  <c r="AL1080" i="6" s="1"/>
  <c r="Q103" i="7"/>
  <c r="AK27" i="6"/>
  <c r="AN22" i="6"/>
  <c r="AL22" i="6" s="1"/>
  <c r="AK881" i="6"/>
  <c r="Y193" i="7"/>
  <c r="AK705" i="6"/>
  <c r="AK738" i="6"/>
  <c r="AL265" i="6"/>
  <c r="Y335" i="7"/>
  <c r="AL243" i="6"/>
  <c r="Y286" i="7"/>
  <c r="AL595" i="6"/>
  <c r="Y412" i="7"/>
  <c r="AK276" i="6"/>
  <c r="Y115" i="7"/>
  <c r="AL443" i="6"/>
  <c r="AL144" i="6"/>
  <c r="Y109" i="7"/>
  <c r="AK354" i="6"/>
  <c r="AL651" i="6"/>
  <c r="AK122" i="6"/>
  <c r="Y386" i="7"/>
  <c r="AK232" i="6"/>
  <c r="Y219" i="7"/>
  <c r="AL111" i="6"/>
  <c r="Y274" i="7"/>
  <c r="AK222" i="6"/>
  <c r="Z390" i="7"/>
  <c r="AL364" i="6"/>
  <c r="Y343" i="7"/>
  <c r="AL155" i="6"/>
  <c r="Y278" i="7"/>
  <c r="AK947" i="6"/>
  <c r="Y144" i="7"/>
  <c r="AK892" i="6"/>
  <c r="Y365" i="7"/>
  <c r="AK586" i="6"/>
  <c r="AK320" i="6"/>
  <c r="Y394" i="7"/>
  <c r="AL379" i="6"/>
  <c r="AK90" i="6"/>
  <c r="AK67" i="6"/>
  <c r="Y268" i="7"/>
  <c r="AL434" i="6"/>
  <c r="AK727" i="6"/>
  <c r="Y189" i="7"/>
  <c r="W763" i="6"/>
  <c r="O304" i="7"/>
  <c r="W455" i="6"/>
  <c r="AM450" i="6" s="1"/>
  <c r="W62" i="7" s="1"/>
  <c r="O402" i="7"/>
  <c r="W575" i="6"/>
  <c r="AM573" i="6" s="1"/>
  <c r="M406" i="7"/>
  <c r="W707" i="6"/>
  <c r="M185" i="7"/>
  <c r="W290" i="6"/>
  <c r="O165" i="7"/>
  <c r="W168" i="6"/>
  <c r="AN166" i="6" s="1"/>
  <c r="Y18" i="7" s="1"/>
  <c r="M16" i="7"/>
  <c r="W92" i="6"/>
  <c r="O382" i="7"/>
  <c r="W400" i="6"/>
  <c r="O173" i="7"/>
  <c r="W69" i="6"/>
  <c r="AM68" i="6" s="1"/>
  <c r="M268" i="7"/>
  <c r="W697" i="6"/>
  <c r="W102" i="6"/>
  <c r="M325" i="7"/>
  <c r="M181" i="7"/>
  <c r="W566" i="6"/>
  <c r="AM562" i="6" s="1"/>
  <c r="Y123" i="7" s="1"/>
  <c r="Q296" i="7"/>
  <c r="W344" i="6"/>
  <c r="W179" i="6"/>
  <c r="M111" i="7"/>
  <c r="W202" i="6"/>
  <c r="AM198" i="6" s="1"/>
  <c r="O280" i="7"/>
  <c r="W356" i="6"/>
  <c r="AN355" i="6" s="1"/>
  <c r="N69" i="9" s="1"/>
  <c r="O169" i="7"/>
  <c r="W653" i="6"/>
  <c r="AN649" i="6" s="1"/>
  <c r="X133" i="7" s="1"/>
  <c r="O66" i="7"/>
  <c r="W124" i="6"/>
  <c r="M386" i="7"/>
  <c r="W311" i="6"/>
  <c r="M337" i="7"/>
  <c r="W135" i="6"/>
  <c r="M161" i="7"/>
  <c r="W234" i="6"/>
  <c r="M219" i="7"/>
  <c r="W113" i="6"/>
  <c r="M272" i="7"/>
  <c r="W686" i="6"/>
  <c r="O24" i="7"/>
  <c r="W256" i="6"/>
  <c r="AM255" i="6" s="1"/>
  <c r="M223" i="7"/>
  <c r="W663" i="6"/>
  <c r="AM659" i="6" s="1"/>
  <c r="AK659" i="6" s="1"/>
  <c r="W47" i="6"/>
  <c r="M54" i="7"/>
  <c r="W588" i="6"/>
  <c r="Q123" i="7"/>
  <c r="M157" i="7"/>
  <c r="W322" i="6"/>
  <c r="AM321" i="6" s="1"/>
  <c r="M394" i="7"/>
  <c r="W80" i="6"/>
  <c r="M211" i="7"/>
  <c r="W300" i="6"/>
  <c r="AM299" i="6" s="1"/>
  <c r="M288" i="7"/>
  <c r="W510" i="6"/>
  <c r="O235" i="7"/>
  <c r="W740" i="6"/>
  <c r="M243" i="7"/>
  <c r="W641" i="6"/>
  <c r="AM638" i="6" s="1"/>
  <c r="M349" i="7"/>
  <c r="S398" i="7"/>
  <c r="W424" i="6"/>
  <c r="U398" i="7" s="1"/>
  <c r="W1103" i="6"/>
  <c r="M473" i="7"/>
  <c r="W729" i="6"/>
  <c r="M189" i="7"/>
  <c r="W465" i="6"/>
  <c r="M119" i="7"/>
  <c r="S231" i="7"/>
  <c r="W479" i="6"/>
  <c r="U231" i="7" s="1"/>
  <c r="W267" i="6"/>
  <c r="M333" i="7"/>
  <c r="W245" i="6"/>
  <c r="AM241" i="6" s="1"/>
  <c r="M284" i="7"/>
  <c r="M410" i="7"/>
  <c r="W278" i="6"/>
  <c r="M115" i="7"/>
  <c r="W445" i="6"/>
  <c r="Q227" i="7"/>
  <c r="M107" i="7"/>
  <c r="W718" i="6"/>
  <c r="M127" i="7"/>
  <c r="W212" i="6"/>
  <c r="M329" i="7"/>
  <c r="W489" i="6"/>
  <c r="Q345" i="7"/>
  <c r="W190" i="6"/>
  <c r="M215" i="7"/>
  <c r="W334" i="6"/>
  <c r="O58" i="7"/>
  <c r="W499" i="6"/>
  <c r="O62" i="7"/>
  <c r="W389" i="6"/>
  <c r="W224" i="6"/>
  <c r="O390" i="7"/>
  <c r="W366" i="6"/>
  <c r="AM363" i="6" s="1"/>
  <c r="X58" i="7" s="1"/>
  <c r="M341" i="7"/>
  <c r="W157" i="6"/>
  <c r="AM154" i="6" s="1"/>
  <c r="X386" i="7" s="1"/>
  <c r="M276" i="7"/>
  <c r="W993" i="6"/>
  <c r="W982" i="6"/>
  <c r="W1059" i="6"/>
  <c r="W806" i="6"/>
  <c r="W883" i="6"/>
  <c r="W1037" i="6"/>
  <c r="W938" i="6"/>
  <c r="AM936" i="6" s="1"/>
  <c r="AK936" i="6" s="1"/>
  <c r="W894" i="6"/>
  <c r="AM890" i="6" s="1"/>
  <c r="W1081" i="6"/>
  <c r="W828" i="6"/>
  <c r="W839" i="6"/>
  <c r="AM842" i="6" s="1"/>
  <c r="W960" i="6"/>
  <c r="W905" i="6"/>
  <c r="AM902" i="6" s="1"/>
  <c r="W1048" i="6"/>
  <c r="W773" i="6"/>
  <c r="AN771" i="6" s="1"/>
  <c r="Y420" i="7" s="1"/>
  <c r="W971" i="6"/>
  <c r="W1004" i="6"/>
  <c r="W916" i="6"/>
  <c r="AM915" i="6" s="1"/>
  <c r="W1015" i="6"/>
  <c r="W1092" i="6"/>
  <c r="W861" i="6"/>
  <c r="AN859" i="6" s="1"/>
  <c r="Y310" i="7" s="1"/>
  <c r="W1070" i="6"/>
  <c r="W927" i="6"/>
  <c r="AM926" i="6" s="1"/>
  <c r="W850" i="6"/>
  <c r="W872" i="6"/>
  <c r="W817" i="6"/>
  <c r="W1026" i="6"/>
  <c r="W795" i="6"/>
  <c r="AM794" i="6" s="1"/>
  <c r="AK794" i="6" s="1"/>
  <c r="W949" i="6"/>
  <c r="W27" i="6"/>
  <c r="Z167" i="7"/>
  <c r="Z165" i="7"/>
  <c r="W38" i="6"/>
  <c r="X14" i="7"/>
  <c r="W103" i="7"/>
  <c r="X103" i="7"/>
  <c r="Y103" i="7"/>
  <c r="Z103" i="7"/>
  <c r="AA103" i="7"/>
  <c r="W105" i="7"/>
  <c r="Y105" i="7"/>
  <c r="AA105" i="7"/>
  <c r="AB105" i="7"/>
  <c r="AC105" i="7"/>
  <c r="Z404" i="7" l="1"/>
  <c r="M14" i="9"/>
  <c r="W42" i="7"/>
  <c r="Y410" i="7"/>
  <c r="AK902" i="6"/>
  <c r="X91" i="7"/>
  <c r="AK904" i="6"/>
  <c r="Z91" i="7"/>
  <c r="Z414" i="7"/>
  <c r="Z227" i="7"/>
  <c r="Z416" i="7"/>
  <c r="Z229" i="7"/>
  <c r="Y70" i="7"/>
  <c r="M94" i="9"/>
  <c r="X410" i="7"/>
  <c r="X414" i="7"/>
  <c r="W241" i="7"/>
  <c r="W245" i="7"/>
  <c r="AK780" i="6"/>
  <c r="AK397" i="6"/>
  <c r="X26" i="7"/>
  <c r="W630" i="6"/>
  <c r="AM627" i="6" s="1"/>
  <c r="W784" i="6"/>
  <c r="AN783" i="6" s="1"/>
  <c r="AL783" i="6" s="1"/>
  <c r="AL626" i="6"/>
  <c r="M93" i="9"/>
  <c r="Y406" i="7"/>
  <c r="M105" i="9"/>
  <c r="Y111" i="7"/>
  <c r="M139" i="9"/>
  <c r="N56" i="9"/>
  <c r="AK461" i="6"/>
  <c r="M107" i="9"/>
  <c r="AL561" i="6"/>
  <c r="L93" i="9" s="1"/>
  <c r="N107" i="9"/>
  <c r="N163" i="9"/>
  <c r="N139" i="9"/>
  <c r="N93" i="9"/>
  <c r="Y125" i="7"/>
  <c r="Z400" i="7"/>
  <c r="Y349" i="7"/>
  <c r="Z66" i="7"/>
  <c r="AN552" i="6"/>
  <c r="Z298" i="7" s="1"/>
  <c r="Z169" i="7"/>
  <c r="AA347" i="7"/>
  <c r="AM652" i="6"/>
  <c r="AK652" i="6" s="1"/>
  <c r="AM530" i="6"/>
  <c r="Z123" i="7" s="1"/>
  <c r="AM519" i="6"/>
  <c r="AK519" i="6" s="1"/>
  <c r="AN496" i="6"/>
  <c r="AM497" i="6"/>
  <c r="Z235" i="7" s="1"/>
  <c r="AM759" i="6"/>
  <c r="AN761" i="6"/>
  <c r="AN541" i="6"/>
  <c r="AL541" i="6" s="1"/>
  <c r="AM681" i="6"/>
  <c r="W353" i="7" s="1"/>
  <c r="AN684" i="6"/>
  <c r="AL684" i="6" s="1"/>
  <c r="X404" i="7"/>
  <c r="X294" i="7"/>
  <c r="AL462" i="6"/>
  <c r="AM816" i="6"/>
  <c r="AK816" i="6" s="1"/>
  <c r="AM814" i="6"/>
  <c r="AK814" i="6" s="1"/>
  <c r="AM704" i="6"/>
  <c r="Z26" i="7"/>
  <c r="Z60" i="7"/>
  <c r="AL388" i="6"/>
  <c r="L11" i="9" s="1"/>
  <c r="AA22" i="7"/>
  <c r="AA233" i="7"/>
  <c r="AK388" i="6"/>
  <c r="K11" i="9" s="1"/>
  <c r="AA20" i="7"/>
  <c r="Y363" i="7"/>
  <c r="AB179" i="7"/>
  <c r="N24" i="9"/>
  <c r="Z294" i="7"/>
  <c r="Z24" i="7"/>
  <c r="AK552" i="6"/>
  <c r="Z296" i="7"/>
  <c r="AK842" i="6"/>
  <c r="AD193" i="7"/>
  <c r="Y347" i="7"/>
  <c r="AB177" i="7"/>
  <c r="M24" i="9"/>
  <c r="Z292" i="7"/>
  <c r="AL530" i="6"/>
  <c r="Z125" i="7"/>
  <c r="Z382" i="7"/>
  <c r="Z357" i="7"/>
  <c r="Y327" i="7"/>
  <c r="AL696" i="6"/>
  <c r="L71" i="9" s="1"/>
  <c r="K108" i="9"/>
  <c r="M60" i="9"/>
  <c r="Z353" i="7"/>
  <c r="Z384" i="7"/>
  <c r="M118" i="9"/>
  <c r="Z239" i="7"/>
  <c r="Y195" i="7"/>
  <c r="Z12" i="7"/>
  <c r="N118" i="9"/>
  <c r="Z241" i="7"/>
  <c r="L108" i="9"/>
  <c r="N153" i="9"/>
  <c r="AK696" i="6"/>
  <c r="N60" i="9"/>
  <c r="AL32" i="6"/>
  <c r="W159" i="7"/>
  <c r="Y113" i="7"/>
  <c r="Y163" i="7"/>
  <c r="M148" i="7"/>
  <c r="AK564" i="6"/>
  <c r="AK573" i="6"/>
  <c r="K94" i="9" s="1"/>
  <c r="AN762" i="6"/>
  <c r="AA306" i="7" s="1"/>
  <c r="AL859" i="6"/>
  <c r="Y64" i="7"/>
  <c r="X181" i="7"/>
  <c r="AK450" i="6"/>
  <c r="W402" i="7"/>
  <c r="AK760" i="6"/>
  <c r="Y304" i="7"/>
  <c r="Y426" i="7"/>
  <c r="AL166" i="6"/>
  <c r="AK197" i="6"/>
  <c r="W280" i="7"/>
  <c r="AK154" i="6"/>
  <c r="AK241" i="6"/>
  <c r="W284" i="7"/>
  <c r="W24" i="7"/>
  <c r="AL649" i="6"/>
  <c r="X68" i="7"/>
  <c r="AK890" i="6"/>
  <c r="K14" i="9" s="1"/>
  <c r="W365" i="7"/>
  <c r="AK363" i="6"/>
  <c r="X341" i="7"/>
  <c r="AN330" i="6"/>
  <c r="Y169" i="7"/>
  <c r="AM714" i="6"/>
  <c r="W227" i="7" s="1"/>
  <c r="AN714" i="6"/>
  <c r="AK638" i="6"/>
  <c r="X349" i="7"/>
  <c r="AM131" i="6"/>
  <c r="W325" i="7" s="1"/>
  <c r="AN132" i="6"/>
  <c r="X327" i="7" s="1"/>
  <c r="AK562" i="6"/>
  <c r="Y296" i="7"/>
  <c r="AM860" i="6"/>
  <c r="AK860" i="6" s="1"/>
  <c r="AM498" i="6"/>
  <c r="AA235" i="7" s="1"/>
  <c r="AN685" i="6"/>
  <c r="AL198" i="6"/>
  <c r="X282" i="7"/>
  <c r="AK198" i="6"/>
  <c r="X280" i="7"/>
  <c r="AL771" i="6"/>
  <c r="Y306" i="7"/>
  <c r="AL760" i="6"/>
  <c r="N166" i="9"/>
  <c r="K71" i="9"/>
  <c r="M166" i="9"/>
  <c r="N71" i="9"/>
  <c r="D179" i="9"/>
  <c r="D189" i="9"/>
  <c r="L166" i="9"/>
  <c r="K166" i="9"/>
  <c r="M71" i="9"/>
  <c r="AI1002" i="6"/>
  <c r="D186" i="9" s="1"/>
  <c r="K445" i="7"/>
  <c r="N25" i="9"/>
  <c r="L25" i="9"/>
  <c r="M25" i="9"/>
  <c r="K25" i="9"/>
  <c r="AJ1003" i="6"/>
  <c r="M50" i="8"/>
  <c r="G50" i="8"/>
  <c r="G23" i="8"/>
  <c r="B36" i="8"/>
  <c r="B50" i="8"/>
  <c r="B11" i="8"/>
  <c r="B23" i="8"/>
  <c r="M10" i="8"/>
  <c r="G10" i="8"/>
  <c r="M36" i="8"/>
  <c r="G36" i="8"/>
  <c r="Z133" i="7"/>
  <c r="M373" i="7"/>
  <c r="W532" i="6"/>
  <c r="AN531" i="6" s="1"/>
  <c r="N35" i="9" s="1"/>
  <c r="W521" i="6"/>
  <c r="AN520" i="6" s="1"/>
  <c r="AL520" i="6" s="1"/>
  <c r="W543" i="6"/>
  <c r="AM542" i="6" s="1"/>
  <c r="AK542" i="6" s="1"/>
  <c r="W554" i="6"/>
  <c r="AN553" i="6" s="1"/>
  <c r="Z310" i="7"/>
  <c r="Z337" i="7"/>
  <c r="AC103" i="7"/>
  <c r="Z251" i="7"/>
  <c r="X105" i="7"/>
  <c r="Z253" i="7"/>
  <c r="Z137" i="7"/>
  <c r="M428" i="7"/>
  <c r="M256" i="7"/>
  <c r="Z339" i="7"/>
  <c r="Z249" i="7"/>
  <c r="M430" i="7"/>
  <c r="M259" i="7"/>
  <c r="Z139" i="7"/>
  <c r="M429" i="7"/>
  <c r="M257" i="7"/>
  <c r="M313" i="7"/>
  <c r="M201" i="7"/>
  <c r="Z141" i="7"/>
  <c r="M371" i="7"/>
  <c r="M370" i="7"/>
  <c r="Z247" i="7"/>
  <c r="Z420" i="7"/>
  <c r="O422" i="7"/>
  <c r="AN839" i="6"/>
  <c r="AL839" i="6" s="1"/>
  <c r="AM839" i="6"/>
  <c r="AK839" i="6" s="1"/>
  <c r="AK365" i="6"/>
  <c r="Z341" i="7"/>
  <c r="AL488" i="6"/>
  <c r="AL444" i="6"/>
  <c r="AK596" i="6"/>
  <c r="Z410" i="7"/>
  <c r="AL266" i="6"/>
  <c r="Z335" i="7"/>
  <c r="AL423" i="6"/>
  <c r="AL739" i="6"/>
  <c r="Z245" i="7"/>
  <c r="AK299" i="6"/>
  <c r="Z288" i="7"/>
  <c r="AK321" i="6"/>
  <c r="Z394" i="7"/>
  <c r="AK587" i="6"/>
  <c r="AL134" i="6"/>
  <c r="Z163" i="7"/>
  <c r="AK201" i="6"/>
  <c r="AA280" i="7"/>
  <c r="AK565" i="6"/>
  <c r="AK167" i="6"/>
  <c r="Z16" i="7"/>
  <c r="AL454" i="6"/>
  <c r="L92" i="9" s="1"/>
  <c r="AK893" i="6"/>
  <c r="Z365" i="7"/>
  <c r="AL233" i="6"/>
  <c r="Z221" i="7"/>
  <c r="AL123" i="6"/>
  <c r="Z388" i="7"/>
  <c r="AL68" i="6"/>
  <c r="Z270" i="7"/>
  <c r="AL91" i="6"/>
  <c r="S12" i="7"/>
  <c r="AN35" i="6"/>
  <c r="Z135" i="7"/>
  <c r="O139" i="7"/>
  <c r="AN872" i="6"/>
  <c r="AL872" i="6" s="1"/>
  <c r="AM872" i="6"/>
  <c r="AK872" i="6" s="1"/>
  <c r="O316" i="7"/>
  <c r="AM927" i="6"/>
  <c r="AN927" i="6"/>
  <c r="AL927" i="6" s="1"/>
  <c r="O308" i="7"/>
  <c r="AM861" i="6"/>
  <c r="AK861" i="6" s="1"/>
  <c r="AN861" i="6"/>
  <c r="AL861" i="6" s="1"/>
  <c r="O202" i="7"/>
  <c r="AN916" i="6"/>
  <c r="AL916" i="6" s="1"/>
  <c r="O256" i="7"/>
  <c r="AM960" i="6"/>
  <c r="M52" i="9" s="1"/>
  <c r="AN960" i="6"/>
  <c r="AL960" i="6" s="1"/>
  <c r="Z363" i="7"/>
  <c r="O365" i="7"/>
  <c r="AN894" i="6"/>
  <c r="AM894" i="6"/>
  <c r="AA42" i="7" s="1"/>
  <c r="Z131" i="7"/>
  <c r="O440" i="7"/>
  <c r="AN982" i="6"/>
  <c r="AL982" i="6" s="1"/>
  <c r="L184" i="9" s="1"/>
  <c r="AM982" i="6"/>
  <c r="AK982" i="6" s="1"/>
  <c r="K184" i="9" s="1"/>
  <c r="AN157" i="6"/>
  <c r="N162" i="9" s="1"/>
  <c r="AM157" i="6"/>
  <c r="M162" i="9" s="1"/>
  <c r="AN224" i="6"/>
  <c r="AM224" i="6"/>
  <c r="AN499" i="6"/>
  <c r="AB233" i="7" s="1"/>
  <c r="AM499" i="6"/>
  <c r="AB231" i="7" s="1"/>
  <c r="AN190" i="6"/>
  <c r="N10" i="9" s="1"/>
  <c r="AM190" i="6"/>
  <c r="AM212" i="6"/>
  <c r="M67" i="9" s="1"/>
  <c r="AN212" i="6"/>
  <c r="N67" i="9" s="1"/>
  <c r="AN146" i="6"/>
  <c r="N138" i="9" s="1"/>
  <c r="AM146" i="6"/>
  <c r="AM278" i="6"/>
  <c r="M34" i="9" s="1"/>
  <c r="AN278" i="6"/>
  <c r="N34" i="9" s="1"/>
  <c r="AN245" i="6"/>
  <c r="N140" i="9" s="1"/>
  <c r="AN729" i="6"/>
  <c r="AM729" i="6"/>
  <c r="AM740" i="6"/>
  <c r="AA353" i="7" s="1"/>
  <c r="AN740" i="6"/>
  <c r="AM300" i="6"/>
  <c r="AN300" i="6"/>
  <c r="N129" i="9" s="1"/>
  <c r="AN322" i="6"/>
  <c r="N152" i="9" s="1"/>
  <c r="AM322" i="6"/>
  <c r="AN588" i="6"/>
  <c r="AM588" i="6"/>
  <c r="M199" i="7"/>
  <c r="AM663" i="6"/>
  <c r="AK663" i="6" s="1"/>
  <c r="AN663" i="6"/>
  <c r="AL663" i="6" s="1"/>
  <c r="AM686" i="6"/>
  <c r="AN686" i="6"/>
  <c r="AM234" i="6"/>
  <c r="M45" i="9" s="1"/>
  <c r="AN234" i="6"/>
  <c r="N45" i="9" s="1"/>
  <c r="AN311" i="6"/>
  <c r="AL311" i="6" s="1"/>
  <c r="L68" i="9" s="1"/>
  <c r="AM311" i="6"/>
  <c r="AK311" i="6" s="1"/>
  <c r="AM653" i="6"/>
  <c r="AN653" i="6"/>
  <c r="AM202" i="6"/>
  <c r="AN202" i="6"/>
  <c r="AN344" i="6"/>
  <c r="AL344" i="6" s="1"/>
  <c r="AM344" i="6"/>
  <c r="AK344" i="6" s="1"/>
  <c r="AM630" i="6"/>
  <c r="AA239" i="7" s="1"/>
  <c r="AN630" i="6"/>
  <c r="AA241" i="7" s="1"/>
  <c r="AM697" i="6"/>
  <c r="AN697" i="6"/>
  <c r="AM400" i="6"/>
  <c r="AB398" i="7" s="1"/>
  <c r="AN400" i="6"/>
  <c r="AB400" i="7" s="1"/>
  <c r="AN168" i="6"/>
  <c r="N23" i="9" s="1"/>
  <c r="AM168" i="6"/>
  <c r="AN707" i="6"/>
  <c r="AA302" i="7" s="1"/>
  <c r="AN455" i="6"/>
  <c r="AM455" i="6"/>
  <c r="M315" i="7"/>
  <c r="M146" i="7"/>
  <c r="AL629" i="6"/>
  <c r="Z183" i="7"/>
  <c r="AL365" i="6"/>
  <c r="Z343" i="7"/>
  <c r="AK488" i="6"/>
  <c r="AK717" i="6"/>
  <c r="Z127" i="7"/>
  <c r="AK444" i="6"/>
  <c r="AL596" i="6"/>
  <c r="AK266" i="6"/>
  <c r="Z333" i="7"/>
  <c r="AK464" i="6"/>
  <c r="Z119" i="7"/>
  <c r="AK423" i="6"/>
  <c r="AK739" i="6"/>
  <c r="Z243" i="7"/>
  <c r="AL299" i="6"/>
  <c r="Z290" i="7"/>
  <c r="AL321" i="6"/>
  <c r="Z396" i="7"/>
  <c r="AL587" i="6"/>
  <c r="AK959" i="6"/>
  <c r="Z255" i="7"/>
  <c r="AK937" i="6"/>
  <c r="Z426" i="7"/>
  <c r="AK134" i="6"/>
  <c r="Z161" i="7"/>
  <c r="AL201" i="6"/>
  <c r="AA282" i="7"/>
  <c r="AL565" i="6"/>
  <c r="AL167" i="6"/>
  <c r="Z18" i="7"/>
  <c r="AK454" i="6"/>
  <c r="AL882" i="6"/>
  <c r="Z195" i="7"/>
  <c r="AK685" i="6"/>
  <c r="AK233" i="6"/>
  <c r="Z219" i="7"/>
  <c r="AK123" i="6"/>
  <c r="Z386" i="7"/>
  <c r="AK68" i="6"/>
  <c r="Z268" i="7"/>
  <c r="AK91" i="6"/>
  <c r="O251" i="7"/>
  <c r="AM850" i="6"/>
  <c r="AK850" i="6" s="1"/>
  <c r="AN850" i="6"/>
  <c r="AL850" i="6" s="1"/>
  <c r="AM905" i="6"/>
  <c r="AN905" i="6"/>
  <c r="AL905" i="6" s="1"/>
  <c r="L97" i="9" s="1"/>
  <c r="O467" i="7"/>
  <c r="AN1081" i="6"/>
  <c r="AL1081" i="6" s="1"/>
  <c r="L178" i="9" s="1"/>
  <c r="AM1081" i="6"/>
  <c r="AK1081" i="6" s="1"/>
  <c r="K178" i="9" s="1"/>
  <c r="O193" i="7"/>
  <c r="AM883" i="6"/>
  <c r="AN883" i="6"/>
  <c r="O461" i="7"/>
  <c r="AN1059" i="6"/>
  <c r="AL1059" i="6" s="1"/>
  <c r="L188" i="9" s="1"/>
  <c r="AM1059" i="6"/>
  <c r="AK1059" i="6" s="1"/>
  <c r="K188" i="9" s="1"/>
  <c r="O427" i="7"/>
  <c r="AM938" i="6"/>
  <c r="M158" i="9" s="1"/>
  <c r="AN938" i="6"/>
  <c r="AL938" i="6" s="1"/>
  <c r="Z359" i="7"/>
  <c r="M202" i="7"/>
  <c r="M316" i="7"/>
  <c r="M147" i="7"/>
  <c r="AK915" i="6"/>
  <c r="Z198" i="7"/>
  <c r="AL156" i="6"/>
  <c r="Z278" i="7"/>
  <c r="AK223" i="6"/>
  <c r="K151" i="9" s="1"/>
  <c r="AA390" i="7"/>
  <c r="AL498" i="6"/>
  <c r="AA64" i="7"/>
  <c r="AK189" i="6"/>
  <c r="Z215" i="7"/>
  <c r="AL211" i="6"/>
  <c r="Z331" i="7"/>
  <c r="AL145" i="6"/>
  <c r="Z109" i="7"/>
  <c r="AL277" i="6"/>
  <c r="Z117" i="7"/>
  <c r="AK244" i="6"/>
  <c r="Z284" i="7"/>
  <c r="AK478" i="6"/>
  <c r="AK728" i="6"/>
  <c r="Z189" i="7"/>
  <c r="AL640" i="6"/>
  <c r="L70" i="9" s="1"/>
  <c r="Z351" i="7"/>
  <c r="AK509" i="6"/>
  <c r="K59" i="9" s="1"/>
  <c r="AL79" i="6"/>
  <c r="Z213" i="7"/>
  <c r="AK57" i="6"/>
  <c r="K105" i="9" s="1"/>
  <c r="Z157" i="7"/>
  <c r="AL46" i="6"/>
  <c r="Z56" i="7"/>
  <c r="AK948" i="6"/>
  <c r="Z144" i="7"/>
  <c r="AL652" i="6"/>
  <c r="AK178" i="6"/>
  <c r="Z111" i="7"/>
  <c r="AL101" i="6"/>
  <c r="Z327" i="7"/>
  <c r="AK574" i="6"/>
  <c r="Z406" i="7"/>
  <c r="AK882" i="6"/>
  <c r="Z193" i="7"/>
  <c r="AL255" i="6"/>
  <c r="Z225" i="7"/>
  <c r="AL112" i="6"/>
  <c r="Z274" i="7"/>
  <c r="AK355" i="6"/>
  <c r="K69" i="9" s="1"/>
  <c r="AA169" i="7"/>
  <c r="AK629" i="6"/>
  <c r="Z181" i="7"/>
  <c r="AK762" i="6"/>
  <c r="AA304" i="7"/>
  <c r="AL717" i="6"/>
  <c r="AL464" i="6"/>
  <c r="Z121" i="7"/>
  <c r="S103" i="7"/>
  <c r="AN24" i="6"/>
  <c r="O247" i="7"/>
  <c r="AN795" i="6"/>
  <c r="AL795" i="6" s="1"/>
  <c r="L26" i="9" s="1"/>
  <c r="AM795" i="6"/>
  <c r="AK795" i="6" s="1"/>
  <c r="O135" i="7"/>
  <c r="AN817" i="6"/>
  <c r="AL817" i="6" s="1"/>
  <c r="L142" i="9" s="1"/>
  <c r="AM817" i="6"/>
  <c r="AK817" i="6" s="1"/>
  <c r="O464" i="7"/>
  <c r="AN1070" i="6"/>
  <c r="AL1070" i="6" s="1"/>
  <c r="L189" i="9" s="1"/>
  <c r="AM1070" i="6"/>
  <c r="AK1070" i="6" s="1"/>
  <c r="K189" i="9" s="1"/>
  <c r="O470" i="7"/>
  <c r="AN1092" i="6"/>
  <c r="AL1092" i="6" s="1"/>
  <c r="L179" i="9" s="1"/>
  <c r="AM1092" i="6"/>
  <c r="AK1092" i="6" s="1"/>
  <c r="K179" i="9" s="1"/>
  <c r="O446" i="7"/>
  <c r="AN1004" i="6"/>
  <c r="AL1004" i="6" s="1"/>
  <c r="L186" i="9" s="1"/>
  <c r="AM1004" i="6"/>
  <c r="AK1004" i="6" s="1"/>
  <c r="K186" i="9" s="1"/>
  <c r="O418" i="7"/>
  <c r="AM773" i="6"/>
  <c r="AK773" i="6" s="1"/>
  <c r="AN773" i="6"/>
  <c r="AL773" i="6" s="1"/>
  <c r="O443" i="7"/>
  <c r="AN993" i="6"/>
  <c r="AL993" i="6" s="1"/>
  <c r="L185" i="9" s="1"/>
  <c r="AM993" i="6"/>
  <c r="AK993" i="6" s="1"/>
  <c r="K185" i="9" s="1"/>
  <c r="O145" i="7"/>
  <c r="AN949" i="6"/>
  <c r="AL949" i="6" s="1"/>
  <c r="AM949" i="6"/>
  <c r="M29" i="9" s="1"/>
  <c r="O452" i="7"/>
  <c r="AM1026" i="6"/>
  <c r="AK1026" i="6" s="1"/>
  <c r="K176" i="9" s="1"/>
  <c r="AN1026" i="6"/>
  <c r="AL1026" i="6" s="1"/>
  <c r="L176" i="9" s="1"/>
  <c r="O449" i="7"/>
  <c r="AM1015" i="6"/>
  <c r="AK1015" i="6" s="1"/>
  <c r="K175" i="9" s="1"/>
  <c r="AN1015" i="6"/>
  <c r="AL1015" i="6" s="1"/>
  <c r="L175" i="9" s="1"/>
  <c r="O372" i="7"/>
  <c r="AN971" i="6"/>
  <c r="AL971" i="6" s="1"/>
  <c r="AM971" i="6"/>
  <c r="M75" i="9" s="1"/>
  <c r="O458" i="7"/>
  <c r="AM1048" i="6"/>
  <c r="AK1048" i="6" s="1"/>
  <c r="K187" i="9" s="1"/>
  <c r="AN1048" i="6"/>
  <c r="AL1048" i="6" s="1"/>
  <c r="L187" i="9" s="1"/>
  <c r="Z422" i="7"/>
  <c r="O361" i="7"/>
  <c r="AN828" i="6"/>
  <c r="AL828" i="6" s="1"/>
  <c r="L37" i="9" s="1"/>
  <c r="AM828" i="6"/>
  <c r="AK828" i="6" s="1"/>
  <c r="K37" i="9" s="1"/>
  <c r="O455" i="7"/>
  <c r="AN1037" i="6"/>
  <c r="AL1037" i="6" s="1"/>
  <c r="L177" i="9" s="1"/>
  <c r="AM1037" i="6"/>
  <c r="AK1037" i="6" s="1"/>
  <c r="K177" i="9" s="1"/>
  <c r="O131" i="7"/>
  <c r="AN784" i="6"/>
  <c r="AL784" i="6" s="1"/>
  <c r="AM784" i="6"/>
  <c r="AK784" i="6" s="1"/>
  <c r="O357" i="7"/>
  <c r="AN806" i="6"/>
  <c r="AL806" i="6" s="1"/>
  <c r="AM806" i="6"/>
  <c r="AK806" i="6" s="1"/>
  <c r="AM366" i="6"/>
  <c r="AN366" i="6"/>
  <c r="AA60" i="7" s="1"/>
  <c r="AM389" i="6"/>
  <c r="AN389" i="6"/>
  <c r="AN334" i="6"/>
  <c r="AL334" i="6" s="1"/>
  <c r="AM334" i="6"/>
  <c r="AK334" i="6" s="1"/>
  <c r="AM489" i="6"/>
  <c r="AN489" i="6"/>
  <c r="AN718" i="6"/>
  <c r="AM718" i="6"/>
  <c r="AM445" i="6"/>
  <c r="AN445" i="6"/>
  <c r="AN597" i="6"/>
  <c r="N12" i="9" s="1"/>
  <c r="AM597" i="6"/>
  <c r="AA24" i="7" s="1"/>
  <c r="AM267" i="6"/>
  <c r="M80" i="9" s="1"/>
  <c r="AN267" i="6"/>
  <c r="N80" i="9" s="1"/>
  <c r="AM465" i="6"/>
  <c r="AN465" i="6"/>
  <c r="AN641" i="6"/>
  <c r="N165" i="9" s="1"/>
  <c r="AM641" i="6"/>
  <c r="M165" i="9" s="1"/>
  <c r="AN510" i="6"/>
  <c r="AM510" i="6"/>
  <c r="AN80" i="6"/>
  <c r="N90" i="9" s="1"/>
  <c r="AM80" i="6"/>
  <c r="AN58" i="6"/>
  <c r="AA384" i="7" s="1"/>
  <c r="AM58" i="6"/>
  <c r="AA382" i="7" s="1"/>
  <c r="AM47" i="6"/>
  <c r="AN47" i="6"/>
  <c r="N127" i="9" s="1"/>
  <c r="AM256" i="6"/>
  <c r="AN256" i="6"/>
  <c r="N57" i="9" s="1"/>
  <c r="AM113" i="6"/>
  <c r="AN113" i="6"/>
  <c r="N22" i="9" s="1"/>
  <c r="AM135" i="6"/>
  <c r="AN135" i="6"/>
  <c r="AM124" i="6"/>
  <c r="M128" i="9" s="1"/>
  <c r="AN124" i="6"/>
  <c r="N128" i="9" s="1"/>
  <c r="AM356" i="6"/>
  <c r="AN356" i="6"/>
  <c r="AN179" i="6"/>
  <c r="AM179" i="6"/>
  <c r="AN566" i="6"/>
  <c r="AM566" i="6"/>
  <c r="AN102" i="6"/>
  <c r="N106" i="9" s="1"/>
  <c r="AM102" i="6"/>
  <c r="M106" i="9" s="1"/>
  <c r="AM69" i="6"/>
  <c r="AA12" i="7" s="1"/>
  <c r="AN69" i="6"/>
  <c r="AA14" i="7" s="1"/>
  <c r="AM92" i="6"/>
  <c r="AN92" i="6"/>
  <c r="AN290" i="6"/>
  <c r="AL290" i="6" s="1"/>
  <c r="AM290" i="6"/>
  <c r="AK290" i="6" s="1"/>
  <c r="AN575" i="6"/>
  <c r="AA72" i="7" s="1"/>
  <c r="AM575" i="6"/>
  <c r="AA70" i="7" s="1"/>
  <c r="AM763" i="6"/>
  <c r="AN763" i="6"/>
  <c r="AK156" i="6"/>
  <c r="AL223" i="6"/>
  <c r="L151" i="9" s="1"/>
  <c r="AA392" i="7"/>
  <c r="AA62" i="7"/>
  <c r="AL189" i="6"/>
  <c r="Z217" i="7"/>
  <c r="AK211" i="6"/>
  <c r="Z329" i="7"/>
  <c r="AK277" i="6"/>
  <c r="Z115" i="7"/>
  <c r="AL244" i="6"/>
  <c r="Z286" i="7"/>
  <c r="AL478" i="6"/>
  <c r="AL728" i="6"/>
  <c r="Z191" i="7"/>
  <c r="AK640" i="6"/>
  <c r="AL509" i="6"/>
  <c r="L59" i="9" s="1"/>
  <c r="AA237" i="7"/>
  <c r="AL57" i="6"/>
  <c r="AK46" i="6"/>
  <c r="AK970" i="6"/>
  <c r="Z369" i="7"/>
  <c r="AL178" i="6"/>
  <c r="Z113" i="7"/>
  <c r="AK101" i="6"/>
  <c r="Z325" i="7"/>
  <c r="AL574" i="6"/>
  <c r="AL893" i="6"/>
  <c r="Z367" i="7"/>
  <c r="AK255" i="6"/>
  <c r="Z223" i="7"/>
  <c r="AK112" i="6"/>
  <c r="Z272" i="7"/>
  <c r="AL355" i="6"/>
  <c r="L69" i="9" s="1"/>
  <c r="AA171" i="7"/>
  <c r="AL399" i="6"/>
  <c r="L163" i="9" s="1"/>
  <c r="AA175" i="7"/>
  <c r="AK926" i="6"/>
  <c r="Z312" i="7"/>
  <c r="W158" i="6"/>
  <c r="O276" i="7"/>
  <c r="W225" i="6"/>
  <c r="Q390" i="7"/>
  <c r="W500" i="6"/>
  <c r="AM496" i="6" s="1"/>
  <c r="Y235" i="7" s="1"/>
  <c r="Q62" i="7"/>
  <c r="W191" i="6"/>
  <c r="AM188" i="6" s="1"/>
  <c r="Y16" i="7" s="1"/>
  <c r="O215" i="7"/>
  <c r="W213" i="6"/>
  <c r="O329" i="7"/>
  <c r="W147" i="6"/>
  <c r="AM144" i="6" s="1"/>
  <c r="Y276" i="7" s="1"/>
  <c r="O107" i="7"/>
  <c r="W279" i="6"/>
  <c r="O115" i="7"/>
  <c r="W246" i="6"/>
  <c r="AM245" i="6" s="1"/>
  <c r="M140" i="9" s="1"/>
  <c r="O284" i="7"/>
  <c r="W730" i="6"/>
  <c r="O189" i="7"/>
  <c r="W741" i="6"/>
  <c r="O243" i="7"/>
  <c r="W301" i="6"/>
  <c r="AM297" i="6" s="1"/>
  <c r="O288" i="7"/>
  <c r="W323" i="6"/>
  <c r="AM319" i="6" s="1"/>
  <c r="X337" i="7" s="1"/>
  <c r="O394" i="7"/>
  <c r="S123" i="7"/>
  <c r="W589" i="6"/>
  <c r="U123" i="7" s="1"/>
  <c r="W664" i="6"/>
  <c r="W687" i="6"/>
  <c r="Q24" i="7"/>
  <c r="W235" i="6"/>
  <c r="O219" i="7"/>
  <c r="W312" i="6"/>
  <c r="O337" i="7"/>
  <c r="W654" i="6"/>
  <c r="Q66" i="7"/>
  <c r="W203" i="6"/>
  <c r="Q280" i="7"/>
  <c r="W345" i="6"/>
  <c r="W631" i="6"/>
  <c r="O181" i="7"/>
  <c r="W698" i="6"/>
  <c r="W401" i="6"/>
  <c r="Q173" i="7"/>
  <c r="W169" i="6"/>
  <c r="AM165" i="6" s="1"/>
  <c r="X111" i="7" s="1"/>
  <c r="O16" i="7"/>
  <c r="W708" i="6"/>
  <c r="O185" i="7"/>
  <c r="W456" i="6"/>
  <c r="Q402" i="7"/>
  <c r="W367" i="6"/>
  <c r="AM364" i="6" s="1"/>
  <c r="O341" i="7"/>
  <c r="W390" i="6"/>
  <c r="W335" i="6"/>
  <c r="AM329" i="6" s="1"/>
  <c r="W169" i="7" s="1"/>
  <c r="Q58" i="7"/>
  <c r="S345" i="7"/>
  <c r="W490" i="6"/>
  <c r="U345" i="7" s="1"/>
  <c r="W719" i="6"/>
  <c r="O127" i="7"/>
  <c r="S227" i="7"/>
  <c r="W446" i="6"/>
  <c r="U227" i="7" s="1"/>
  <c r="W598" i="6"/>
  <c r="O410" i="7"/>
  <c r="W268" i="6"/>
  <c r="O333" i="7"/>
  <c r="W466" i="6"/>
  <c r="AN463" i="6" s="1"/>
  <c r="O119" i="7"/>
  <c r="W1104" i="6"/>
  <c r="O473" i="7"/>
  <c r="W642" i="6"/>
  <c r="O349" i="7"/>
  <c r="W511" i="6"/>
  <c r="Q235" i="7"/>
  <c r="W81" i="6"/>
  <c r="AM78" i="6" s="1"/>
  <c r="Y54" i="7" s="1"/>
  <c r="O211" i="7"/>
  <c r="W59" i="6"/>
  <c r="O157" i="7"/>
  <c r="W48" i="6"/>
  <c r="AM43" i="6" s="1"/>
  <c r="W268" i="7" s="1"/>
  <c r="O54" i="7"/>
  <c r="W257" i="6"/>
  <c r="AM254" i="6" s="1"/>
  <c r="O223" i="7"/>
  <c r="W114" i="6"/>
  <c r="AM110" i="6" s="1"/>
  <c r="X107" i="7" s="1"/>
  <c r="O272" i="7"/>
  <c r="W136" i="6"/>
  <c r="O161" i="7"/>
  <c r="W125" i="6"/>
  <c r="O386" i="7"/>
  <c r="W357" i="6"/>
  <c r="Q169" i="7"/>
  <c r="W180" i="6"/>
  <c r="O111" i="7"/>
  <c r="S296" i="7"/>
  <c r="W567" i="6"/>
  <c r="U296" i="7" s="1"/>
  <c r="W103" i="6"/>
  <c r="O325" i="7"/>
  <c r="W70" i="6"/>
  <c r="O268" i="7"/>
  <c r="W93" i="6"/>
  <c r="Q382" i="7"/>
  <c r="W291" i="6"/>
  <c r="Q165" i="7"/>
  <c r="W576" i="6"/>
  <c r="O406" i="7"/>
  <c r="W764" i="6"/>
  <c r="Q304" i="7"/>
  <c r="W950" i="6"/>
  <c r="W862" i="6"/>
  <c r="AM858" i="6" s="1"/>
  <c r="X193" i="7" s="1"/>
  <c r="W983" i="6"/>
  <c r="W28" i="6"/>
  <c r="U103" i="7" s="1"/>
  <c r="W818" i="6"/>
  <c r="W1071" i="6"/>
  <c r="W1005" i="6"/>
  <c r="W906" i="6"/>
  <c r="W840" i="6"/>
  <c r="W939" i="6"/>
  <c r="W1060" i="6"/>
  <c r="W873" i="6"/>
  <c r="AM869" i="6" s="1"/>
  <c r="W1027" i="6"/>
  <c r="W928" i="6"/>
  <c r="AM923" i="6" s="1"/>
  <c r="W1016" i="6"/>
  <c r="W917" i="6"/>
  <c r="AM916" i="6" s="1"/>
  <c r="M112" i="9" s="1"/>
  <c r="W1049" i="6"/>
  <c r="W961" i="6"/>
  <c r="W895" i="6"/>
  <c r="W807" i="6"/>
  <c r="W972" i="6"/>
  <c r="W829" i="6"/>
  <c r="W1038" i="6"/>
  <c r="W796" i="6"/>
  <c r="AM791" i="6" s="1"/>
  <c r="W135" i="7" s="1"/>
  <c r="W851" i="6"/>
  <c r="W1093" i="6"/>
  <c r="W774" i="6"/>
  <c r="W1082" i="6"/>
  <c r="W884" i="6"/>
  <c r="W994" i="6"/>
  <c r="W39" i="6"/>
  <c r="U12" i="7" s="1"/>
  <c r="W14" i="7"/>
  <c r="AA167" i="7"/>
  <c r="AA165" i="7"/>
  <c r="AB103" i="7"/>
  <c r="AK905" i="6" l="1"/>
  <c r="K97" i="9" s="1"/>
  <c r="AA91" i="7"/>
  <c r="Z412" i="7"/>
  <c r="AA414" i="7"/>
  <c r="AA227" i="7"/>
  <c r="W416" i="7"/>
  <c r="W229" i="7"/>
  <c r="AA416" i="7"/>
  <c r="AA229" i="7"/>
  <c r="AL496" i="6"/>
  <c r="Y237" i="7"/>
  <c r="X239" i="7"/>
  <c r="X243" i="7"/>
  <c r="AK627" i="6"/>
  <c r="Z424" i="7"/>
  <c r="W785" i="6"/>
  <c r="AN782" i="6" s="1"/>
  <c r="Y424" i="7" s="1"/>
  <c r="AA66" i="7"/>
  <c r="AA68" i="7"/>
  <c r="L83" i="9"/>
  <c r="M57" i="9"/>
  <c r="K93" i="9"/>
  <c r="M10" i="9"/>
  <c r="N130" i="9"/>
  <c r="M91" i="9"/>
  <c r="N46" i="9"/>
  <c r="N141" i="9"/>
  <c r="M127" i="9"/>
  <c r="M134" i="9"/>
  <c r="M116" i="9"/>
  <c r="M79" i="9"/>
  <c r="AA58" i="7"/>
  <c r="Z349" i="7"/>
  <c r="M152" i="9"/>
  <c r="L56" i="9"/>
  <c r="L120" i="9"/>
  <c r="L119" i="9"/>
  <c r="AL552" i="6"/>
  <c r="K81" i="9"/>
  <c r="M184" i="9"/>
  <c r="L81" i="9"/>
  <c r="N81" i="9"/>
  <c r="N120" i="9"/>
  <c r="M164" i="9"/>
  <c r="N184" i="9"/>
  <c r="N142" i="9"/>
  <c r="N188" i="9"/>
  <c r="M189" i="9"/>
  <c r="L139" i="9"/>
  <c r="N83" i="9"/>
  <c r="M81" i="9"/>
  <c r="N154" i="9"/>
  <c r="AK530" i="6"/>
  <c r="M37" i="9"/>
  <c r="N187" i="9"/>
  <c r="N189" i="9"/>
  <c r="N178" i="9"/>
  <c r="M150" i="9"/>
  <c r="N9" i="9"/>
  <c r="N185" i="9"/>
  <c r="N179" i="9"/>
  <c r="M186" i="9"/>
  <c r="M177" i="9"/>
  <c r="M185" i="9"/>
  <c r="M109" i="9"/>
  <c r="M187" i="9"/>
  <c r="M175" i="9"/>
  <c r="N177" i="9"/>
  <c r="M178" i="9"/>
  <c r="N68" i="9"/>
  <c r="M49" i="9"/>
  <c r="M179" i="9"/>
  <c r="M188" i="9"/>
  <c r="N175" i="9"/>
  <c r="K139" i="9"/>
  <c r="AA231" i="7"/>
  <c r="M9" i="9"/>
  <c r="M12" i="9"/>
  <c r="M72" i="9"/>
  <c r="N72" i="9"/>
  <c r="L72" i="9"/>
  <c r="K72" i="9"/>
  <c r="N26" i="9"/>
  <c r="N37" i="9"/>
  <c r="M176" i="9"/>
  <c r="N155" i="9"/>
  <c r="N176" i="9"/>
  <c r="N49" i="9"/>
  <c r="M68" i="9"/>
  <c r="N186" i="9"/>
  <c r="N119" i="9"/>
  <c r="N70" i="9"/>
  <c r="N150" i="9"/>
  <c r="N91" i="9"/>
  <c r="AK681" i="6"/>
  <c r="AK759" i="6"/>
  <c r="Z355" i="7"/>
  <c r="Z159" i="7"/>
  <c r="X304" i="7"/>
  <c r="Z408" i="7"/>
  <c r="Y233" i="7"/>
  <c r="AA355" i="7"/>
  <c r="K142" i="9"/>
  <c r="AM520" i="6"/>
  <c r="AA349" i="7" s="1"/>
  <c r="AM531" i="6"/>
  <c r="AA123" i="7" s="1"/>
  <c r="AM553" i="6"/>
  <c r="AA296" i="7" s="1"/>
  <c r="AN542" i="6"/>
  <c r="AA412" i="7" s="1"/>
  <c r="AM399" i="6"/>
  <c r="AA402" i="7" s="1"/>
  <c r="AM398" i="6"/>
  <c r="Z402" i="7" s="1"/>
  <c r="Z231" i="7"/>
  <c r="AK497" i="6"/>
  <c r="AL761" i="6"/>
  <c r="Z306" i="7"/>
  <c r="AM662" i="6"/>
  <c r="AK662" i="6" s="1"/>
  <c r="AM660" i="6"/>
  <c r="AN706" i="6"/>
  <c r="AL706" i="6" s="1"/>
  <c r="AN704" i="6"/>
  <c r="M23" i="9"/>
  <c r="AM772" i="6"/>
  <c r="AK772" i="6" s="1"/>
  <c r="AM770" i="6"/>
  <c r="AM453" i="6"/>
  <c r="Z62" i="7" s="1"/>
  <c r="AM451" i="6"/>
  <c r="X171" i="7"/>
  <c r="N116" i="9"/>
  <c r="X300" i="7"/>
  <c r="AK704" i="6"/>
  <c r="N79" i="9"/>
  <c r="Y404" i="7"/>
  <c r="Y294" i="7"/>
  <c r="N109" i="9"/>
  <c r="Y345" i="7"/>
  <c r="Y231" i="7"/>
  <c r="AA292" i="7"/>
  <c r="K24" i="9"/>
  <c r="AL553" i="6"/>
  <c r="L141" i="9" s="1"/>
  <c r="AA298" i="7"/>
  <c r="AC179" i="7"/>
  <c r="AL389" i="6"/>
  <c r="AB22" i="7"/>
  <c r="L24" i="9"/>
  <c r="AC177" i="7"/>
  <c r="AK389" i="6"/>
  <c r="AB20" i="7"/>
  <c r="AB345" i="7"/>
  <c r="AL531" i="6"/>
  <c r="L35" i="9" s="1"/>
  <c r="AA125" i="7"/>
  <c r="AA404" i="7"/>
  <c r="AA294" i="7"/>
  <c r="AB347" i="7"/>
  <c r="AA26" i="7"/>
  <c r="W185" i="7"/>
  <c r="W414" i="7"/>
  <c r="K120" i="9"/>
  <c r="AL685" i="6"/>
  <c r="AL762" i="6"/>
  <c r="W375" i="7"/>
  <c r="Z19" i="8" s="1"/>
  <c r="K60" i="9"/>
  <c r="L60" i="9"/>
  <c r="N105" i="9"/>
  <c r="Z129" i="7"/>
  <c r="AL697" i="6"/>
  <c r="AK498" i="6"/>
  <c r="AA345" i="7"/>
  <c r="M120" i="9"/>
  <c r="K118" i="9"/>
  <c r="AK697" i="6"/>
  <c r="K164" i="9"/>
  <c r="K95" i="9"/>
  <c r="L153" i="9"/>
  <c r="L118" i="9"/>
  <c r="L49" i="9"/>
  <c r="K49" i="9"/>
  <c r="L95" i="9"/>
  <c r="W47" i="7"/>
  <c r="Z6" i="8" s="1"/>
  <c r="AA424" i="7"/>
  <c r="Z308" i="7"/>
  <c r="M142" i="9"/>
  <c r="AK131" i="6"/>
  <c r="W161" i="7"/>
  <c r="AK714" i="6"/>
  <c r="W127" i="7"/>
  <c r="W312" i="7"/>
  <c r="AK923" i="6"/>
  <c r="AN758" i="6"/>
  <c r="AM758" i="6"/>
  <c r="AK254" i="6"/>
  <c r="Y223" i="7"/>
  <c r="M153" i="9"/>
  <c r="X16" i="7"/>
  <c r="X47" i="7" s="1"/>
  <c r="Z7" i="8" s="1"/>
  <c r="AK165" i="6"/>
  <c r="AN650" i="6"/>
  <c r="Y133" i="7" s="1"/>
  <c r="AM650" i="6"/>
  <c r="M36" i="9" s="1"/>
  <c r="AK319" i="6"/>
  <c r="K68" i="9" s="1"/>
  <c r="X394" i="7"/>
  <c r="X432" i="7" s="1"/>
  <c r="Z47" i="8" s="1"/>
  <c r="AK144" i="6"/>
  <c r="Y107" i="7"/>
  <c r="Y215" i="7"/>
  <c r="AK188" i="6"/>
  <c r="Z187" i="7"/>
  <c r="Z418" i="7"/>
  <c r="AK331" i="6"/>
  <c r="Y58" i="7"/>
  <c r="AK791" i="6"/>
  <c r="W247" i="7"/>
  <c r="AK858" i="6"/>
  <c r="X308" i="7"/>
  <c r="AA173" i="7"/>
  <c r="AL330" i="6"/>
  <c r="L116" i="9" s="1"/>
  <c r="X60" i="7"/>
  <c r="AK869" i="6"/>
  <c r="X139" i="7"/>
  <c r="X150" i="7" s="1"/>
  <c r="AF7" i="8" s="1"/>
  <c r="X272" i="7"/>
  <c r="AK110" i="6"/>
  <c r="AK43" i="6"/>
  <c r="W54" i="7"/>
  <c r="AK78" i="6"/>
  <c r="Y211" i="7"/>
  <c r="Y121" i="7"/>
  <c r="AL463" i="6"/>
  <c r="AK329" i="6"/>
  <c r="W58" i="7"/>
  <c r="Y341" i="7"/>
  <c r="AK364" i="6"/>
  <c r="AM683" i="6"/>
  <c r="AN683" i="6"/>
  <c r="Y355" i="7" s="1"/>
  <c r="X288" i="7"/>
  <c r="AK297" i="6"/>
  <c r="AK496" i="6"/>
  <c r="Y62" i="7"/>
  <c r="AL132" i="6"/>
  <c r="X163" i="7"/>
  <c r="AL714" i="6"/>
  <c r="L46" i="9" s="1"/>
  <c r="AL24" i="6"/>
  <c r="L33" i="9" s="1"/>
  <c r="N33" i="9"/>
  <c r="M51" i="8"/>
  <c r="M11" i="8"/>
  <c r="G24" i="8"/>
  <c r="B37" i="8"/>
  <c r="B51" i="8"/>
  <c r="G11" i="8"/>
  <c r="G37" i="8"/>
  <c r="M37" i="8"/>
  <c r="G51" i="8"/>
  <c r="B24" i="8"/>
  <c r="B12" i="8"/>
  <c r="Z105" i="7"/>
  <c r="W522" i="6"/>
  <c r="AN521" i="6" s="1"/>
  <c r="AL521" i="6" s="1"/>
  <c r="W544" i="6"/>
  <c r="AN543" i="6" s="1"/>
  <c r="AL543" i="6" s="1"/>
  <c r="W555" i="6"/>
  <c r="AM554" i="6" s="1"/>
  <c r="W533" i="6"/>
  <c r="AM532" i="6" s="1"/>
  <c r="AA133" i="7"/>
  <c r="AA247" i="7"/>
  <c r="AA357" i="7"/>
  <c r="O314" i="7"/>
  <c r="AA251" i="7"/>
  <c r="AA337" i="7"/>
  <c r="AA420" i="7"/>
  <c r="AA361" i="7"/>
  <c r="AA141" i="7"/>
  <c r="AA131" i="7"/>
  <c r="O429" i="7"/>
  <c r="O259" i="7"/>
  <c r="O201" i="7"/>
  <c r="O147" i="7"/>
  <c r="AA308" i="7"/>
  <c r="O146" i="7"/>
  <c r="O315" i="7"/>
  <c r="O428" i="7"/>
  <c r="O148" i="7"/>
  <c r="O313" i="7"/>
  <c r="O430" i="7"/>
  <c r="AA418" i="7"/>
  <c r="AA363" i="7"/>
  <c r="AA339" i="7"/>
  <c r="O373" i="7"/>
  <c r="O199" i="7"/>
  <c r="O200" i="7"/>
  <c r="O371" i="7"/>
  <c r="O257" i="7"/>
  <c r="AA137" i="7"/>
  <c r="O370" i="7"/>
  <c r="O258" i="7"/>
  <c r="AA310" i="7"/>
  <c r="Q202" i="7"/>
  <c r="AN917" i="6"/>
  <c r="AL917" i="6" s="1"/>
  <c r="AM917" i="6"/>
  <c r="Q461" i="7"/>
  <c r="AN1060" i="6"/>
  <c r="AL1060" i="6" s="1"/>
  <c r="AM1060" i="6"/>
  <c r="AK1060" i="6" s="1"/>
  <c r="Q464" i="7"/>
  <c r="AN1071" i="6"/>
  <c r="AL1071" i="6" s="1"/>
  <c r="AM1071" i="6"/>
  <c r="AK1071" i="6" s="1"/>
  <c r="AN169" i="6"/>
  <c r="AM169" i="6"/>
  <c r="AN654" i="6"/>
  <c r="AM654" i="6"/>
  <c r="AN323" i="6"/>
  <c r="AM323" i="6"/>
  <c r="AN147" i="6"/>
  <c r="AM147" i="6"/>
  <c r="AL179" i="6"/>
  <c r="L44" i="9" s="1"/>
  <c r="AA113" i="7"/>
  <c r="AK113" i="6"/>
  <c r="AA272" i="7"/>
  <c r="AL641" i="6"/>
  <c r="L165" i="9" s="1"/>
  <c r="AA351" i="7"/>
  <c r="AK949" i="6"/>
  <c r="K29" i="9" s="1"/>
  <c r="AA144" i="7"/>
  <c r="AL168" i="6"/>
  <c r="L23" i="9" s="1"/>
  <c r="AA18" i="7"/>
  <c r="AK234" i="6"/>
  <c r="K45" i="9" s="1"/>
  <c r="AA219" i="7"/>
  <c r="AK322" i="6"/>
  <c r="AA394" i="7"/>
  <c r="AK245" i="6"/>
  <c r="K140" i="9" s="1"/>
  <c r="AA284" i="7"/>
  <c r="AK190" i="6"/>
  <c r="AA215" i="7"/>
  <c r="AL35" i="6"/>
  <c r="Z14" i="7"/>
  <c r="Z47" i="7" s="1"/>
  <c r="Z9" i="8" s="1"/>
  <c r="Q247" i="7"/>
  <c r="AN796" i="6"/>
  <c r="AL796" i="6" s="1"/>
  <c r="AM796" i="6"/>
  <c r="AK796" i="6" s="1"/>
  <c r="Q361" i="7"/>
  <c r="AN829" i="6"/>
  <c r="AL829" i="6" s="1"/>
  <c r="AM829" i="6"/>
  <c r="AK829" i="6" s="1"/>
  <c r="Q357" i="7"/>
  <c r="AM807" i="6"/>
  <c r="AK807" i="6" s="1"/>
  <c r="AN807" i="6"/>
  <c r="AL807" i="6" s="1"/>
  <c r="Q365" i="7"/>
  <c r="AM895" i="6"/>
  <c r="AB42" i="7" s="1"/>
  <c r="AN895" i="6"/>
  <c r="Q449" i="7"/>
  <c r="AM1016" i="6"/>
  <c r="AK1016" i="6" s="1"/>
  <c r="AN1016" i="6"/>
  <c r="AL1016" i="6" s="1"/>
  <c r="Q428" i="7"/>
  <c r="AN939" i="6"/>
  <c r="AL939" i="6" s="1"/>
  <c r="AM939" i="6"/>
  <c r="AL763" i="6"/>
  <c r="AB306" i="7"/>
  <c r="AL69" i="6"/>
  <c r="AA270" i="7"/>
  <c r="AK566" i="6"/>
  <c r="AL356" i="6"/>
  <c r="AB171" i="7"/>
  <c r="AL135" i="6"/>
  <c r="AA163" i="7"/>
  <c r="AL256" i="6"/>
  <c r="L57" i="9" s="1"/>
  <c r="AA225" i="7"/>
  <c r="AK58" i="6"/>
  <c r="K150" i="9" s="1"/>
  <c r="AA157" i="7"/>
  <c r="AK510" i="6"/>
  <c r="AB235" i="7"/>
  <c r="AL465" i="6"/>
  <c r="AA121" i="7"/>
  <c r="AK597" i="6"/>
  <c r="K12" i="9" s="1"/>
  <c r="AA410" i="7"/>
  <c r="AK718" i="6"/>
  <c r="AL366" i="6"/>
  <c r="L91" i="9" s="1"/>
  <c r="AA343" i="7"/>
  <c r="AL707" i="6"/>
  <c r="AA187" i="7"/>
  <c r="AL400" i="6"/>
  <c r="AB175" i="7"/>
  <c r="AL630" i="6"/>
  <c r="AA183" i="7"/>
  <c r="AL202" i="6"/>
  <c r="AB282" i="7"/>
  <c r="AL686" i="6"/>
  <c r="AL322" i="6"/>
  <c r="L152" i="9" s="1"/>
  <c r="AA396" i="7"/>
  <c r="AK740" i="6"/>
  <c r="K109" i="9" s="1"/>
  <c r="AA243" i="7"/>
  <c r="AL245" i="6"/>
  <c r="L140" i="9" s="1"/>
  <c r="AA286" i="7"/>
  <c r="AL146" i="6"/>
  <c r="L138" i="9" s="1"/>
  <c r="AA109" i="7"/>
  <c r="AL190" i="6"/>
  <c r="L10" i="9" s="1"/>
  <c r="AA217" i="7"/>
  <c r="AL224" i="6"/>
  <c r="AB392" i="7"/>
  <c r="AL894" i="6"/>
  <c r="AA367" i="7"/>
  <c r="AK960" i="6"/>
  <c r="K52" i="9" s="1"/>
  <c r="AA255" i="7"/>
  <c r="Q131" i="7"/>
  <c r="AM785" i="6"/>
  <c r="AK785" i="6" s="1"/>
  <c r="AN785" i="6"/>
  <c r="AL785" i="6" s="1"/>
  <c r="Q452" i="7"/>
  <c r="AM1027" i="6"/>
  <c r="AK1027" i="6" s="1"/>
  <c r="AN1027" i="6"/>
  <c r="AL1027" i="6" s="1"/>
  <c r="Q422" i="7"/>
  <c r="AM840" i="6"/>
  <c r="AK840" i="6" s="1"/>
  <c r="AN840" i="6"/>
  <c r="AL840" i="6" s="1"/>
  <c r="AM764" i="6"/>
  <c r="AN764" i="6"/>
  <c r="AN70" i="6"/>
  <c r="AB14" i="7" s="1"/>
  <c r="AM70" i="6"/>
  <c r="AB12" i="7" s="1"/>
  <c r="AN136" i="6"/>
  <c r="AM136" i="6"/>
  <c r="AN59" i="6"/>
  <c r="AB384" i="7" s="1"/>
  <c r="AM59" i="6"/>
  <c r="AB382" i="7" s="1"/>
  <c r="AM390" i="6"/>
  <c r="AN390" i="6"/>
  <c r="AN456" i="6"/>
  <c r="AM456" i="6"/>
  <c r="AM345" i="6"/>
  <c r="AK345" i="6" s="1"/>
  <c r="AN345" i="6"/>
  <c r="AL345" i="6" s="1"/>
  <c r="AN235" i="6"/>
  <c r="AM235" i="6"/>
  <c r="AM741" i="6"/>
  <c r="AB353" i="7" s="1"/>
  <c r="AN741" i="6"/>
  <c r="AB355" i="7" s="1"/>
  <c r="AM191" i="6"/>
  <c r="AN191" i="6"/>
  <c r="AL575" i="6"/>
  <c r="L96" i="9" s="1"/>
  <c r="AL102" i="6"/>
  <c r="L106" i="9" s="1"/>
  <c r="AA327" i="7"/>
  <c r="AK47" i="6"/>
  <c r="AA54" i="7"/>
  <c r="AK267" i="6"/>
  <c r="K80" i="9" s="1"/>
  <c r="AA333" i="7"/>
  <c r="AK489" i="6"/>
  <c r="AL455" i="6"/>
  <c r="AL740" i="6"/>
  <c r="AA245" i="7"/>
  <c r="AK146" i="6"/>
  <c r="AA107" i="7"/>
  <c r="AK224" i="6"/>
  <c r="AB390" i="7"/>
  <c r="AK894" i="6"/>
  <c r="AA365" i="7"/>
  <c r="Q443" i="7"/>
  <c r="AM994" i="6"/>
  <c r="AK994" i="6" s="1"/>
  <c r="AN994" i="6"/>
  <c r="AL994" i="6" s="1"/>
  <c r="AA253" i="7"/>
  <c r="AN906" i="6"/>
  <c r="AL906" i="6" s="1"/>
  <c r="AM906" i="6"/>
  <c r="AA135" i="7"/>
  <c r="Q308" i="7"/>
  <c r="AN862" i="6"/>
  <c r="AL862" i="6" s="1"/>
  <c r="Q193" i="7"/>
  <c r="AM884" i="6"/>
  <c r="AN884" i="6"/>
  <c r="Q418" i="7"/>
  <c r="AN774" i="6"/>
  <c r="AL774" i="6" s="1"/>
  <c r="AM774" i="6"/>
  <c r="AK774" i="6" s="1"/>
  <c r="Q251" i="7"/>
  <c r="AM851" i="6"/>
  <c r="AK851" i="6" s="1"/>
  <c r="AN851" i="6"/>
  <c r="AL851" i="6" s="1"/>
  <c r="Q455" i="7"/>
  <c r="AM1038" i="6"/>
  <c r="AK1038" i="6" s="1"/>
  <c r="AN1038" i="6"/>
  <c r="AL1038" i="6" s="1"/>
  <c r="Q370" i="7"/>
  <c r="AN972" i="6"/>
  <c r="AL972" i="6" s="1"/>
  <c r="AM972" i="6"/>
  <c r="Q257" i="7"/>
  <c r="AN961" i="6"/>
  <c r="AL961" i="6" s="1"/>
  <c r="AM961" i="6"/>
  <c r="AA139" i="7"/>
  <c r="Q440" i="7"/>
  <c r="AN983" i="6"/>
  <c r="AL983" i="6" s="1"/>
  <c r="AM983" i="6"/>
  <c r="AK983" i="6" s="1"/>
  <c r="Q147" i="7"/>
  <c r="AN950" i="6"/>
  <c r="AL950" i="6" s="1"/>
  <c r="AM950" i="6"/>
  <c r="AM576" i="6"/>
  <c r="AB70" i="7" s="1"/>
  <c r="AN576" i="6"/>
  <c r="AB72" i="7" s="1"/>
  <c r="AM93" i="6"/>
  <c r="AN93" i="6"/>
  <c r="AN103" i="6"/>
  <c r="AM103" i="6"/>
  <c r="AN180" i="6"/>
  <c r="AM180" i="6"/>
  <c r="AN125" i="6"/>
  <c r="AM125" i="6"/>
  <c r="AN114" i="6"/>
  <c r="AM114" i="6"/>
  <c r="AN48" i="6"/>
  <c r="AM48" i="6"/>
  <c r="AN81" i="6"/>
  <c r="AM81" i="6"/>
  <c r="AN642" i="6"/>
  <c r="AM466" i="6"/>
  <c r="AN466" i="6"/>
  <c r="AM598" i="6"/>
  <c r="AB24" i="7" s="1"/>
  <c r="AN598" i="6"/>
  <c r="AB26" i="7" s="1"/>
  <c r="AM719" i="6"/>
  <c r="AN719" i="6"/>
  <c r="AN335" i="6"/>
  <c r="AL335" i="6" s="1"/>
  <c r="AM335" i="6"/>
  <c r="AK335" i="6" s="1"/>
  <c r="AM367" i="6"/>
  <c r="AB58" i="7" s="1"/>
  <c r="AN367" i="6"/>
  <c r="AB60" i="7" s="1"/>
  <c r="AN708" i="6"/>
  <c r="AB302" i="7" s="1"/>
  <c r="AM708" i="6"/>
  <c r="AB300" i="7" s="1"/>
  <c r="AN401" i="6"/>
  <c r="AC400" i="7" s="1"/>
  <c r="AM401" i="6"/>
  <c r="AC398" i="7" s="1"/>
  <c r="AN631" i="6"/>
  <c r="AB241" i="7" s="1"/>
  <c r="AM631" i="6"/>
  <c r="AB239" i="7" s="1"/>
  <c r="AN203" i="6"/>
  <c r="AM203" i="6"/>
  <c r="AN312" i="6"/>
  <c r="AL312" i="6" s="1"/>
  <c r="AM312" i="6"/>
  <c r="AK312" i="6" s="1"/>
  <c r="AN687" i="6"/>
  <c r="AM687" i="6"/>
  <c r="AN301" i="6"/>
  <c r="AM301" i="6"/>
  <c r="AN730" i="6"/>
  <c r="AM730" i="6"/>
  <c r="AN279" i="6"/>
  <c r="AM279" i="6"/>
  <c r="AN213" i="6"/>
  <c r="AM213" i="6"/>
  <c r="AN500" i="6"/>
  <c r="AM500" i="6"/>
  <c r="AM158" i="6"/>
  <c r="AN158" i="6"/>
  <c r="AK763" i="6"/>
  <c r="AB304" i="7"/>
  <c r="AK69" i="6"/>
  <c r="K9" i="9" s="1"/>
  <c r="AA268" i="7"/>
  <c r="AL566" i="6"/>
  <c r="AK356" i="6"/>
  <c r="AB169" i="7"/>
  <c r="AK135" i="6"/>
  <c r="AA161" i="7"/>
  <c r="AK256" i="6"/>
  <c r="AA223" i="7"/>
  <c r="AL58" i="6"/>
  <c r="L150" i="9" s="1"/>
  <c r="AA159" i="7"/>
  <c r="AL510" i="6"/>
  <c r="AB237" i="7"/>
  <c r="AK465" i="6"/>
  <c r="AA119" i="7"/>
  <c r="AL597" i="6"/>
  <c r="L12" i="9" s="1"/>
  <c r="AL718" i="6"/>
  <c r="AA129" i="7"/>
  <c r="AK366" i="6"/>
  <c r="AA341" i="7"/>
  <c r="AK938" i="6"/>
  <c r="K158" i="9" s="1"/>
  <c r="AA426" i="7"/>
  <c r="AK400" i="6"/>
  <c r="AB173" i="7"/>
  <c r="AK630" i="6"/>
  <c r="AA181" i="7"/>
  <c r="AK202" i="6"/>
  <c r="AB280" i="7"/>
  <c r="AK686" i="6"/>
  <c r="AK588" i="6"/>
  <c r="AL300" i="6"/>
  <c r="L129" i="9" s="1"/>
  <c r="AA290" i="7"/>
  <c r="AK729" i="6"/>
  <c r="AA189" i="7"/>
  <c r="AL278" i="6"/>
  <c r="L34" i="9" s="1"/>
  <c r="AA117" i="7"/>
  <c r="AL212" i="6"/>
  <c r="L67" i="9" s="1"/>
  <c r="AA331" i="7"/>
  <c r="AK499" i="6"/>
  <c r="AB62" i="7"/>
  <c r="AK157" i="6"/>
  <c r="K162" i="9" s="1"/>
  <c r="AA276" i="7"/>
  <c r="AK927" i="6"/>
  <c r="AA312" i="7"/>
  <c r="AM291" i="6"/>
  <c r="AK291" i="6" s="1"/>
  <c r="AN291" i="6"/>
  <c r="AL291" i="6" s="1"/>
  <c r="AN357" i="6"/>
  <c r="AM357" i="6"/>
  <c r="AN257" i="6"/>
  <c r="AM257" i="6"/>
  <c r="AN511" i="6"/>
  <c r="AM511" i="6"/>
  <c r="AN268" i="6"/>
  <c r="AM268" i="6"/>
  <c r="AM698" i="6"/>
  <c r="AN698" i="6"/>
  <c r="AM664" i="6"/>
  <c r="AK664" i="6" s="1"/>
  <c r="AN664" i="6"/>
  <c r="AL664" i="6" s="1"/>
  <c r="AN246" i="6"/>
  <c r="AM246" i="6"/>
  <c r="AN225" i="6"/>
  <c r="AM225" i="6"/>
  <c r="AK92" i="6"/>
  <c r="AK124" i="6"/>
  <c r="K128" i="9" s="1"/>
  <c r="AA386" i="7"/>
  <c r="AL80" i="6"/>
  <c r="L90" i="9" s="1"/>
  <c r="AA213" i="7"/>
  <c r="AK445" i="6"/>
  <c r="AK883" i="6"/>
  <c r="AA193" i="7"/>
  <c r="AK653" i="6"/>
  <c r="Q467" i="7"/>
  <c r="AN1082" i="6"/>
  <c r="AL1082" i="6" s="1"/>
  <c r="AM1082" i="6"/>
  <c r="AK1082" i="6" s="1"/>
  <c r="Q470" i="7"/>
  <c r="AN1093" i="6"/>
  <c r="AL1093" i="6" s="1"/>
  <c r="AM1093" i="6"/>
  <c r="AK1093" i="6" s="1"/>
  <c r="AA249" i="7"/>
  <c r="AA359" i="7"/>
  <c r="Q458" i="7"/>
  <c r="AM1049" i="6"/>
  <c r="AK1049" i="6" s="1"/>
  <c r="AN1049" i="6"/>
  <c r="AL1049" i="6" s="1"/>
  <c r="Q316" i="7"/>
  <c r="AN928" i="6"/>
  <c r="AL928" i="6" s="1"/>
  <c r="AM928" i="6"/>
  <c r="Q139" i="7"/>
  <c r="AN873" i="6"/>
  <c r="AM873" i="6"/>
  <c r="AA422" i="7"/>
  <c r="Q446" i="7"/>
  <c r="AM1005" i="6"/>
  <c r="AK1005" i="6" s="1"/>
  <c r="AN1005" i="6"/>
  <c r="AL1005" i="6" s="1"/>
  <c r="Q135" i="7"/>
  <c r="AM818" i="6"/>
  <c r="AK818" i="6" s="1"/>
  <c r="AN818" i="6"/>
  <c r="AL818" i="6" s="1"/>
  <c r="AK575" i="6"/>
  <c r="AA406" i="7"/>
  <c r="AL92" i="6"/>
  <c r="AK102" i="6"/>
  <c r="K106" i="9" s="1"/>
  <c r="AA325" i="7"/>
  <c r="AK179" i="6"/>
  <c r="K44" i="9" s="1"/>
  <c r="AA111" i="7"/>
  <c r="AL124" i="6"/>
  <c r="L128" i="9" s="1"/>
  <c r="AA388" i="7"/>
  <c r="AL113" i="6"/>
  <c r="L22" i="9" s="1"/>
  <c r="AA274" i="7"/>
  <c r="AL47" i="6"/>
  <c r="L127" i="9" s="1"/>
  <c r="AA56" i="7"/>
  <c r="AK80" i="6"/>
  <c r="AA211" i="7"/>
  <c r="AK641" i="6"/>
  <c r="K165" i="9" s="1"/>
  <c r="AL267" i="6"/>
  <c r="L80" i="9" s="1"/>
  <c r="AA335" i="7"/>
  <c r="AL445" i="6"/>
  <c r="AL489" i="6"/>
  <c r="AK971" i="6"/>
  <c r="K75" i="9" s="1"/>
  <c r="AA369" i="7"/>
  <c r="AL883" i="6"/>
  <c r="AA195" i="7"/>
  <c r="AK455" i="6"/>
  <c r="AK168" i="6"/>
  <c r="AA16" i="7"/>
  <c r="AL653" i="6"/>
  <c r="AL234" i="6"/>
  <c r="L45" i="9" s="1"/>
  <c r="AA221" i="7"/>
  <c r="AL588" i="6"/>
  <c r="AK300" i="6"/>
  <c r="AA288" i="7"/>
  <c r="AL729" i="6"/>
  <c r="AA191" i="7"/>
  <c r="AK278" i="6"/>
  <c r="K34" i="9" s="1"/>
  <c r="AA115" i="7"/>
  <c r="AK212" i="6"/>
  <c r="K67" i="9" s="1"/>
  <c r="AA329" i="7"/>
  <c r="AL499" i="6"/>
  <c r="AB64" i="7"/>
  <c r="AL157" i="6"/>
  <c r="L162" i="9" s="1"/>
  <c r="AA278" i="7"/>
  <c r="AK916" i="6"/>
  <c r="K112" i="9" s="1"/>
  <c r="AA198" i="7"/>
  <c r="S304" i="7"/>
  <c r="W765" i="6"/>
  <c r="S165" i="7"/>
  <c r="W292" i="6"/>
  <c r="U165" i="7" s="1"/>
  <c r="W71" i="6"/>
  <c r="Q268" i="7"/>
  <c r="S169" i="7"/>
  <c r="W358" i="6"/>
  <c r="U169" i="7" s="1"/>
  <c r="W137" i="6"/>
  <c r="Q161" i="7"/>
  <c r="W258" i="6"/>
  <c r="Q223" i="7"/>
  <c r="W60" i="6"/>
  <c r="Q157" i="7"/>
  <c r="S235" i="7"/>
  <c r="W512" i="6"/>
  <c r="U235" i="7" s="1"/>
  <c r="W1105" i="6"/>
  <c r="Q473" i="7"/>
  <c r="W269" i="6"/>
  <c r="Q333" i="7"/>
  <c r="W391" i="6"/>
  <c r="S402" i="7"/>
  <c r="W457" i="6"/>
  <c r="U402" i="7" s="1"/>
  <c r="W170" i="6"/>
  <c r="Q16" i="7"/>
  <c r="W699" i="6"/>
  <c r="W346" i="6"/>
  <c r="S66" i="7"/>
  <c r="W655" i="6"/>
  <c r="U66" i="7" s="1"/>
  <c r="W236" i="6"/>
  <c r="Q219" i="7"/>
  <c r="W665" i="6"/>
  <c r="W324" i="6"/>
  <c r="Q394" i="7"/>
  <c r="W742" i="6"/>
  <c r="Q243" i="7"/>
  <c r="Q284" i="7"/>
  <c r="W247" i="6"/>
  <c r="W148" i="6"/>
  <c r="Q107" i="7"/>
  <c r="W192" i="6"/>
  <c r="Q215" i="7"/>
  <c r="S390" i="7"/>
  <c r="W226" i="6"/>
  <c r="U390" i="7" s="1"/>
  <c r="W577" i="6"/>
  <c r="Q406" i="7"/>
  <c r="S382" i="7"/>
  <c r="W94" i="6"/>
  <c r="U382" i="7" s="1"/>
  <c r="W104" i="6"/>
  <c r="Q325" i="7"/>
  <c r="W181" i="6"/>
  <c r="Q111" i="7"/>
  <c r="W126" i="6"/>
  <c r="Q386" i="7"/>
  <c r="W115" i="6"/>
  <c r="Q272" i="7"/>
  <c r="W49" i="6"/>
  <c r="AN49" i="6" s="1"/>
  <c r="Q54" i="7"/>
  <c r="W82" i="6"/>
  <c r="Q211" i="7"/>
  <c r="W643" i="6"/>
  <c r="Q349" i="7"/>
  <c r="W467" i="6"/>
  <c r="AM463" i="6" s="1"/>
  <c r="M130" i="9" s="1"/>
  <c r="Q119" i="7"/>
  <c r="W599" i="6"/>
  <c r="Q410" i="7"/>
  <c r="W720" i="6"/>
  <c r="AM716" i="6" s="1"/>
  <c r="M46" i="9" s="1"/>
  <c r="Q127" i="7"/>
  <c r="S58" i="7"/>
  <c r="W336" i="6"/>
  <c r="U58" i="7" s="1"/>
  <c r="W368" i="6"/>
  <c r="Q341" i="7"/>
  <c r="W709" i="6"/>
  <c r="AM706" i="6" s="1"/>
  <c r="Q185" i="7"/>
  <c r="S173" i="7"/>
  <c r="W402" i="6"/>
  <c r="U173" i="7" s="1"/>
  <c r="W632" i="6"/>
  <c r="Q181" i="7"/>
  <c r="S280" i="7"/>
  <c r="W204" i="6"/>
  <c r="U280" i="7" s="1"/>
  <c r="W313" i="6"/>
  <c r="Q337" i="7"/>
  <c r="S24" i="7"/>
  <c r="W688" i="6"/>
  <c r="U24" i="7" s="1"/>
  <c r="W302" i="6"/>
  <c r="AM298" i="6" s="1"/>
  <c r="M129" i="9" s="1"/>
  <c r="Q288" i="7"/>
  <c r="W731" i="6"/>
  <c r="Q189" i="7"/>
  <c r="W280" i="6"/>
  <c r="Q115" i="7"/>
  <c r="W214" i="6"/>
  <c r="Q329" i="7"/>
  <c r="S62" i="7"/>
  <c r="W501" i="6"/>
  <c r="U62" i="7" s="1"/>
  <c r="W159" i="6"/>
  <c r="Q276" i="7"/>
  <c r="W775" i="6"/>
  <c r="AM771" i="6" s="1"/>
  <c r="Y361" i="7" s="1"/>
  <c r="W786" i="6"/>
  <c r="AM782" i="6" s="1"/>
  <c r="Y422" i="7" s="1"/>
  <c r="W1061" i="6"/>
  <c r="W1072" i="6"/>
  <c r="W863" i="6"/>
  <c r="AM862" i="6" s="1"/>
  <c r="AK862" i="6" s="1"/>
  <c r="W1083" i="6"/>
  <c r="W797" i="6"/>
  <c r="AM793" i="6" s="1"/>
  <c r="Y135" i="7" s="1"/>
  <c r="W808" i="6"/>
  <c r="W1050" i="6"/>
  <c r="W874" i="6"/>
  <c r="W907" i="6"/>
  <c r="W1006" i="6"/>
  <c r="W984" i="6"/>
  <c r="W885" i="6"/>
  <c r="W852" i="6"/>
  <c r="W973" i="6"/>
  <c r="W962" i="6"/>
  <c r="W1028" i="6"/>
  <c r="W841" i="6"/>
  <c r="W1039" i="6"/>
  <c r="W918" i="6"/>
  <c r="W995" i="6"/>
  <c r="W1094" i="6"/>
  <c r="W830" i="6"/>
  <c r="W896" i="6"/>
  <c r="W1017" i="6"/>
  <c r="W929" i="6"/>
  <c r="W940" i="6"/>
  <c r="W819" i="6"/>
  <c r="W951" i="6"/>
  <c r="AB165" i="7"/>
  <c r="AB167" i="7"/>
  <c r="AD103" i="7"/>
  <c r="AD105" i="7"/>
  <c r="AD14" i="7"/>
  <c r="AD12" i="7"/>
  <c r="W432" i="7" l="1"/>
  <c r="Z46" i="8" s="1"/>
  <c r="W261" i="7"/>
  <c r="AL6" i="8" s="1"/>
  <c r="AK906" i="6"/>
  <c r="AB91" i="7"/>
  <c r="X261" i="7"/>
  <c r="AL7" i="8" s="1"/>
  <c r="M154" i="9"/>
  <c r="Y227" i="7"/>
  <c r="AB416" i="7"/>
  <c r="AB229" i="7"/>
  <c r="AB414" i="7"/>
  <c r="AB227" i="7"/>
  <c r="AL782" i="6"/>
  <c r="L155" i="9" s="1"/>
  <c r="L154" i="9"/>
  <c r="AB68" i="7"/>
  <c r="AB66" i="7"/>
  <c r="N36" i="9"/>
  <c r="K116" i="9"/>
  <c r="K91" i="9"/>
  <c r="M155" i="9"/>
  <c r="M26" i="9"/>
  <c r="N82" i="9"/>
  <c r="K57" i="9"/>
  <c r="L130" i="9"/>
  <c r="Y353" i="7"/>
  <c r="Y375" i="7" s="1"/>
  <c r="Z21" i="8" s="1"/>
  <c r="M82" i="9"/>
  <c r="K10" i="9"/>
  <c r="M92" i="9"/>
  <c r="M83" i="9"/>
  <c r="M119" i="9"/>
  <c r="K134" i="9"/>
  <c r="K79" i="9"/>
  <c r="K127" i="9"/>
  <c r="Z185" i="7"/>
  <c r="Z204" i="7" s="1"/>
  <c r="AF35" i="8" s="1"/>
  <c r="Z361" i="7"/>
  <c r="Z375" i="7" s="1"/>
  <c r="Z22" i="8" s="1"/>
  <c r="Z302" i="7"/>
  <c r="K152" i="9"/>
  <c r="AK531" i="6"/>
  <c r="K35" i="9" s="1"/>
  <c r="M35" i="9"/>
  <c r="L79" i="9"/>
  <c r="AK399" i="6"/>
  <c r="M163" i="9"/>
  <c r="AK520" i="6"/>
  <c r="K70" i="9" s="1"/>
  <c r="M70" i="9"/>
  <c r="L9" i="9"/>
  <c r="K96" i="9"/>
  <c r="AL542" i="6"/>
  <c r="L164" i="9" s="1"/>
  <c r="N164" i="9"/>
  <c r="K23" i="9"/>
  <c r="AK553" i="6"/>
  <c r="K141" i="9" s="1"/>
  <c r="M141" i="9"/>
  <c r="AA408" i="7"/>
  <c r="AM543" i="6"/>
  <c r="AK543" i="6" s="1"/>
  <c r="AK453" i="6"/>
  <c r="AM521" i="6"/>
  <c r="AK521" i="6" s="1"/>
  <c r="AA398" i="7"/>
  <c r="AN554" i="6"/>
  <c r="AB298" i="7" s="1"/>
  <c r="AN532" i="6"/>
  <c r="AL532" i="6" s="1"/>
  <c r="Z398" i="7"/>
  <c r="Z432" i="7" s="1"/>
  <c r="Z49" i="8" s="1"/>
  <c r="AK398" i="6"/>
  <c r="Z300" i="7"/>
  <c r="AK706" i="6"/>
  <c r="X302" i="7"/>
  <c r="AL704" i="6"/>
  <c r="AM79" i="6"/>
  <c r="Z54" i="7" s="1"/>
  <c r="Z96" i="7" s="1"/>
  <c r="Z35" i="8" s="1"/>
  <c r="AM77" i="6"/>
  <c r="AM145" i="6"/>
  <c r="Z276" i="7" s="1"/>
  <c r="AM143" i="6"/>
  <c r="AK770" i="6"/>
  <c r="X361" i="7"/>
  <c r="X375" i="7" s="1"/>
  <c r="Z20" i="8" s="1"/>
  <c r="AK451" i="6"/>
  <c r="X62" i="7"/>
  <c r="AK660" i="6"/>
  <c r="K119" i="9" s="1"/>
  <c r="X185" i="7"/>
  <c r="X204" i="7" s="1"/>
  <c r="AF33" i="8" s="1"/>
  <c r="AC345" i="7"/>
  <c r="AC347" i="7"/>
  <c r="AK532" i="6"/>
  <c r="AB123" i="7"/>
  <c r="AK554" i="6"/>
  <c r="AB296" i="7"/>
  <c r="L109" i="9"/>
  <c r="AC231" i="7"/>
  <c r="AC233" i="7"/>
  <c r="Y185" i="7"/>
  <c r="Y414" i="7"/>
  <c r="Y402" i="7"/>
  <c r="Y292" i="7"/>
  <c r="AB404" i="7"/>
  <c r="AB294" i="7"/>
  <c r="AL390" i="6"/>
  <c r="AC22" i="7"/>
  <c r="U304" i="7"/>
  <c r="AM765" i="6"/>
  <c r="M132" i="9" s="1"/>
  <c r="AN765" i="6"/>
  <c r="N132" i="9" s="1"/>
  <c r="AB402" i="7"/>
  <c r="AB292" i="7"/>
  <c r="AK390" i="6"/>
  <c r="AC20" i="7"/>
  <c r="L105" i="9"/>
  <c r="AL698" i="6"/>
  <c r="AK698" i="6"/>
  <c r="K153" i="9"/>
  <c r="AB251" i="7"/>
  <c r="W96" i="7"/>
  <c r="Z32" i="8" s="1"/>
  <c r="AL650" i="6"/>
  <c r="L36" i="9" s="1"/>
  <c r="Y68" i="7"/>
  <c r="AK758" i="6"/>
  <c r="W304" i="7"/>
  <c r="AB133" i="7"/>
  <c r="AK716" i="6"/>
  <c r="K154" i="9" s="1"/>
  <c r="Y127" i="7"/>
  <c r="AK463" i="6"/>
  <c r="K130" i="9" s="1"/>
  <c r="Y119" i="7"/>
  <c r="M56" i="9"/>
  <c r="Z211" i="7"/>
  <c r="Z261" i="7" s="1"/>
  <c r="AL9" i="8" s="1"/>
  <c r="M22" i="9"/>
  <c r="Z107" i="7"/>
  <c r="Z150" i="7" s="1"/>
  <c r="AF9" i="8" s="1"/>
  <c r="Y26" i="7"/>
  <c r="AL683" i="6"/>
  <c r="L82" i="9" s="1"/>
  <c r="AL758" i="6"/>
  <c r="W306" i="7"/>
  <c r="Y131" i="7"/>
  <c r="AK782" i="6"/>
  <c r="K155" i="9" s="1"/>
  <c r="AK683" i="6"/>
  <c r="K82" i="9" s="1"/>
  <c r="Y24" i="7"/>
  <c r="AK793" i="6"/>
  <c r="K26" i="9" s="1"/>
  <c r="Y247" i="7"/>
  <c r="Y418" i="7"/>
  <c r="AK771" i="6"/>
  <c r="Y288" i="7"/>
  <c r="AK298" i="6"/>
  <c r="K129" i="9" s="1"/>
  <c r="AN628" i="6"/>
  <c r="AM628" i="6"/>
  <c r="AN703" i="6"/>
  <c r="N131" i="9" s="1"/>
  <c r="AM707" i="6"/>
  <c r="M131" i="9" s="1"/>
  <c r="AK650" i="6"/>
  <c r="K36" i="9" s="1"/>
  <c r="Y66" i="7"/>
  <c r="AB422" i="7"/>
  <c r="B13" i="8"/>
  <c r="M52" i="8"/>
  <c r="M38" i="8"/>
  <c r="G52" i="8"/>
  <c r="B38" i="8"/>
  <c r="B25" i="8"/>
  <c r="G25" i="8"/>
  <c r="M12" i="8"/>
  <c r="G38" i="8"/>
  <c r="G12" i="8"/>
  <c r="B52" i="8"/>
  <c r="AB363" i="7"/>
  <c r="W545" i="6"/>
  <c r="AM544" i="6"/>
  <c r="AK544" i="6" s="1"/>
  <c r="AN544" i="6"/>
  <c r="AL544" i="6" s="1"/>
  <c r="W556" i="6"/>
  <c r="AM555" i="6"/>
  <c r="AN555" i="6"/>
  <c r="W534" i="6"/>
  <c r="AN533" i="6"/>
  <c r="AM533" i="6"/>
  <c r="W523" i="6"/>
  <c r="AN522" i="6"/>
  <c r="AL522" i="6" s="1"/>
  <c r="AM522" i="6"/>
  <c r="AK522" i="6" s="1"/>
  <c r="AB247" i="7"/>
  <c r="AB339" i="7"/>
  <c r="AB418" i="7"/>
  <c r="AB135" i="7"/>
  <c r="AB310" i="7"/>
  <c r="AA96" i="7"/>
  <c r="Z36" i="8" s="1"/>
  <c r="Q427" i="7"/>
  <c r="AB357" i="7"/>
  <c r="Q430" i="7"/>
  <c r="Q201" i="7"/>
  <c r="AB337" i="7"/>
  <c r="AB308" i="7"/>
  <c r="Q146" i="7"/>
  <c r="Q199" i="7"/>
  <c r="AB137" i="7"/>
  <c r="Q314" i="7"/>
  <c r="Q259" i="7"/>
  <c r="Q145" i="7"/>
  <c r="Q429" i="7"/>
  <c r="Q315" i="7"/>
  <c r="Q200" i="7"/>
  <c r="AA261" i="7"/>
  <c r="AL10" i="8" s="1"/>
  <c r="Q148" i="7"/>
  <c r="Q313" i="7"/>
  <c r="Q371" i="7"/>
  <c r="AA375" i="7"/>
  <c r="Z23" i="8" s="1"/>
  <c r="Q258" i="7"/>
  <c r="AB359" i="7"/>
  <c r="AB424" i="7"/>
  <c r="Q256" i="7"/>
  <c r="S139" i="7"/>
  <c r="AM874" i="6"/>
  <c r="AN874" i="6"/>
  <c r="S467" i="7"/>
  <c r="AM1083" i="6"/>
  <c r="AK1083" i="6" s="1"/>
  <c r="AN1083" i="6"/>
  <c r="AL1083" i="6" s="1"/>
  <c r="S464" i="7"/>
  <c r="AM1072" i="6"/>
  <c r="AK1072" i="6" s="1"/>
  <c r="AN1072" i="6"/>
  <c r="AL1072" i="6" s="1"/>
  <c r="S131" i="7"/>
  <c r="AN786" i="6"/>
  <c r="AL786" i="6" s="1"/>
  <c r="AM786" i="6"/>
  <c r="AK786" i="6" s="1"/>
  <c r="AK730" i="6"/>
  <c r="AB189" i="7"/>
  <c r="AK401" i="6"/>
  <c r="AC173" i="7"/>
  <c r="AL466" i="6"/>
  <c r="AB121" i="7"/>
  <c r="AK180" i="6"/>
  <c r="AB111" i="7"/>
  <c r="AK950" i="6"/>
  <c r="AB144" i="7"/>
  <c r="AK764" i="6"/>
  <c r="AC304" i="7"/>
  <c r="AK917" i="6"/>
  <c r="AB198" i="7"/>
  <c r="S201" i="7"/>
  <c r="AM918" i="6"/>
  <c r="AN918" i="6"/>
  <c r="AL918" i="6" s="1"/>
  <c r="AB249" i="7"/>
  <c r="AN280" i="6"/>
  <c r="AM280" i="6"/>
  <c r="AN599" i="6"/>
  <c r="AC26" i="7" s="1"/>
  <c r="AM599" i="6"/>
  <c r="AC24" i="7" s="1"/>
  <c r="AN643" i="6"/>
  <c r="AM643" i="6"/>
  <c r="AN126" i="6"/>
  <c r="AM126" i="6"/>
  <c r="AM104" i="6"/>
  <c r="AN104" i="6"/>
  <c r="AM577" i="6"/>
  <c r="AC70" i="7" s="1"/>
  <c r="AN577" i="6"/>
  <c r="AC72" i="7" s="1"/>
  <c r="Q373" i="7"/>
  <c r="AN192" i="6"/>
  <c r="AM192" i="6"/>
  <c r="AN236" i="6"/>
  <c r="AM236" i="6"/>
  <c r="AN346" i="6"/>
  <c r="AL346" i="6" s="1"/>
  <c r="AM346" i="6"/>
  <c r="AK346" i="6" s="1"/>
  <c r="AN170" i="6"/>
  <c r="AM170" i="6"/>
  <c r="AL246" i="6"/>
  <c r="AB286" i="7"/>
  <c r="AL511" i="6"/>
  <c r="AC237" i="7"/>
  <c r="AL357" i="6"/>
  <c r="AC171" i="7"/>
  <c r="AK158" i="6"/>
  <c r="AB276" i="7"/>
  <c r="AL213" i="6"/>
  <c r="AB331" i="7"/>
  <c r="AL730" i="6"/>
  <c r="AB191" i="7"/>
  <c r="AL687" i="6"/>
  <c r="AL203" i="6"/>
  <c r="AC282" i="7"/>
  <c r="AL401" i="6"/>
  <c r="AC175" i="7"/>
  <c r="AK367" i="6"/>
  <c r="AB341" i="7"/>
  <c r="AK719" i="6"/>
  <c r="AB127" i="7"/>
  <c r="AK466" i="6"/>
  <c r="AB119" i="7"/>
  <c r="AL81" i="6"/>
  <c r="AB213" i="7"/>
  <c r="AL114" i="6"/>
  <c r="AB274" i="7"/>
  <c r="AL180" i="6"/>
  <c r="AB113" i="7"/>
  <c r="AK93" i="6"/>
  <c r="AL191" i="6"/>
  <c r="AB217" i="7"/>
  <c r="AK235" i="6"/>
  <c r="AB219" i="7"/>
  <c r="AK456" i="6"/>
  <c r="AK59" i="6"/>
  <c r="AB157" i="7"/>
  <c r="AK70" i="6"/>
  <c r="AB268" i="7"/>
  <c r="AL323" i="6"/>
  <c r="AB396" i="7"/>
  <c r="AL169" i="6"/>
  <c r="AB18" i="7"/>
  <c r="S313" i="7"/>
  <c r="AN929" i="6"/>
  <c r="AL929" i="6" s="1"/>
  <c r="AM929" i="6"/>
  <c r="S193" i="7"/>
  <c r="AN885" i="6"/>
  <c r="AM885" i="6"/>
  <c r="AK928" i="6"/>
  <c r="AB312" i="7"/>
  <c r="AK357" i="6"/>
  <c r="AC169" i="7"/>
  <c r="AK213" i="6"/>
  <c r="AB329" i="7"/>
  <c r="AK203" i="6"/>
  <c r="AC280" i="7"/>
  <c r="AL719" i="6"/>
  <c r="AB129" i="7"/>
  <c r="AK114" i="6"/>
  <c r="AB272" i="7"/>
  <c r="AK939" i="6"/>
  <c r="AB426" i="7"/>
  <c r="AK169" i="6"/>
  <c r="AB16" i="7"/>
  <c r="S449" i="7"/>
  <c r="AM1017" i="6"/>
  <c r="AK1017" i="6" s="1"/>
  <c r="AN1017" i="6"/>
  <c r="AL1017" i="6" s="1"/>
  <c r="S361" i="7"/>
  <c r="AM830" i="6"/>
  <c r="AK830" i="6" s="1"/>
  <c r="AN830" i="6"/>
  <c r="AL830" i="6" s="1"/>
  <c r="S422" i="7"/>
  <c r="AM841" i="6"/>
  <c r="AK841" i="6" s="1"/>
  <c r="AN841" i="6"/>
  <c r="AL841" i="6" s="1"/>
  <c r="S458" i="7"/>
  <c r="AM1050" i="6"/>
  <c r="AK1050" i="6" s="1"/>
  <c r="AN1050" i="6"/>
  <c r="AL1050" i="6" s="1"/>
  <c r="AN313" i="6"/>
  <c r="AL313" i="6" s="1"/>
  <c r="AM313" i="6"/>
  <c r="AK313" i="6" s="1"/>
  <c r="AN632" i="6"/>
  <c r="AC241" i="7" s="1"/>
  <c r="AM632" i="6"/>
  <c r="AC239" i="7" s="1"/>
  <c r="AN709" i="6"/>
  <c r="AC302" i="7" s="1"/>
  <c r="AM709" i="6"/>
  <c r="AC300" i="7" s="1"/>
  <c r="AM324" i="6"/>
  <c r="AN324" i="6"/>
  <c r="AK873" i="6"/>
  <c r="AB139" i="7"/>
  <c r="S146" i="7"/>
  <c r="AM951" i="6"/>
  <c r="AN951" i="6"/>
  <c r="AL951" i="6" s="1"/>
  <c r="S135" i="7"/>
  <c r="AM819" i="6"/>
  <c r="AK819" i="6" s="1"/>
  <c r="AN819" i="6"/>
  <c r="AL819" i="6" s="1"/>
  <c r="S365" i="7"/>
  <c r="AM896" i="6"/>
  <c r="AC42" i="7" s="1"/>
  <c r="AN896" i="6"/>
  <c r="S470" i="7"/>
  <c r="AN1094" i="6"/>
  <c r="AL1094" i="6" s="1"/>
  <c r="AM1094" i="6"/>
  <c r="AK1094" i="6" s="1"/>
  <c r="S455" i="7"/>
  <c r="AN1039" i="6"/>
  <c r="AL1039" i="6" s="1"/>
  <c r="AM1039" i="6"/>
  <c r="AK1039" i="6" s="1"/>
  <c r="S452" i="7"/>
  <c r="AN1028" i="6"/>
  <c r="AL1028" i="6" s="1"/>
  <c r="AM1028" i="6"/>
  <c r="AK1028" i="6" s="1"/>
  <c r="AB253" i="7"/>
  <c r="S446" i="7"/>
  <c r="AM1006" i="6"/>
  <c r="AK1006" i="6" s="1"/>
  <c r="AN1006" i="6"/>
  <c r="AL1006" i="6" s="1"/>
  <c r="AB420" i="7"/>
  <c r="Q372" i="7"/>
  <c r="AA47" i="7"/>
  <c r="Z10" i="8" s="1"/>
  <c r="AL873" i="6"/>
  <c r="AB141" i="7"/>
  <c r="AK225" i="6"/>
  <c r="AC390" i="7"/>
  <c r="AK268" i="6"/>
  <c r="AB333" i="7"/>
  <c r="AK257" i="6"/>
  <c r="AB223" i="7"/>
  <c r="AK500" i="6"/>
  <c r="AC62" i="7"/>
  <c r="AK279" i="6"/>
  <c r="AB115" i="7"/>
  <c r="AK301" i="6"/>
  <c r="AB288" i="7"/>
  <c r="AK631" i="6"/>
  <c r="AB181" i="7"/>
  <c r="AK708" i="6"/>
  <c r="AB185" i="7"/>
  <c r="AL598" i="6"/>
  <c r="AB412" i="7"/>
  <c r="AL642" i="6"/>
  <c r="AB351" i="7"/>
  <c r="AK48" i="6"/>
  <c r="AB54" i="7"/>
  <c r="AK125" i="6"/>
  <c r="AB386" i="7"/>
  <c r="AK103" i="6"/>
  <c r="AB325" i="7"/>
  <c r="AL576" i="6"/>
  <c r="AB408" i="7"/>
  <c r="AK972" i="6"/>
  <c r="AB369" i="7"/>
  <c r="AL884" i="6"/>
  <c r="AB195" i="7"/>
  <c r="AK191" i="6"/>
  <c r="AB215" i="7"/>
  <c r="AL235" i="6"/>
  <c r="AB221" i="7"/>
  <c r="AL456" i="6"/>
  <c r="AL59" i="6"/>
  <c r="AB159" i="7"/>
  <c r="AL70" i="6"/>
  <c r="AB270" i="7"/>
  <c r="AL895" i="6"/>
  <c r="AB367" i="7"/>
  <c r="AK147" i="6"/>
  <c r="AB107" i="7"/>
  <c r="AK654" i="6"/>
  <c r="S443" i="7"/>
  <c r="AM995" i="6"/>
  <c r="AK995" i="6" s="1"/>
  <c r="AN995" i="6"/>
  <c r="AL995" i="6" s="1"/>
  <c r="S370" i="7"/>
  <c r="AM973" i="6"/>
  <c r="AN973" i="6"/>
  <c r="AL973" i="6" s="1"/>
  <c r="S357" i="7"/>
  <c r="AN808" i="6"/>
  <c r="AL808" i="6" s="1"/>
  <c r="AM808" i="6"/>
  <c r="AK808" i="6" s="1"/>
  <c r="AN247" i="6"/>
  <c r="AM247" i="6"/>
  <c r="AK246" i="6"/>
  <c r="AB284" i="7"/>
  <c r="AK511" i="6"/>
  <c r="AC235" i="7"/>
  <c r="AL158" i="6"/>
  <c r="AB278" i="7"/>
  <c r="AK687" i="6"/>
  <c r="AL367" i="6"/>
  <c r="AB343" i="7"/>
  <c r="AK81" i="6"/>
  <c r="AB211" i="7"/>
  <c r="AL93" i="6"/>
  <c r="AK741" i="6"/>
  <c r="AB243" i="7"/>
  <c r="AL136" i="6"/>
  <c r="AB163" i="7"/>
  <c r="AK323" i="6"/>
  <c r="AB394" i="7"/>
  <c r="S440" i="7"/>
  <c r="AM984" i="6"/>
  <c r="AK984" i="6" s="1"/>
  <c r="AN984" i="6"/>
  <c r="AL984" i="6" s="1"/>
  <c r="S461" i="7"/>
  <c r="AM1061" i="6"/>
  <c r="AK1061" i="6" s="1"/>
  <c r="AN1061" i="6"/>
  <c r="AL1061" i="6" s="1"/>
  <c r="AM302" i="6"/>
  <c r="AN302" i="6"/>
  <c r="AL49" i="6"/>
  <c r="AM60" i="6"/>
  <c r="AC382" i="7" s="1"/>
  <c r="AN60" i="6"/>
  <c r="AC384" i="7" s="1"/>
  <c r="AM137" i="6"/>
  <c r="AN137" i="6"/>
  <c r="AM71" i="6"/>
  <c r="AC12" i="7" s="1"/>
  <c r="AN71" i="6"/>
  <c r="AC14" i="7" s="1"/>
  <c r="S427" i="7"/>
  <c r="AN940" i="6"/>
  <c r="AL940" i="6" s="1"/>
  <c r="AM940" i="6"/>
  <c r="AB361" i="7"/>
  <c r="S259" i="7"/>
  <c r="AM962" i="6"/>
  <c r="AN962" i="6"/>
  <c r="AL962" i="6" s="1"/>
  <c r="S251" i="7"/>
  <c r="AN852" i="6"/>
  <c r="AL852" i="6" s="1"/>
  <c r="AM852" i="6"/>
  <c r="AK852" i="6" s="1"/>
  <c r="AN907" i="6"/>
  <c r="AL907" i="6" s="1"/>
  <c r="AM907" i="6"/>
  <c r="S247" i="7"/>
  <c r="AM797" i="6"/>
  <c r="AK797" i="6" s="1"/>
  <c r="AN797" i="6"/>
  <c r="AL797" i="6" s="1"/>
  <c r="S308" i="7"/>
  <c r="AN863" i="6"/>
  <c r="AL863" i="6" s="1"/>
  <c r="AM863" i="6"/>
  <c r="AK863" i="6" s="1"/>
  <c r="AB131" i="7"/>
  <c r="S418" i="7"/>
  <c r="AN775" i="6"/>
  <c r="AL775" i="6" s="1"/>
  <c r="AM775" i="6"/>
  <c r="AK775" i="6" s="1"/>
  <c r="AN159" i="6"/>
  <c r="AM159" i="6"/>
  <c r="AN214" i="6"/>
  <c r="AM214" i="6"/>
  <c r="AN731" i="6"/>
  <c r="AM731" i="6"/>
  <c r="AM368" i="6"/>
  <c r="AC58" i="7" s="1"/>
  <c r="AN368" i="6"/>
  <c r="AC60" i="7" s="1"/>
  <c r="AN720" i="6"/>
  <c r="AM720" i="6"/>
  <c r="AN467" i="6"/>
  <c r="AM467" i="6"/>
  <c r="AM82" i="6"/>
  <c r="AC54" i="7" s="1"/>
  <c r="AN82" i="6"/>
  <c r="AC56" i="7" s="1"/>
  <c r="AN115" i="6"/>
  <c r="AM115" i="6"/>
  <c r="AM181" i="6"/>
  <c r="AN181" i="6"/>
  <c r="AN148" i="6"/>
  <c r="AM148" i="6"/>
  <c r="AM742" i="6"/>
  <c r="AC353" i="7" s="1"/>
  <c r="AN742" i="6"/>
  <c r="AC355" i="7" s="1"/>
  <c r="AN665" i="6"/>
  <c r="AL665" i="6" s="1"/>
  <c r="AM665" i="6"/>
  <c r="AK665" i="6" s="1"/>
  <c r="AN269" i="6"/>
  <c r="AM269" i="6"/>
  <c r="AN258" i="6"/>
  <c r="AM258" i="6"/>
  <c r="AL225" i="6"/>
  <c r="AC392" i="7"/>
  <c r="AL268" i="6"/>
  <c r="AB335" i="7"/>
  <c r="AL257" i="6"/>
  <c r="AB225" i="7"/>
  <c r="AL500" i="6"/>
  <c r="AC64" i="7"/>
  <c r="AL279" i="6"/>
  <c r="AB117" i="7"/>
  <c r="AL301" i="6"/>
  <c r="AB290" i="7"/>
  <c r="AL631" i="6"/>
  <c r="AB183" i="7"/>
  <c r="AL708" i="6"/>
  <c r="AB187" i="7"/>
  <c r="AK598" i="6"/>
  <c r="AK642" i="6"/>
  <c r="AL48" i="6"/>
  <c r="AB56" i="7"/>
  <c r="AL125" i="6"/>
  <c r="AB388" i="7"/>
  <c r="AL103" i="6"/>
  <c r="AB327" i="7"/>
  <c r="AK576" i="6"/>
  <c r="AK961" i="6"/>
  <c r="AB255" i="7"/>
  <c r="AK884" i="6"/>
  <c r="AB193" i="7"/>
  <c r="AL741" i="6"/>
  <c r="AB245" i="7"/>
  <c r="AK136" i="6"/>
  <c r="AB161" i="7"/>
  <c r="AL764" i="6"/>
  <c r="AC306" i="7"/>
  <c r="AK895" i="6"/>
  <c r="AB365" i="7"/>
  <c r="AL147" i="6"/>
  <c r="AB109" i="7"/>
  <c r="AL654" i="6"/>
  <c r="S276" i="7"/>
  <c r="W160" i="6"/>
  <c r="U276" i="7" s="1"/>
  <c r="S329" i="7"/>
  <c r="W215" i="6"/>
  <c r="U329" i="7" s="1"/>
  <c r="S189" i="7"/>
  <c r="W732" i="6"/>
  <c r="U189" i="7" s="1"/>
  <c r="S341" i="7"/>
  <c r="W369" i="6"/>
  <c r="U341" i="7" s="1"/>
  <c r="S127" i="7"/>
  <c r="W721" i="6"/>
  <c r="U127" i="7" s="1"/>
  <c r="S119" i="7"/>
  <c r="W468" i="6"/>
  <c r="U119" i="7" s="1"/>
  <c r="S211" i="7"/>
  <c r="W83" i="6"/>
  <c r="U211" i="7" s="1"/>
  <c r="S272" i="7"/>
  <c r="W116" i="6"/>
  <c r="U272" i="7" s="1"/>
  <c r="S111" i="7"/>
  <c r="W182" i="6"/>
  <c r="U111" i="7" s="1"/>
  <c r="S107" i="7"/>
  <c r="W149" i="6"/>
  <c r="U107" i="7" s="1"/>
  <c r="S243" i="7"/>
  <c r="W743" i="6"/>
  <c r="U243" i="7" s="1"/>
  <c r="W666" i="6"/>
  <c r="S333" i="7"/>
  <c r="W270" i="6"/>
  <c r="U333" i="7" s="1"/>
  <c r="S223" i="7"/>
  <c r="W259" i="6"/>
  <c r="U223" i="7" s="1"/>
  <c r="S284" i="7"/>
  <c r="W248" i="6"/>
  <c r="U284" i="7" s="1"/>
  <c r="S115" i="7"/>
  <c r="W281" i="6"/>
  <c r="U115" i="7" s="1"/>
  <c r="S288" i="7"/>
  <c r="W303" i="6"/>
  <c r="U288" i="7" s="1"/>
  <c r="S337" i="7"/>
  <c r="W314" i="6"/>
  <c r="U337" i="7" s="1"/>
  <c r="S181" i="7"/>
  <c r="W633" i="6"/>
  <c r="U181" i="7" s="1"/>
  <c r="S185" i="7"/>
  <c r="W710" i="6"/>
  <c r="U185" i="7" s="1"/>
  <c r="S410" i="7"/>
  <c r="W600" i="6"/>
  <c r="U410" i="7" s="1"/>
  <c r="S349" i="7"/>
  <c r="W644" i="6"/>
  <c r="U349" i="7" s="1"/>
  <c r="S54" i="7"/>
  <c r="W50" i="6"/>
  <c r="U54" i="7" s="1"/>
  <c r="S386" i="7"/>
  <c r="W127" i="6"/>
  <c r="U386" i="7" s="1"/>
  <c r="S325" i="7"/>
  <c r="W105" i="6"/>
  <c r="U325" i="7" s="1"/>
  <c r="S406" i="7"/>
  <c r="W578" i="6"/>
  <c r="U406" i="7" s="1"/>
  <c r="S215" i="7"/>
  <c r="W193" i="6"/>
  <c r="U215" i="7" s="1"/>
  <c r="S394" i="7"/>
  <c r="W325" i="6"/>
  <c r="U394" i="7" s="1"/>
  <c r="S219" i="7"/>
  <c r="W237" i="6"/>
  <c r="U219" i="7" s="1"/>
  <c r="W347" i="6"/>
  <c r="S16" i="7"/>
  <c r="W171" i="6"/>
  <c r="U16" i="7" s="1"/>
  <c r="W1106" i="6"/>
  <c r="S473" i="7"/>
  <c r="S157" i="7"/>
  <c r="W61" i="6"/>
  <c r="U157" i="7" s="1"/>
  <c r="S161" i="7"/>
  <c r="W138" i="6"/>
  <c r="U161" i="7" s="1"/>
  <c r="S268" i="7"/>
  <c r="W72" i="6"/>
  <c r="U268" i="7" s="1"/>
  <c r="W908" i="6"/>
  <c r="W798" i="6"/>
  <c r="U247" i="7" s="1"/>
  <c r="W787" i="6"/>
  <c r="U131" i="7" s="1"/>
  <c r="W952" i="6"/>
  <c r="W820" i="6"/>
  <c r="U135" i="7" s="1"/>
  <c r="W897" i="6"/>
  <c r="U365" i="7" s="1"/>
  <c r="W1040" i="6"/>
  <c r="U455" i="7" s="1"/>
  <c r="W974" i="6"/>
  <c r="W1007" i="6"/>
  <c r="U446" i="7" s="1"/>
  <c r="W809" i="6"/>
  <c r="U357" i="7" s="1"/>
  <c r="W1062" i="6"/>
  <c r="U461" i="7" s="1"/>
  <c r="W831" i="6"/>
  <c r="U361" i="7" s="1"/>
  <c r="W842" i="6"/>
  <c r="U422" i="7" s="1"/>
  <c r="W853" i="6"/>
  <c r="U251" i="7" s="1"/>
  <c r="W1018" i="6"/>
  <c r="U449" i="7" s="1"/>
  <c r="W919" i="6"/>
  <c r="W963" i="6"/>
  <c r="W985" i="6"/>
  <c r="U440" i="7" s="1"/>
  <c r="W1051" i="6"/>
  <c r="U458" i="7" s="1"/>
  <c r="W1073" i="6"/>
  <c r="U464" i="7" s="1"/>
  <c r="W941" i="6"/>
  <c r="W930" i="6"/>
  <c r="W1095" i="6"/>
  <c r="U470" i="7" s="1"/>
  <c r="W996" i="6"/>
  <c r="U443" i="7" s="1"/>
  <c r="W1029" i="6"/>
  <c r="U452" i="7" s="1"/>
  <c r="W886" i="6"/>
  <c r="U193" i="7" s="1"/>
  <c r="W875" i="6"/>
  <c r="U139" i="7" s="1"/>
  <c r="W1084" i="6"/>
  <c r="U467" i="7" s="1"/>
  <c r="W864" i="6"/>
  <c r="U308" i="7" s="1"/>
  <c r="W776" i="6"/>
  <c r="U418" i="7" s="1"/>
  <c r="AD353" i="7"/>
  <c r="AD355" i="7"/>
  <c r="AD150" i="7"/>
  <c r="AF13" i="8" s="1"/>
  <c r="AD47" i="7"/>
  <c r="Z13" i="8" s="1"/>
  <c r="AC167" i="7"/>
  <c r="AC165" i="7"/>
  <c r="AK907" i="6" l="1"/>
  <c r="AC91" i="7"/>
  <c r="AB410" i="7"/>
  <c r="AC416" i="7"/>
  <c r="AC229" i="7"/>
  <c r="Y243" i="7"/>
  <c r="M48" i="9"/>
  <c r="Y245" i="7"/>
  <c r="N48" i="9"/>
  <c r="K46" i="9"/>
  <c r="AC414" i="7"/>
  <c r="AC227" i="7"/>
  <c r="AC68" i="7"/>
  <c r="AC66" i="7"/>
  <c r="K83" i="9"/>
  <c r="Y239" i="7"/>
  <c r="M47" i="9"/>
  <c r="Y241" i="7"/>
  <c r="N47" i="9"/>
  <c r="K92" i="9"/>
  <c r="M90" i="9"/>
  <c r="M138" i="9"/>
  <c r="K163" i="9"/>
  <c r="AA432" i="7"/>
  <c r="Z50" i="8" s="1"/>
  <c r="AL554" i="6"/>
  <c r="AB349" i="7"/>
  <c r="AB375" i="7" s="1"/>
  <c r="Z24" i="8" s="1"/>
  <c r="AB406" i="7"/>
  <c r="AK145" i="6"/>
  <c r="AB125" i="7"/>
  <c r="AB150" i="7" s="1"/>
  <c r="AF11" i="8" s="1"/>
  <c r="AK79" i="6"/>
  <c r="Z318" i="7"/>
  <c r="AL35" i="8" s="1"/>
  <c r="Y432" i="7"/>
  <c r="Z48" i="8" s="1"/>
  <c r="AK77" i="6"/>
  <c r="X54" i="7"/>
  <c r="X96" i="7" s="1"/>
  <c r="Z33" i="8" s="1"/>
  <c r="AK143" i="6"/>
  <c r="X276" i="7"/>
  <c r="X318" i="7" s="1"/>
  <c r="AL33" i="8" s="1"/>
  <c r="AL555" i="6"/>
  <c r="AC298" i="7"/>
  <c r="AK533" i="6"/>
  <c r="AC123" i="7"/>
  <c r="AK555" i="6"/>
  <c r="AC296" i="7"/>
  <c r="AA127" i="7"/>
  <c r="AA150" i="7" s="1"/>
  <c r="AF10" i="8" s="1"/>
  <c r="AA300" i="7"/>
  <c r="AA318" i="7" s="1"/>
  <c r="AL36" i="8" s="1"/>
  <c r="AC402" i="7"/>
  <c r="AC292" i="7"/>
  <c r="AL533" i="6"/>
  <c r="AC125" i="7"/>
  <c r="W129" i="7"/>
  <c r="W150" i="7" s="1"/>
  <c r="AF6" i="8" s="1"/>
  <c r="W302" i="7"/>
  <c r="W318" i="7" s="1"/>
  <c r="AL32" i="8" s="1"/>
  <c r="Y318" i="7"/>
  <c r="AL34" i="8" s="1"/>
  <c r="AL765" i="6"/>
  <c r="L132" i="9" s="1"/>
  <c r="AD306" i="7"/>
  <c r="AC404" i="7"/>
  <c r="AC294" i="7"/>
  <c r="AK765" i="6"/>
  <c r="K132" i="9" s="1"/>
  <c r="AD304" i="7"/>
  <c r="K22" i="9"/>
  <c r="K56" i="9"/>
  <c r="AC253" i="7"/>
  <c r="Y150" i="7"/>
  <c r="AF8" i="8" s="1"/>
  <c r="Y47" i="7"/>
  <c r="Z8" i="8" s="1"/>
  <c r="AC357" i="7"/>
  <c r="Y96" i="7"/>
  <c r="Z34" i="8" s="1"/>
  <c r="Y181" i="7"/>
  <c r="AK628" i="6"/>
  <c r="AL628" i="6"/>
  <c r="Y183" i="7"/>
  <c r="AK707" i="6"/>
  <c r="K131" i="9" s="1"/>
  <c r="AA185" i="7"/>
  <c r="AA204" i="7" s="1"/>
  <c r="AF36" i="8" s="1"/>
  <c r="AL703" i="6"/>
  <c r="L131" i="9" s="1"/>
  <c r="W187" i="7"/>
  <c r="W204" i="7" s="1"/>
  <c r="AF32" i="8" s="1"/>
  <c r="M53" i="8"/>
  <c r="G39" i="8"/>
  <c r="M39" i="8"/>
  <c r="G13" i="8"/>
  <c r="M13" i="8"/>
  <c r="B39" i="8"/>
  <c r="G53" i="8"/>
  <c r="B26" i="8"/>
  <c r="G26" i="8"/>
  <c r="B53" i="8"/>
  <c r="S428" i="7"/>
  <c r="S147" i="7"/>
  <c r="J105" i="9"/>
  <c r="J151" i="9"/>
  <c r="J150" i="9"/>
  <c r="J116" i="9"/>
  <c r="I75" i="9"/>
  <c r="J96" i="9"/>
  <c r="J49" i="9"/>
  <c r="J44" i="9"/>
  <c r="J57" i="9"/>
  <c r="I118" i="9"/>
  <c r="I70" i="9"/>
  <c r="J9" i="9"/>
  <c r="J72" i="9"/>
  <c r="J186" i="9"/>
  <c r="J109" i="9"/>
  <c r="I58" i="9"/>
  <c r="I52" i="9"/>
  <c r="J26" i="9"/>
  <c r="J59" i="9"/>
  <c r="I153" i="9"/>
  <c r="J138" i="9"/>
  <c r="I71" i="9"/>
  <c r="J119" i="9"/>
  <c r="I93" i="9"/>
  <c r="I131" i="9"/>
  <c r="I180" i="9"/>
  <c r="I82" i="9"/>
  <c r="I164" i="9"/>
  <c r="I57" i="9"/>
  <c r="I109" i="9"/>
  <c r="I178" i="9"/>
  <c r="I184" i="9"/>
  <c r="I95" i="9"/>
  <c r="I107" i="9"/>
  <c r="I23" i="9"/>
  <c r="J71" i="9"/>
  <c r="I68" i="9"/>
  <c r="I24" i="9"/>
  <c r="J56" i="9"/>
  <c r="I83" i="9"/>
  <c r="I35" i="9"/>
  <c r="J141" i="9"/>
  <c r="I45" i="9"/>
  <c r="J58" i="9"/>
  <c r="J175" i="9"/>
  <c r="J177" i="9"/>
  <c r="I56" i="9"/>
  <c r="I117" i="9"/>
  <c r="J47" i="9"/>
  <c r="I165" i="9"/>
  <c r="I186" i="9"/>
  <c r="I36" i="9"/>
  <c r="J118" i="9"/>
  <c r="J108" i="9"/>
  <c r="J91" i="9"/>
  <c r="J48" i="9"/>
  <c r="J37" i="9"/>
  <c r="J68" i="9"/>
  <c r="J184" i="9"/>
  <c r="J10" i="9"/>
  <c r="I152" i="9"/>
  <c r="J25" i="9"/>
  <c r="J97" i="9"/>
  <c r="I112" i="9"/>
  <c r="I166" i="9"/>
  <c r="I29" i="9"/>
  <c r="I97" i="9"/>
  <c r="J153" i="9"/>
  <c r="I120" i="9"/>
  <c r="I49" i="9"/>
  <c r="J24" i="9"/>
  <c r="J93" i="9"/>
  <c r="I142" i="9"/>
  <c r="J117" i="9"/>
  <c r="I141" i="9"/>
  <c r="I188" i="9"/>
  <c r="J70" i="9"/>
  <c r="J80" i="9"/>
  <c r="J129" i="9"/>
  <c r="I46" i="9"/>
  <c r="I37" i="9"/>
  <c r="I12" i="9"/>
  <c r="I34" i="9"/>
  <c r="J81" i="9"/>
  <c r="J92" i="9"/>
  <c r="J36" i="9"/>
  <c r="I177" i="9"/>
  <c r="J131" i="9"/>
  <c r="I154" i="9"/>
  <c r="J176" i="9"/>
  <c r="J34" i="9"/>
  <c r="J35" i="9"/>
  <c r="J142" i="9"/>
  <c r="J189" i="9"/>
  <c r="J46" i="9"/>
  <c r="I60" i="9"/>
  <c r="J23" i="9"/>
  <c r="I105" i="9"/>
  <c r="I163" i="9"/>
  <c r="J179" i="9"/>
  <c r="J132" i="9"/>
  <c r="I155" i="9"/>
  <c r="I185" i="9"/>
  <c r="I150" i="9"/>
  <c r="D180" i="9"/>
  <c r="I151" i="9"/>
  <c r="I44" i="9"/>
  <c r="J127" i="9"/>
  <c r="I175" i="9"/>
  <c r="I59" i="9"/>
  <c r="D184" i="9"/>
  <c r="J11" i="9"/>
  <c r="J120" i="9"/>
  <c r="J163" i="9"/>
  <c r="I25" i="9"/>
  <c r="J106" i="9"/>
  <c r="D176" i="9"/>
  <c r="F180" i="9"/>
  <c r="F175" i="9"/>
  <c r="J178" i="9"/>
  <c r="I69" i="9"/>
  <c r="I10" i="9"/>
  <c r="I67" i="9"/>
  <c r="I179" i="9"/>
  <c r="J166" i="9"/>
  <c r="I11" i="9"/>
  <c r="I72" i="9"/>
  <c r="J187" i="9"/>
  <c r="I47" i="9"/>
  <c r="I81" i="9"/>
  <c r="J95" i="9"/>
  <c r="L180" i="9"/>
  <c r="I26" i="9"/>
  <c r="J107" i="9"/>
  <c r="J69" i="9"/>
  <c r="I9" i="9"/>
  <c r="I22" i="9"/>
  <c r="I91" i="9"/>
  <c r="J130" i="9"/>
  <c r="J82" i="9"/>
  <c r="I48" i="9"/>
  <c r="I79" i="9"/>
  <c r="I90" i="9"/>
  <c r="I134" i="9"/>
  <c r="D188" i="9"/>
  <c r="I189" i="9"/>
  <c r="I128" i="9"/>
  <c r="J67" i="9"/>
  <c r="J45" i="9"/>
  <c r="J90" i="9"/>
  <c r="I140" i="9"/>
  <c r="I119" i="9"/>
  <c r="F185" i="9"/>
  <c r="J188" i="9"/>
  <c r="I108" i="9"/>
  <c r="J180" i="9"/>
  <c r="I129" i="9"/>
  <c r="I138" i="9"/>
  <c r="F189" i="9"/>
  <c r="F186" i="9"/>
  <c r="J165" i="9"/>
  <c r="I158" i="9"/>
  <c r="J164" i="9"/>
  <c r="J139" i="9"/>
  <c r="I96" i="9"/>
  <c r="I106" i="9"/>
  <c r="J155" i="9"/>
  <c r="J140" i="9"/>
  <c r="J154" i="9"/>
  <c r="I127" i="9"/>
  <c r="I130" i="9"/>
  <c r="I187" i="9"/>
  <c r="E177" i="9"/>
  <c r="E37" i="9"/>
  <c r="G185" i="9"/>
  <c r="F188" i="9"/>
  <c r="G72" i="9"/>
  <c r="E179" i="9"/>
  <c r="K180" i="9"/>
  <c r="J185" i="9"/>
  <c r="I116" i="9"/>
  <c r="I80" i="9"/>
  <c r="J79" i="9"/>
  <c r="J22" i="9"/>
  <c r="E83" i="9"/>
  <c r="E71" i="9"/>
  <c r="G176" i="9"/>
  <c r="E178" i="9"/>
  <c r="F179" i="9"/>
  <c r="E25" i="9"/>
  <c r="I139" i="9"/>
  <c r="J162" i="9"/>
  <c r="J83" i="9"/>
  <c r="I162" i="9"/>
  <c r="D187" i="9"/>
  <c r="J12" i="9"/>
  <c r="E189" i="9"/>
  <c r="M180" i="9"/>
  <c r="G186" i="9"/>
  <c r="G187" i="9"/>
  <c r="F184" i="9"/>
  <c r="I92" i="9"/>
  <c r="J152" i="9"/>
  <c r="D185" i="9"/>
  <c r="I132" i="9"/>
  <c r="D178" i="9"/>
  <c r="J60" i="9"/>
  <c r="G180" i="9"/>
  <c r="E120" i="9"/>
  <c r="D175" i="9"/>
  <c r="D177" i="9"/>
  <c r="J128" i="9"/>
  <c r="I176" i="9"/>
  <c r="AC359" i="7"/>
  <c r="AC337" i="7"/>
  <c r="AC363" i="7"/>
  <c r="S373" i="7"/>
  <c r="AC249" i="7"/>
  <c r="S371" i="7"/>
  <c r="S430" i="7"/>
  <c r="S145" i="7"/>
  <c r="S314" i="7"/>
  <c r="S257" i="7"/>
  <c r="S372" i="7"/>
  <c r="S316" i="7"/>
  <c r="S256" i="7"/>
  <c r="AB318" i="7"/>
  <c r="AL37" i="8" s="1"/>
  <c r="AB96" i="7"/>
  <c r="Z37" i="8" s="1"/>
  <c r="AB47" i="7"/>
  <c r="Z11" i="8" s="1"/>
  <c r="S200" i="7"/>
  <c r="S429" i="7"/>
  <c r="S315" i="7"/>
  <c r="S258" i="7"/>
  <c r="S199" i="7"/>
  <c r="S148" i="7"/>
  <c r="AB204" i="7"/>
  <c r="AF37" i="8" s="1"/>
  <c r="AC310" i="7"/>
  <c r="AC135" i="7"/>
  <c r="AB261" i="7"/>
  <c r="AL11" i="8" s="1"/>
  <c r="AK467" i="6"/>
  <c r="AC119" i="7"/>
  <c r="AL71" i="6"/>
  <c r="AC270" i="7"/>
  <c r="AL709" i="6"/>
  <c r="AC187" i="7"/>
  <c r="AK929" i="6"/>
  <c r="AC312" i="7"/>
  <c r="AL192" i="6"/>
  <c r="AC217" i="7"/>
  <c r="AK918" i="6"/>
  <c r="AC198" i="7"/>
  <c r="AC361" i="7"/>
  <c r="AL258" i="6"/>
  <c r="AC225" i="7"/>
  <c r="AL115" i="6"/>
  <c r="AC274" i="7"/>
  <c r="AK71" i="6"/>
  <c r="AC268" i="7"/>
  <c r="AL324" i="6"/>
  <c r="AC396" i="7"/>
  <c r="AK885" i="6"/>
  <c r="AC193" i="7"/>
  <c r="AK170" i="6"/>
  <c r="AC16" i="7"/>
  <c r="AK236" i="6"/>
  <c r="AC219" i="7"/>
  <c r="AK104" i="6"/>
  <c r="AC325" i="7"/>
  <c r="AL643" i="6"/>
  <c r="AC351" i="7"/>
  <c r="AL280" i="6"/>
  <c r="AC117" i="7"/>
  <c r="AL874" i="6"/>
  <c r="AC141" i="7"/>
  <c r="AK115" i="6"/>
  <c r="AC272" i="7"/>
  <c r="AK214" i="6"/>
  <c r="AC329" i="7"/>
  <c r="AL60" i="6"/>
  <c r="AC159" i="7"/>
  <c r="AK643" i="6"/>
  <c r="AC349" i="7"/>
  <c r="U473" i="7"/>
  <c r="AL148" i="6"/>
  <c r="AC109" i="7"/>
  <c r="AK368" i="6"/>
  <c r="AC341" i="7"/>
  <c r="AK962" i="6"/>
  <c r="AC255" i="7"/>
  <c r="AK302" i="6"/>
  <c r="AC288" i="7"/>
  <c r="AL247" i="6"/>
  <c r="AC286" i="7"/>
  <c r="AK632" i="6"/>
  <c r="AC181" i="7"/>
  <c r="AC420" i="7"/>
  <c r="AC424" i="7"/>
  <c r="AC137" i="7"/>
  <c r="AC131" i="7"/>
  <c r="S202" i="7"/>
  <c r="AK269" i="6"/>
  <c r="AC333" i="7"/>
  <c r="AL742" i="6"/>
  <c r="AC245" i="7"/>
  <c r="AL181" i="6"/>
  <c r="AC113" i="7"/>
  <c r="AL82" i="6"/>
  <c r="AC213" i="7"/>
  <c r="AK720" i="6"/>
  <c r="AC127" i="7"/>
  <c r="AK731" i="6"/>
  <c r="AC189" i="7"/>
  <c r="AK159" i="6"/>
  <c r="AC276" i="7"/>
  <c r="AL137" i="6"/>
  <c r="AC163" i="7"/>
  <c r="AK973" i="6"/>
  <c r="AC369" i="7"/>
  <c r="AL896" i="6"/>
  <c r="AC367" i="7"/>
  <c r="AK324" i="6"/>
  <c r="AC394" i="7"/>
  <c r="AL632" i="6"/>
  <c r="AC183" i="7"/>
  <c r="AL885" i="6"/>
  <c r="AC195" i="7"/>
  <c r="AL170" i="6"/>
  <c r="AC18" i="7"/>
  <c r="AL236" i="6"/>
  <c r="AC221" i="7"/>
  <c r="AL577" i="6"/>
  <c r="AC408" i="7"/>
  <c r="AK126" i="6"/>
  <c r="AC386" i="7"/>
  <c r="AK599" i="6"/>
  <c r="AC410" i="7"/>
  <c r="AK874" i="6"/>
  <c r="AC139" i="7"/>
  <c r="AK258" i="6"/>
  <c r="AC223" i="7"/>
  <c r="AK148" i="6"/>
  <c r="AC107" i="7"/>
  <c r="AL368" i="6"/>
  <c r="AC343" i="7"/>
  <c r="AK940" i="6"/>
  <c r="AC426" i="7"/>
  <c r="AL302" i="6"/>
  <c r="AC290" i="7"/>
  <c r="AK247" i="6"/>
  <c r="AC284" i="7"/>
  <c r="AL104" i="6"/>
  <c r="AC327" i="7"/>
  <c r="AK280" i="6"/>
  <c r="AC115" i="7"/>
  <c r="AC247" i="7"/>
  <c r="AL467" i="6"/>
  <c r="AC121" i="7"/>
  <c r="AL214" i="6"/>
  <c r="AC331" i="7"/>
  <c r="AK60" i="6"/>
  <c r="AC157" i="7"/>
  <c r="AK951" i="6"/>
  <c r="AC144" i="7"/>
  <c r="AC339" i="7"/>
  <c r="AC308" i="7"/>
  <c r="AC418" i="7"/>
  <c r="AC251" i="7"/>
  <c r="AC422" i="7"/>
  <c r="AC133" i="7"/>
  <c r="AL269" i="6"/>
  <c r="AC335" i="7"/>
  <c r="AK742" i="6"/>
  <c r="AC243" i="7"/>
  <c r="AK181" i="6"/>
  <c r="AC111" i="7"/>
  <c r="AK82" i="6"/>
  <c r="AC211" i="7"/>
  <c r="AL720" i="6"/>
  <c r="AC129" i="7"/>
  <c r="AL731" i="6"/>
  <c r="AC191" i="7"/>
  <c r="AL159" i="6"/>
  <c r="AC278" i="7"/>
  <c r="AK137" i="6"/>
  <c r="AC161" i="7"/>
  <c r="AK896" i="6"/>
  <c r="AC365" i="7"/>
  <c r="AK709" i="6"/>
  <c r="AC185" i="7"/>
  <c r="AK192" i="6"/>
  <c r="AC215" i="7"/>
  <c r="AK577" i="6"/>
  <c r="AC406" i="7"/>
  <c r="AL126" i="6"/>
  <c r="AC388" i="7"/>
  <c r="AL599" i="6"/>
  <c r="AC412" i="7"/>
  <c r="U200" i="7"/>
  <c r="U201" i="7"/>
  <c r="U202" i="7"/>
  <c r="U199" i="7"/>
  <c r="U428" i="7"/>
  <c r="U427" i="7"/>
  <c r="U430" i="7"/>
  <c r="U429" i="7"/>
  <c r="U258" i="7"/>
  <c r="U257" i="7"/>
  <c r="U256" i="7"/>
  <c r="U259" i="7"/>
  <c r="U314" i="7"/>
  <c r="U313" i="7"/>
  <c r="U315" i="7"/>
  <c r="U316" i="7"/>
  <c r="U371" i="7"/>
  <c r="U372" i="7"/>
  <c r="U373" i="7"/>
  <c r="U370" i="7"/>
  <c r="U145" i="7"/>
  <c r="U146" i="7"/>
  <c r="U147" i="7"/>
  <c r="U148" i="7"/>
  <c r="AD339" i="7"/>
  <c r="AD337" i="7"/>
  <c r="AD167" i="7"/>
  <c r="AD165" i="7"/>
  <c r="AD58" i="7"/>
  <c r="AD60" i="7"/>
  <c r="AB432" i="7" l="1"/>
  <c r="Z51" i="8" s="1"/>
  <c r="L47" i="9"/>
  <c r="L48" i="9"/>
  <c r="K47" i="9"/>
  <c r="K48" i="9"/>
  <c r="AC96" i="7"/>
  <c r="Z38" i="8" s="1"/>
  <c r="K90" i="9"/>
  <c r="Y261" i="7"/>
  <c r="AL8" i="8" s="1"/>
  <c r="K138" i="9"/>
  <c r="AD318" i="7"/>
  <c r="AL39" i="8" s="1"/>
  <c r="Y204" i="7"/>
  <c r="AF34" i="8" s="1"/>
  <c r="AC432" i="7"/>
  <c r="Z52" i="8" s="1"/>
  <c r="AC261" i="7"/>
  <c r="AL12" i="8" s="1"/>
  <c r="M100" i="9"/>
  <c r="N100" i="9"/>
  <c r="AC204" i="7"/>
  <c r="AF38" i="8" s="1"/>
  <c r="AC150" i="7"/>
  <c r="AF12" i="8" s="1"/>
  <c r="AC375" i="7"/>
  <c r="Z25" i="8" s="1"/>
  <c r="AC318" i="7"/>
  <c r="M39" i="9"/>
  <c r="M62" i="9"/>
  <c r="N122" i="9"/>
  <c r="N39" i="9"/>
  <c r="N168" i="9"/>
  <c r="N85" i="9"/>
  <c r="N145" i="9"/>
  <c r="AC47" i="7"/>
  <c r="N17" i="9"/>
  <c r="N62" i="9"/>
  <c r="M168" i="9"/>
  <c r="M85" i="9"/>
  <c r="M145" i="9"/>
  <c r="M122" i="9"/>
  <c r="M17" i="9"/>
  <c r="AD375" i="7"/>
  <c r="AD204" i="7"/>
  <c r="AF39" i="8" s="1"/>
  <c r="AD96" i="7"/>
  <c r="W51" i="8" l="1"/>
  <c r="AI9" i="8"/>
  <c r="X319" i="7"/>
  <c r="AJ33" i="8" s="1"/>
  <c r="AC433" i="7"/>
  <c r="X52" i="8" s="1"/>
  <c r="W50" i="8"/>
  <c r="AI10" i="8"/>
  <c r="Y262" i="7"/>
  <c r="AJ8" i="8" s="1"/>
  <c r="AA262" i="7"/>
  <c r="AJ10" i="8" s="1"/>
  <c r="AI8" i="8"/>
  <c r="W46" i="8"/>
  <c r="AA433" i="7"/>
  <c r="X50" i="8" s="1"/>
  <c r="AI7" i="8"/>
  <c r="AD151" i="7"/>
  <c r="AD13" i="8" s="1"/>
  <c r="W262" i="7"/>
  <c r="AJ6" i="8" s="1"/>
  <c r="X262" i="7"/>
  <c r="AJ7" i="8" s="1"/>
  <c r="AI6" i="8"/>
  <c r="AB262" i="7"/>
  <c r="AJ11" i="8" s="1"/>
  <c r="Z262" i="7"/>
  <c r="AJ9" i="8" s="1"/>
  <c r="AI11" i="8"/>
  <c r="AI12" i="8"/>
  <c r="X151" i="7"/>
  <c r="AD7" i="8" s="1"/>
  <c r="AD262" i="7"/>
  <c r="AJ13" i="8" s="1"/>
  <c r="AC262" i="7"/>
  <c r="AJ12" i="8" s="1"/>
  <c r="AI13" i="8"/>
  <c r="AB319" i="7"/>
  <c r="AJ37" i="8" s="1"/>
  <c r="W53" i="8"/>
  <c r="W52" i="8"/>
  <c r="W433" i="7"/>
  <c r="X46" i="8" s="1"/>
  <c r="W47" i="8"/>
  <c r="X433" i="7"/>
  <c r="X47" i="8" s="1"/>
  <c r="Y433" i="7"/>
  <c r="X48" i="8" s="1"/>
  <c r="W49" i="8"/>
  <c r="AC36" i="8"/>
  <c r="AB433" i="7"/>
  <c r="X51" i="8" s="1"/>
  <c r="Z433" i="7"/>
  <c r="X49" i="8" s="1"/>
  <c r="AD433" i="7"/>
  <c r="W48" i="8"/>
  <c r="Y319" i="7"/>
  <c r="AJ34" i="8" s="1"/>
  <c r="Y151" i="7"/>
  <c r="AD8" i="8" s="1"/>
  <c r="W151" i="7"/>
  <c r="AD6" i="8" s="1"/>
  <c r="AC151" i="7"/>
  <c r="AD12" i="8" s="1"/>
  <c r="Z151" i="7"/>
  <c r="AD9" i="8" s="1"/>
  <c r="AB151" i="7"/>
  <c r="AD11" i="8" s="1"/>
  <c r="AA151" i="7"/>
  <c r="AD10" i="8" s="1"/>
  <c r="M86" i="9"/>
  <c r="AD319" i="7"/>
  <c r="AJ39" i="8" s="1"/>
  <c r="AL38" i="8"/>
  <c r="AI33" i="8" s="1"/>
  <c r="AC319" i="7"/>
  <c r="AJ38" i="8" s="1"/>
  <c r="Z319" i="7"/>
  <c r="AJ35" i="8" s="1"/>
  <c r="AA319" i="7"/>
  <c r="AJ36" i="8" s="1"/>
  <c r="W319" i="7"/>
  <c r="AJ32" i="8" s="1"/>
  <c r="M169" i="9"/>
  <c r="Z12" i="8"/>
  <c r="AD48" i="7"/>
  <c r="X13" i="8" s="1"/>
  <c r="AA48" i="7"/>
  <c r="X10" i="8" s="1"/>
  <c r="Y48" i="7"/>
  <c r="X8" i="8" s="1"/>
  <c r="Z48" i="7"/>
  <c r="X9" i="8" s="1"/>
  <c r="AC48" i="7"/>
  <c r="X12" i="8" s="1"/>
  <c r="W48" i="7"/>
  <c r="X6" i="8" s="1"/>
  <c r="X48" i="7"/>
  <c r="X7" i="8" s="1"/>
  <c r="AB48" i="7"/>
  <c r="X11" i="8" s="1"/>
  <c r="N86" i="9"/>
  <c r="N169" i="9"/>
  <c r="AC37" i="8"/>
  <c r="AC12" i="8"/>
  <c r="AC13" i="8"/>
  <c r="AC11" i="8"/>
  <c r="AC8" i="8"/>
  <c r="AC10" i="8"/>
  <c r="AC7" i="8"/>
  <c r="AC9" i="8"/>
  <c r="AC6" i="8"/>
  <c r="AC376" i="7"/>
  <c r="X25" i="8" s="1"/>
  <c r="Z26" i="8"/>
  <c r="AC97" i="7"/>
  <c r="X38" i="8" s="1"/>
  <c r="Z39" i="8"/>
  <c r="AC39" i="8"/>
  <c r="AC32" i="8"/>
  <c r="AC33" i="8"/>
  <c r="AC34" i="8"/>
  <c r="AC35" i="8"/>
  <c r="AC38" i="8"/>
  <c r="Z376" i="7"/>
  <c r="X22" i="8" s="1"/>
  <c r="AB376" i="7"/>
  <c r="X24" i="8" s="1"/>
  <c r="AA376" i="7"/>
  <c r="X23" i="8" s="1"/>
  <c r="AD205" i="7"/>
  <c r="AD39" i="8" s="1"/>
  <c r="W205" i="7"/>
  <c r="AD32" i="8" s="1"/>
  <c r="X205" i="7"/>
  <c r="AD33" i="8" s="1"/>
  <c r="AA205" i="7"/>
  <c r="AD36" i="8" s="1"/>
  <c r="AD376" i="7"/>
  <c r="X26" i="8" s="1"/>
  <c r="X376" i="7"/>
  <c r="X20" i="8" s="1"/>
  <c r="W376" i="7"/>
  <c r="X19" i="8" s="1"/>
  <c r="Y376" i="7"/>
  <c r="X21" i="8" s="1"/>
  <c r="AC205" i="7"/>
  <c r="AD38" i="8" s="1"/>
  <c r="AB205" i="7"/>
  <c r="AD37" i="8" s="1"/>
  <c r="Y205" i="7"/>
  <c r="AD34" i="8" s="1"/>
  <c r="Z205" i="7"/>
  <c r="AD35" i="8" s="1"/>
  <c r="AA97" i="7"/>
  <c r="X36" i="8" s="1"/>
  <c r="X97" i="7"/>
  <c r="X33" i="8" s="1"/>
  <c r="Y97" i="7"/>
  <c r="X34" i="8" s="1"/>
  <c r="AB97" i="7"/>
  <c r="X37" i="8" s="1"/>
  <c r="W97" i="7"/>
  <c r="X32" i="8" s="1"/>
  <c r="Z97" i="7"/>
  <c r="X35" i="8" s="1"/>
  <c r="AD97" i="7"/>
  <c r="X39" i="8" s="1"/>
  <c r="P6" i="8" l="1"/>
  <c r="N7" i="8"/>
  <c r="N6" i="8"/>
  <c r="P7" i="8"/>
  <c r="D46" i="8"/>
  <c r="D48" i="8"/>
  <c r="N11" i="8"/>
  <c r="C46" i="8"/>
  <c r="P8" i="8"/>
  <c r="N9" i="8"/>
  <c r="N8" i="8"/>
  <c r="P10" i="8"/>
  <c r="P9" i="8"/>
  <c r="N10" i="8"/>
  <c r="P12" i="8"/>
  <c r="P11" i="8"/>
  <c r="N12" i="8"/>
  <c r="N13" i="8"/>
  <c r="P13" i="8"/>
  <c r="AI38" i="8"/>
  <c r="D50" i="8"/>
  <c r="C51" i="8"/>
  <c r="C49" i="8"/>
  <c r="AI37" i="8"/>
  <c r="D53" i="8"/>
  <c r="D51" i="8"/>
  <c r="D52" i="8"/>
  <c r="C53" i="8"/>
  <c r="C48" i="8"/>
  <c r="C47" i="8"/>
  <c r="D49" i="8"/>
  <c r="C50" i="8"/>
  <c r="C52" i="8"/>
  <c r="D47" i="8"/>
  <c r="AI34" i="8"/>
  <c r="AI35" i="8"/>
  <c r="AI36" i="8"/>
  <c r="AI39" i="8"/>
  <c r="AI32" i="8"/>
  <c r="O86" i="9"/>
  <c r="N170" i="9"/>
  <c r="M170" i="9"/>
  <c r="W7" i="8"/>
  <c r="W10" i="8"/>
  <c r="W9" i="8"/>
  <c r="W12" i="8"/>
  <c r="W11" i="8"/>
  <c r="W8" i="8"/>
  <c r="W6" i="8"/>
  <c r="W13" i="8"/>
  <c r="H32" i="8"/>
  <c r="J32" i="8"/>
  <c r="J34" i="8"/>
  <c r="J38" i="8"/>
  <c r="J37" i="8"/>
  <c r="H37" i="8"/>
  <c r="H35" i="8"/>
  <c r="J35" i="8"/>
  <c r="H34" i="8"/>
  <c r="H36" i="8"/>
  <c r="H33" i="8"/>
  <c r="J39" i="8"/>
  <c r="H38" i="8"/>
  <c r="J33" i="8"/>
  <c r="H39" i="8"/>
  <c r="J36" i="8"/>
  <c r="W26" i="8"/>
  <c r="W19" i="8"/>
  <c r="W20" i="8"/>
  <c r="W21" i="8"/>
  <c r="W24" i="8"/>
  <c r="W22" i="8"/>
  <c r="W25" i="8"/>
  <c r="W23" i="8"/>
  <c r="W39" i="8"/>
  <c r="W32" i="8"/>
  <c r="W33" i="8"/>
  <c r="W34" i="8"/>
  <c r="W37" i="8"/>
  <c r="W35" i="8"/>
  <c r="W36" i="8"/>
  <c r="W38" i="8"/>
  <c r="H13" i="8"/>
  <c r="H12" i="8"/>
  <c r="J11" i="8"/>
  <c r="J6" i="8"/>
  <c r="J7" i="8"/>
  <c r="J12" i="8"/>
  <c r="H10" i="8"/>
  <c r="H8" i="8"/>
  <c r="J13" i="8"/>
  <c r="J8" i="8"/>
  <c r="H7" i="8"/>
  <c r="H9" i="8"/>
  <c r="J9" i="8"/>
  <c r="H11" i="8"/>
  <c r="J10" i="8"/>
  <c r="H6" i="8"/>
  <c r="D6" i="8" l="1"/>
  <c r="P38" i="8"/>
  <c r="P34" i="8"/>
  <c r="N39" i="8"/>
  <c r="N33" i="8"/>
  <c r="P37" i="8"/>
  <c r="P32" i="8"/>
  <c r="P39" i="8"/>
  <c r="P35" i="8"/>
  <c r="N34" i="8"/>
  <c r="N38" i="8"/>
  <c r="P36" i="8"/>
  <c r="P33" i="8"/>
  <c r="N32" i="8"/>
  <c r="N35" i="8"/>
  <c r="N37" i="8"/>
  <c r="N36" i="8"/>
  <c r="O170" i="9"/>
  <c r="C13" i="8"/>
  <c r="C11" i="8"/>
  <c r="D13" i="8"/>
  <c r="C10" i="8"/>
  <c r="C6" i="8"/>
  <c r="D11" i="8"/>
  <c r="D12" i="8"/>
  <c r="D10" i="8"/>
  <c r="C12" i="8"/>
  <c r="C7" i="8"/>
  <c r="D9" i="8"/>
  <c r="D7" i="8"/>
  <c r="C8" i="8"/>
  <c r="C9" i="8"/>
  <c r="D8" i="8"/>
  <c r="D34" i="8"/>
  <c r="C32" i="8"/>
  <c r="D32" i="8"/>
  <c r="D36" i="8"/>
  <c r="C33" i="8"/>
  <c r="C35" i="8"/>
  <c r="D33" i="8"/>
  <c r="C37" i="8"/>
  <c r="C34" i="8"/>
  <c r="C39" i="8"/>
  <c r="C36" i="8"/>
  <c r="D35" i="8"/>
  <c r="D38" i="8"/>
  <c r="C38" i="8"/>
  <c r="D37" i="8"/>
  <c r="D39" i="8"/>
  <c r="C25" i="8"/>
  <c r="C19" i="8"/>
  <c r="D20" i="8"/>
  <c r="C22" i="8"/>
  <c r="C21" i="8"/>
  <c r="D19" i="8"/>
  <c r="D26" i="8"/>
  <c r="D25" i="8"/>
  <c r="C26" i="8"/>
  <c r="C20" i="8"/>
  <c r="D22" i="8"/>
  <c r="C23" i="8"/>
  <c r="D23" i="8"/>
  <c r="C24" i="8"/>
  <c r="D21" i="8"/>
  <c r="D24" i="8"/>
  <c r="E13" i="8" l="1"/>
  <c r="AF47" i="8"/>
  <c r="AF53" i="8"/>
  <c r="AF52" i="8"/>
  <c r="AF49" i="8"/>
  <c r="AF48" i="8"/>
  <c r="AF50" i="8"/>
  <c r="AF46" i="8"/>
  <c r="AF51" i="8"/>
  <c r="AF24" i="8"/>
  <c r="AF22" i="8"/>
  <c r="AF26" i="8"/>
  <c r="AF25" i="8"/>
  <c r="AF21" i="8"/>
  <c r="AF20" i="8"/>
  <c r="AF19" i="8"/>
  <c r="AF23" i="8"/>
  <c r="AG50" i="8"/>
  <c r="AG47" i="8"/>
  <c r="AG52" i="8"/>
  <c r="AG49" i="8"/>
  <c r="AG46" i="8"/>
  <c r="AG53" i="8"/>
  <c r="AG48" i="8"/>
  <c r="AG51" i="8"/>
  <c r="E8" i="8"/>
  <c r="E9" i="8"/>
  <c r="E12" i="8"/>
  <c r="E11" i="8"/>
  <c r="E6" i="8"/>
  <c r="E7" i="8"/>
  <c r="E10" i="8"/>
  <c r="AG19" i="8"/>
  <c r="AG20" i="8"/>
  <c r="AG25" i="8"/>
  <c r="AG24" i="8"/>
  <c r="AG22" i="8"/>
  <c r="AG26" i="8"/>
  <c r="AG23" i="8"/>
  <c r="AG21" i="8"/>
  <c r="AF65" i="8" l="1"/>
  <c r="AD52" i="8"/>
  <c r="AD48" i="8"/>
  <c r="AC47" i="8"/>
  <c r="AC50" i="8"/>
  <c r="AC46" i="8"/>
  <c r="AC51" i="8"/>
  <c r="AF63" i="8"/>
  <c r="AF62" i="8"/>
  <c r="AD49" i="8"/>
  <c r="AD50" i="8"/>
  <c r="AD51" i="8"/>
  <c r="AC48" i="8"/>
  <c r="AC52" i="8"/>
  <c r="AD47" i="8"/>
  <c r="AC53" i="8"/>
  <c r="AC49" i="8"/>
  <c r="AD46" i="8"/>
  <c r="AD53" i="8"/>
  <c r="E14" i="8"/>
  <c r="AD20" i="8"/>
  <c r="AD22" i="8"/>
  <c r="AD26" i="8"/>
  <c r="AC26" i="8"/>
  <c r="AF69" i="8"/>
  <c r="AC22" i="8"/>
  <c r="AC20" i="8"/>
  <c r="AF67" i="8"/>
  <c r="AC24" i="8"/>
  <c r="AD24" i="8"/>
  <c r="AC19" i="8"/>
  <c r="AC25" i="8"/>
  <c r="AD25" i="8"/>
  <c r="AF68" i="8"/>
  <c r="AD23" i="8"/>
  <c r="AF66" i="8"/>
  <c r="AC23" i="8"/>
  <c r="AD19" i="8"/>
  <c r="AC21" i="8"/>
  <c r="AD21" i="8"/>
  <c r="AF64" i="8"/>
  <c r="J47" i="8" l="1"/>
  <c r="J49" i="8"/>
  <c r="H47" i="8"/>
  <c r="H46" i="8"/>
  <c r="J46" i="8"/>
  <c r="J51" i="8"/>
  <c r="J48" i="8"/>
  <c r="H51" i="8"/>
  <c r="J50" i="8"/>
  <c r="H49" i="8"/>
  <c r="H52" i="8"/>
  <c r="H48" i="8"/>
  <c r="H53" i="8"/>
  <c r="H50" i="8"/>
  <c r="J52" i="8"/>
  <c r="J53" i="8"/>
  <c r="AC63" i="8"/>
  <c r="AC65" i="8"/>
  <c r="AC64" i="8"/>
  <c r="AD64" i="8"/>
  <c r="AD65" i="8"/>
  <c r="H25" i="8"/>
  <c r="H20" i="8"/>
  <c r="H19" i="8"/>
  <c r="H21" i="8"/>
  <c r="J25" i="8"/>
  <c r="J23" i="8"/>
  <c r="J21" i="8"/>
  <c r="J24" i="8"/>
  <c r="J19" i="8"/>
  <c r="J22" i="8"/>
  <c r="J20" i="8"/>
  <c r="H26" i="8"/>
  <c r="H24" i="8"/>
  <c r="H22" i="8"/>
  <c r="J26" i="8"/>
  <c r="H23" i="8"/>
  <c r="AC66" i="8"/>
  <c r="AD66" i="8"/>
  <c r="AD68" i="8"/>
  <c r="AC68" i="8"/>
  <c r="AC62" i="8"/>
  <c r="AD67" i="8"/>
  <c r="AC67" i="8"/>
  <c r="AD63" i="8"/>
  <c r="AC69" i="8"/>
  <c r="AD69" i="8"/>
  <c r="AD62" i="8"/>
  <c r="N53" i="8" l="1"/>
  <c r="P53" i="8"/>
  <c r="P51" i="8"/>
  <c r="P50" i="8"/>
  <c r="N51" i="8"/>
  <c r="P52" i="8"/>
  <c r="P49" i="8"/>
  <c r="N48" i="8"/>
  <c r="N47" i="8"/>
  <c r="N49" i="8"/>
  <c r="N46" i="8"/>
  <c r="P47" i="8"/>
  <c r="P46" i="8"/>
  <c r="P48" i="8"/>
  <c r="N52" i="8"/>
  <c r="N50" i="8"/>
  <c r="AG65" i="8"/>
  <c r="AG68" i="8"/>
  <c r="AG63" i="8"/>
  <c r="AG66" i="8"/>
  <c r="AG62" i="8"/>
  <c r="AG67" i="8"/>
  <c r="AG69" i="8"/>
  <c r="AG64" i="8"/>
</calcChain>
</file>

<file path=xl/sharedStrings.xml><?xml version="1.0" encoding="utf-8"?>
<sst xmlns="http://schemas.openxmlformats.org/spreadsheetml/2006/main" count="13070" uniqueCount="1104">
  <si>
    <t>Instructions</t>
  </si>
  <si>
    <t>General</t>
  </si>
  <si>
    <t>This Spreadsheet come cleared down and ready to go.  If you require a copy with test data loaded contact Martin Smith (msmith46@talktalk.net).</t>
  </si>
  <si>
    <t>Event Details</t>
  </si>
  <si>
    <r>
      <t xml:space="preserve">The first spreadsheet shows details of the Athletic Meeting. Changing the </t>
    </r>
    <r>
      <rPr>
        <b/>
        <sz val="12"/>
        <rFont val="Arial"/>
        <family val="2"/>
      </rPr>
      <t>Division number</t>
    </r>
    <r>
      <rPr>
        <sz val="12"/>
        <rFont val="Arial"/>
        <family val="2"/>
      </rPr>
      <t xml:space="preserve"> changes the club details for that division. The details are taken from the </t>
    </r>
    <r>
      <rPr>
        <b/>
        <sz val="12"/>
        <rFont val="Arial"/>
        <family val="2"/>
      </rPr>
      <t xml:space="preserve">'Club Details' </t>
    </r>
    <r>
      <rPr>
        <sz val="12"/>
        <rFont val="Arial"/>
        <family val="2"/>
      </rPr>
      <t>spreadsheet.  The field highlighted in 'Green' can be amended as required.</t>
    </r>
  </si>
  <si>
    <r>
      <t xml:space="preserve">To </t>
    </r>
    <r>
      <rPr>
        <b/>
        <sz val="12"/>
        <rFont val="Arial"/>
        <family val="2"/>
      </rPr>
      <t>amend or delete the Club Names</t>
    </r>
    <r>
      <rPr>
        <sz val="12"/>
        <rFont val="Arial"/>
        <family val="2"/>
      </rPr>
      <t xml:space="preserve"> for clubs promoted or relegated see</t>
    </r>
    <r>
      <rPr>
        <b/>
        <sz val="12"/>
        <rFont val="Arial"/>
        <family val="2"/>
      </rPr>
      <t xml:space="preserve"> 'Club Details'</t>
    </r>
    <r>
      <rPr>
        <sz val="12"/>
        <rFont val="Arial"/>
        <family val="2"/>
      </rPr>
      <t xml:space="preserve"> spreadsheet.  </t>
    </r>
  </si>
  <si>
    <t>Timetable</t>
  </si>
  <si>
    <r>
      <t xml:space="preserve">This spreadsheet shows the </t>
    </r>
    <r>
      <rPr>
        <b/>
        <sz val="12"/>
        <rFont val="Arial"/>
        <family val="2"/>
      </rPr>
      <t>'League Programme</t>
    </r>
    <r>
      <rPr>
        <sz val="12"/>
        <rFont val="Arial"/>
        <family val="2"/>
      </rPr>
      <t>'.  Each event has been given a unique '</t>
    </r>
    <r>
      <rPr>
        <b/>
        <sz val="12"/>
        <rFont val="Arial"/>
        <family val="2"/>
      </rPr>
      <t>Event Number</t>
    </r>
    <r>
      <rPr>
        <sz val="12"/>
        <rFont val="Arial"/>
        <family val="2"/>
      </rPr>
      <t xml:space="preserve">.' which arranges the </t>
    </r>
    <r>
      <rPr>
        <b/>
        <sz val="12"/>
        <rFont val="Arial"/>
        <family val="2"/>
      </rPr>
      <t>events in time order</t>
    </r>
    <r>
      <rPr>
        <sz val="12"/>
        <rFont val="Arial"/>
        <family val="2"/>
      </rPr>
      <t>.  These fields can be amended for any changes at the beginning of the season. Also ensure that '</t>
    </r>
    <r>
      <rPr>
        <b/>
        <sz val="12"/>
        <rFont val="Arial"/>
        <family val="2"/>
      </rPr>
      <t>Non Scoring Events (NS)</t>
    </r>
    <r>
      <rPr>
        <sz val="12"/>
        <rFont val="Arial"/>
        <family val="2"/>
      </rPr>
      <t xml:space="preserve"> are shown as </t>
    </r>
    <r>
      <rPr>
        <b/>
        <sz val="12"/>
        <rFont val="Arial"/>
        <family val="2"/>
      </rPr>
      <t>separate events</t>
    </r>
    <r>
      <rPr>
        <sz val="12"/>
        <rFont val="Arial"/>
        <family val="2"/>
      </rPr>
      <t xml:space="preserve"> in the Programme and </t>
    </r>
    <r>
      <rPr>
        <b/>
        <sz val="12"/>
        <rFont val="Arial"/>
        <family val="2"/>
      </rPr>
      <t>identified with 'NS</t>
    </r>
    <r>
      <rPr>
        <sz val="12"/>
        <rFont val="Arial"/>
        <family val="2"/>
      </rPr>
      <t xml:space="preserve">' in column G. </t>
    </r>
  </si>
  <si>
    <t>The Timetable can be printed off at anytime.</t>
  </si>
  <si>
    <t>Team Declaration Sheet</t>
  </si>
  <si>
    <r>
      <t xml:space="preserve">This spreadsheet is a </t>
    </r>
    <r>
      <rPr>
        <b/>
        <sz val="12"/>
        <rFont val="Arial"/>
        <family val="2"/>
      </rPr>
      <t>blank Declaration Sheet</t>
    </r>
    <r>
      <rPr>
        <sz val="12"/>
        <rFont val="Arial"/>
        <family val="2"/>
      </rPr>
      <t xml:space="preserve"> for both </t>
    </r>
    <r>
      <rPr>
        <b/>
        <sz val="12"/>
        <rFont val="Arial"/>
        <family val="2"/>
      </rPr>
      <t>Male and Female</t>
    </r>
    <r>
      <rPr>
        <sz val="12"/>
        <rFont val="Arial"/>
        <family val="2"/>
      </rPr>
      <t xml:space="preserve"> competitors. If any amendments are made to the 'Timetable' , please ensure that this spreadsheet is updated by changing the appropriate </t>
    </r>
    <r>
      <rPr>
        <b/>
        <sz val="12"/>
        <rFont val="Arial"/>
        <family val="2"/>
      </rPr>
      <t>'Event Number</t>
    </r>
    <r>
      <rPr>
        <sz val="12"/>
        <rFont val="Arial"/>
        <family val="2"/>
      </rPr>
      <t xml:space="preserve">' (if required).     Ideally, the </t>
    </r>
    <r>
      <rPr>
        <b/>
        <sz val="12"/>
        <rFont val="Arial"/>
        <family val="2"/>
      </rPr>
      <t xml:space="preserve">Team Declaration Sheets should be Emailed to the Results Team 2 Days before the event. </t>
    </r>
  </si>
  <si>
    <t>Team Sheets Male &amp; Teamsheet Female</t>
  </si>
  <si>
    <r>
      <t>There are two</t>
    </r>
    <r>
      <rPr>
        <b/>
        <sz val="12"/>
        <rFont val="Arial"/>
        <family val="2"/>
      </rPr>
      <t xml:space="preserve"> Team Sheets</t>
    </r>
    <r>
      <rPr>
        <sz val="12"/>
        <rFont val="Arial"/>
        <family val="2"/>
      </rPr>
      <t>, one for Male and one for Female.     Scroll across to see the eight Clubs</t>
    </r>
  </si>
  <si>
    <r>
      <t xml:space="preserve">Scroll along to the right to find the appropriate Club and enter the </t>
    </r>
    <r>
      <rPr>
        <b/>
        <sz val="12"/>
        <rFont val="Arial"/>
        <family val="2"/>
      </rPr>
      <t>name of the 'A' and 'B'. competitor for</t>
    </r>
    <r>
      <rPr>
        <sz val="12"/>
        <rFont val="Arial"/>
        <family val="2"/>
      </rPr>
      <t xml:space="preserve"> each event.  Also enter the names of competitors in the relay teams. There is a section at the bottom for Guests.</t>
    </r>
  </si>
  <si>
    <r>
      <rPr>
        <sz val="12"/>
        <rFont val="Arial"/>
        <family val="2"/>
      </rPr>
      <t>If clubs have Emailed their Declaration Sheets in advance of the meeting, then the names can be '</t>
    </r>
    <r>
      <rPr>
        <b/>
        <sz val="12"/>
        <rFont val="Arial"/>
        <family val="2"/>
      </rPr>
      <t xml:space="preserve">Cut and Pasted' </t>
    </r>
    <r>
      <rPr>
        <sz val="12"/>
        <rFont val="Arial"/>
        <family val="2"/>
      </rPr>
      <t xml:space="preserve">into the spreadsheet. ( </t>
    </r>
    <r>
      <rPr>
        <b/>
        <sz val="12"/>
        <rFont val="Arial"/>
        <family val="2"/>
      </rPr>
      <t>Note. Take care to copy to the correct rows.)</t>
    </r>
  </si>
  <si>
    <r>
      <t xml:space="preserve">Results Entry ( </t>
    </r>
    <r>
      <rPr>
        <b/>
        <u/>
        <sz val="12"/>
        <color rgb="FFFF0000"/>
        <rFont val="Arial"/>
        <family val="2"/>
      </rPr>
      <t>New for 2022</t>
    </r>
    <r>
      <rPr>
        <b/>
        <u/>
        <sz val="12"/>
        <rFont val="Arial"/>
        <family val="2"/>
      </rPr>
      <t>)</t>
    </r>
  </si>
  <si>
    <r>
      <t xml:space="preserve">Enter the </t>
    </r>
    <r>
      <rPr>
        <b/>
        <sz val="12"/>
        <rFont val="Arial"/>
        <family val="2"/>
      </rPr>
      <t>Event number</t>
    </r>
    <r>
      <rPr>
        <sz val="12"/>
        <rFont val="Arial"/>
        <family val="2"/>
      </rPr>
      <t xml:space="preserve"> In the 'green' box (cell B4) and click on the '</t>
    </r>
    <r>
      <rPr>
        <b/>
        <sz val="12"/>
        <rFont val="Arial"/>
        <family val="2"/>
      </rPr>
      <t xml:space="preserve"> Go To Event No.</t>
    </r>
    <r>
      <rPr>
        <sz val="12"/>
        <rFont val="Arial"/>
        <family val="2"/>
      </rPr>
      <t>' button at cell K3. This will take you to the entry area for the selected event.</t>
    </r>
  </si>
  <si>
    <r>
      <t xml:space="preserve">To enter the </t>
    </r>
    <r>
      <rPr>
        <b/>
        <sz val="12"/>
        <rFont val="Arial"/>
        <family val="2"/>
      </rPr>
      <t xml:space="preserve">Result </t>
    </r>
    <r>
      <rPr>
        <sz val="12"/>
        <rFont val="Arial"/>
        <family val="2"/>
      </rPr>
      <t xml:space="preserve">for the first competitor, </t>
    </r>
    <r>
      <rPr>
        <b/>
        <sz val="12"/>
        <rFont val="Arial"/>
        <family val="2"/>
      </rPr>
      <t>enter</t>
    </r>
    <r>
      <rPr>
        <sz val="12"/>
        <rFont val="Arial"/>
        <family val="2"/>
      </rPr>
      <t xml:space="preserve"> the </t>
    </r>
    <r>
      <rPr>
        <b/>
        <sz val="12"/>
        <rFont val="Arial"/>
        <family val="2"/>
      </rPr>
      <t>Club letter</t>
    </r>
    <r>
      <rPr>
        <sz val="12"/>
        <rFont val="Arial"/>
        <family val="2"/>
      </rPr>
      <t xml:space="preserve"> into the </t>
    </r>
    <r>
      <rPr>
        <b/>
        <sz val="12"/>
        <rFont val="Arial"/>
        <family val="2"/>
      </rPr>
      <t>first green box</t>
    </r>
    <r>
      <rPr>
        <sz val="12"/>
        <rFont val="Arial"/>
        <family val="2"/>
      </rPr>
      <t xml:space="preserve">,(i.e. </t>
    </r>
    <r>
      <rPr>
        <b/>
        <sz val="12"/>
        <rFont val="Arial"/>
        <family val="2"/>
      </rPr>
      <t>'C' for Bromsgrove</t>
    </r>
    <r>
      <rPr>
        <sz val="12"/>
        <rFont val="Arial"/>
        <family val="2"/>
      </rPr>
      <t xml:space="preserve"> ). For the </t>
    </r>
    <r>
      <rPr>
        <b/>
        <sz val="12"/>
        <rFont val="Arial"/>
        <family val="2"/>
      </rPr>
      <t>'B' race, enter 'CC'</t>
    </r>
    <r>
      <rPr>
        <sz val="12"/>
        <rFont val="Arial"/>
        <family val="2"/>
      </rPr>
      <t xml:space="preserve"> which will identify the 'B' runner.  A </t>
    </r>
    <r>
      <rPr>
        <b/>
        <sz val="12"/>
        <rFont val="Arial"/>
        <family val="2"/>
      </rPr>
      <t>Table of the Club letters</t>
    </r>
    <r>
      <rPr>
        <sz val="12"/>
        <rFont val="Arial"/>
        <family val="2"/>
      </rPr>
      <t xml:space="preserve"> is shown at the left of the spreadsheet.</t>
    </r>
  </si>
  <si>
    <r>
      <t>Note:</t>
    </r>
    <r>
      <rPr>
        <sz val="12"/>
        <rFont val="Arial"/>
        <family val="2"/>
      </rPr>
      <t xml:space="preserve"> if the </t>
    </r>
    <r>
      <rPr>
        <b/>
        <sz val="12"/>
        <rFont val="Arial"/>
        <family val="2"/>
      </rPr>
      <t>B Competitor</t>
    </r>
    <r>
      <rPr>
        <sz val="12"/>
        <rFont val="Arial"/>
        <family val="2"/>
      </rPr>
      <t xml:space="preserve"> does the best throw/ jump/ time, you can enter the </t>
    </r>
    <r>
      <rPr>
        <b/>
        <sz val="12"/>
        <rFont val="Arial"/>
        <family val="2"/>
      </rPr>
      <t>double letter</t>
    </r>
    <r>
      <rPr>
        <sz val="12"/>
        <rFont val="Arial"/>
        <family val="2"/>
      </rPr>
      <t xml:space="preserve"> (i.e.'CC') in the Event</t>
    </r>
    <r>
      <rPr>
        <b/>
        <sz val="12"/>
        <rFont val="Arial"/>
        <family val="2"/>
      </rPr>
      <t xml:space="preserve"> A</t>
    </r>
    <r>
      <rPr>
        <sz val="12"/>
        <rFont val="Arial"/>
        <family val="2"/>
      </rPr>
      <t xml:space="preserve"> and </t>
    </r>
    <r>
      <rPr>
        <b/>
        <sz val="12"/>
        <rFont val="Arial"/>
        <family val="2"/>
      </rPr>
      <t>single letter</t>
    </r>
    <r>
      <rPr>
        <sz val="12"/>
        <rFont val="Arial"/>
        <family val="2"/>
      </rPr>
      <t xml:space="preserve"> ('C') in the Event  </t>
    </r>
    <r>
      <rPr>
        <b/>
        <sz val="12"/>
        <rFont val="Arial"/>
        <family val="2"/>
      </rPr>
      <t>B</t>
    </r>
    <r>
      <rPr>
        <sz val="12"/>
        <rFont val="Arial"/>
        <family val="2"/>
      </rPr>
      <t>. This will select the right name from the teamsheet.</t>
    </r>
  </si>
  <si>
    <r>
      <t xml:space="preserve">Next </t>
    </r>
    <r>
      <rPr>
        <b/>
        <sz val="12"/>
        <rFont val="Arial"/>
        <family val="2"/>
      </rPr>
      <t>move right</t>
    </r>
    <r>
      <rPr>
        <sz val="12"/>
        <rFont val="Arial"/>
        <family val="2"/>
      </rPr>
      <t xml:space="preserve">, and </t>
    </r>
    <r>
      <rPr>
        <b/>
        <sz val="12"/>
        <rFont val="Arial"/>
        <family val="2"/>
      </rPr>
      <t>enter the time or distance</t>
    </r>
    <r>
      <rPr>
        <sz val="12"/>
        <rFont val="Arial"/>
        <family val="2"/>
      </rPr>
      <t xml:space="preserve"> ( i.e. '2.71' metres or '2.12.13' mins.) If a competitor </t>
    </r>
    <r>
      <rPr>
        <b/>
        <i/>
        <sz val="12"/>
        <rFont val="Arial"/>
        <family val="2"/>
      </rPr>
      <t xml:space="preserve">did not finish, </t>
    </r>
    <r>
      <rPr>
        <sz val="12"/>
        <rFont val="Arial"/>
        <family val="2"/>
      </rPr>
      <t xml:space="preserve">enter </t>
    </r>
    <r>
      <rPr>
        <b/>
        <sz val="12"/>
        <rFont val="Arial"/>
        <family val="2"/>
      </rPr>
      <t>'DNF'</t>
    </r>
    <r>
      <rPr>
        <sz val="12"/>
        <rFont val="Arial"/>
        <family val="2"/>
      </rPr>
      <t xml:space="preserve"> in the time box.</t>
    </r>
  </si>
  <si>
    <r>
      <t xml:space="preserve">Move </t>
    </r>
    <r>
      <rPr>
        <b/>
        <sz val="12"/>
        <rFont val="Arial"/>
        <family val="2"/>
      </rPr>
      <t>down</t>
    </r>
    <r>
      <rPr>
        <sz val="12"/>
        <rFont val="Arial"/>
        <family val="2"/>
      </rPr>
      <t xml:space="preserve"> and </t>
    </r>
    <r>
      <rPr>
        <b/>
        <sz val="12"/>
        <rFont val="Arial"/>
        <family val="2"/>
      </rPr>
      <t>enter the second competitor</t>
    </r>
    <r>
      <rPr>
        <sz val="12"/>
        <rFont val="Arial"/>
        <family val="2"/>
      </rPr>
      <t xml:space="preserve"> results.   M</t>
    </r>
    <r>
      <rPr>
        <b/>
        <sz val="12"/>
        <rFont val="Arial"/>
        <family val="2"/>
      </rPr>
      <t>ove to next column right</t>
    </r>
    <r>
      <rPr>
        <sz val="12"/>
        <rFont val="Arial"/>
        <family val="2"/>
      </rPr>
      <t xml:space="preserve"> and enter the time/ distance.</t>
    </r>
  </si>
  <si>
    <t>Once all the results for Event A have been completed, repeat the same for Event B.  Entering the single or double letter as appropriate (i.e. "C" or "CC").</t>
  </si>
  <si>
    <t>To manually adjust the points for equal scores i.e joint 2nd.- see Results by Age Group.</t>
  </si>
  <si>
    <t>Results by Age Group</t>
  </si>
  <si>
    <t>This spreadsheet is automatically updated from the previous sheet. This sheet can be printed off at anytime to get the latest points position.</t>
  </si>
  <si>
    <r>
      <t xml:space="preserve">In the points section on the right, a manual adjustment can be made if points need to be shared. In the </t>
    </r>
    <r>
      <rPr>
        <b/>
        <sz val="12"/>
        <rFont val="Arial"/>
        <family val="2"/>
      </rPr>
      <t>green highlighted area</t>
    </r>
    <r>
      <rPr>
        <sz val="12"/>
        <rFont val="Arial"/>
        <family val="2"/>
      </rPr>
      <t xml:space="preserve"> above the points, enter for example, </t>
    </r>
    <r>
      <rPr>
        <b/>
        <sz val="12"/>
        <rFont val="Arial"/>
        <family val="2"/>
      </rPr>
      <t>'-0.5' to take off half a point from one team and add '0.5' to the another team.</t>
    </r>
  </si>
  <si>
    <t>Enter your club letter at cell H5 and this will highlight your club throughout the results.</t>
  </si>
  <si>
    <t>Match Position</t>
  </si>
  <si>
    <t>This spreadsheet gives a summary of the 'Match Position' at any point in time.  This is useful for the announcer who can read the information from the screen or print it off at any time.</t>
  </si>
  <si>
    <t>Results Summary</t>
  </si>
  <si>
    <t>Results by Club</t>
  </si>
  <si>
    <t>Enter a Club Letter in the Green Box (Cell B3). Enter each Club Letter in turn and it will produce the results for each Club.  Can be printed off anytime.</t>
  </si>
  <si>
    <t>Adjustment for Officials</t>
  </si>
  <si>
    <t>2 points per Official can be added up to a maximum of 10 for each Age Group i.e. U13 Females,U15 Females, U17 Females, U13 Male,U15 Male and U17 Men.</t>
  </si>
  <si>
    <t>New for 2016 - Bonus of 4 points added for providing officials of 2b and above.</t>
  </si>
  <si>
    <t>Athlete of the Match</t>
  </si>
  <si>
    <t>The athete who came first in each event is show with their time.  The time is graded 1-4 based on</t>
  </si>
  <si>
    <t>grades in column P to S.  Changing the position number in column C ( i.e.from 1 to 2) will show the person who came second.</t>
  </si>
  <si>
    <t>Club Details by Division</t>
  </si>
  <si>
    <t>To amend or delete the Club Names in each Division for clubs promoted or relegated, enter the details here.</t>
  </si>
  <si>
    <t>Competitor Change Form</t>
  </si>
  <si>
    <r>
      <t xml:space="preserve">This spreadsheet is a </t>
    </r>
    <r>
      <rPr>
        <b/>
        <sz val="12"/>
        <rFont val="Arial"/>
        <family val="2"/>
      </rPr>
      <t xml:space="preserve">blank 'Change Form' </t>
    </r>
    <r>
      <rPr>
        <sz val="12"/>
        <rFont val="Arial"/>
        <family val="2"/>
      </rPr>
      <t xml:space="preserve"> and issued to Team Manager on the day of the event. Ideally, the </t>
    </r>
    <r>
      <rPr>
        <b/>
        <sz val="12"/>
        <rFont val="Arial"/>
        <family val="2"/>
      </rPr>
      <t>Team Declaration</t>
    </r>
    <r>
      <rPr>
        <sz val="12"/>
        <rFont val="Arial"/>
        <family val="2"/>
      </rPr>
      <t xml:space="preserve"> </t>
    </r>
    <r>
      <rPr>
        <b/>
        <sz val="12"/>
        <rFont val="Arial"/>
        <family val="2"/>
      </rPr>
      <t>Sheets should be Emailed to the Results Team 2 Days before the event</t>
    </r>
    <r>
      <rPr>
        <sz val="12"/>
        <rFont val="Arial"/>
        <family val="2"/>
      </rPr>
      <t xml:space="preserve">. If any </t>
    </r>
    <r>
      <rPr>
        <b/>
        <sz val="12"/>
        <rFont val="Arial"/>
        <family val="2"/>
      </rPr>
      <t xml:space="preserve">amendments </t>
    </r>
    <r>
      <rPr>
        <sz val="12"/>
        <rFont val="Arial"/>
        <family val="2"/>
      </rPr>
      <t xml:space="preserve">are made to the </t>
    </r>
    <r>
      <rPr>
        <b/>
        <sz val="12"/>
        <rFont val="Arial"/>
        <family val="2"/>
      </rPr>
      <t>'Team Sheet'</t>
    </r>
    <r>
      <rPr>
        <sz val="12"/>
        <rFont val="Arial"/>
        <family val="2"/>
      </rPr>
      <t xml:space="preserve"> on the day, the Team Manager should use this sheet to notify the Results Team of any changes.</t>
    </r>
  </si>
  <si>
    <t>Field Duties by Club</t>
  </si>
  <si>
    <t>The table on the left shows all the Field Events in Event No. order.</t>
  </si>
  <si>
    <t>Under each Club, enter the Event No. in each green box.</t>
  </si>
  <si>
    <t>Enter "0" (zero) in the green box for a blank box.</t>
  </si>
  <si>
    <t>As the event no's. are entered, column F shows "Ok".</t>
  </si>
  <si>
    <t xml:space="preserve">To save the print out as a PDF file: </t>
  </si>
  <si>
    <t xml:space="preserve">a) click on 'File', </t>
  </si>
  <si>
    <t xml:space="preserve">b) then click on 'Save As', </t>
  </si>
  <si>
    <t>c) Enter a file name e.g. " Field Duties"</t>
  </si>
  <si>
    <t>d) click on the down arrow for the box "Save as File type" and find 'PDF'</t>
  </si>
  <si>
    <t>e) Click on SAVE.</t>
  </si>
  <si>
    <t>Track Lane Draw</t>
  </si>
  <si>
    <t>This Spreadsheet is for the assistance of the Marksman. It produces a printed list of randomly selected clubs over the 8 lanes of the track.  The random sequence can be changed by entering 1 to 8 in the yellow highlighted area.</t>
  </si>
  <si>
    <t>If the spreadsheet is printed after the names have been entered from the Team Declaration Sheets, the report will show the number and names for the athletes entered.</t>
  </si>
  <si>
    <t>Field Jumps and Field Throws and Timekeepers Slip</t>
  </si>
  <si>
    <r>
      <t xml:space="preserve">These three spread sheets are optional but can be used for printing </t>
    </r>
    <r>
      <rPr>
        <b/>
        <sz val="12"/>
        <rFont val="Arial"/>
        <family val="2"/>
      </rPr>
      <t>'Field Event Cards'.</t>
    </r>
    <r>
      <rPr>
        <sz val="12"/>
        <rFont val="Arial"/>
        <family val="2"/>
      </rPr>
      <t xml:space="preserve">          </t>
    </r>
  </si>
  <si>
    <r>
      <t xml:space="preserve"> Enter the </t>
    </r>
    <r>
      <rPr>
        <b/>
        <sz val="12"/>
        <rFont val="Arial"/>
        <family val="2"/>
      </rPr>
      <t>'Event Number' from the list on the left</t>
    </r>
    <r>
      <rPr>
        <sz val="12"/>
        <rFont val="Arial"/>
        <family val="2"/>
      </rPr>
      <t xml:space="preserve"> into Cell </t>
    </r>
    <r>
      <rPr>
        <b/>
        <sz val="12"/>
        <rFont val="Arial"/>
        <family val="2"/>
      </rPr>
      <t xml:space="preserve">J4 </t>
    </r>
    <r>
      <rPr>
        <sz val="12"/>
        <rFont val="Arial"/>
        <family val="2"/>
      </rPr>
      <t xml:space="preserve">the </t>
    </r>
    <r>
      <rPr>
        <b/>
        <sz val="12"/>
        <rFont val="Arial"/>
        <family val="2"/>
      </rPr>
      <t>top of the 'card'</t>
    </r>
    <r>
      <rPr>
        <sz val="12"/>
        <rFont val="Arial"/>
        <family val="2"/>
      </rPr>
      <t xml:space="preserve"> and  the events details are updated. </t>
    </r>
  </si>
  <si>
    <r>
      <t xml:space="preserve">If you also wish to print the </t>
    </r>
    <r>
      <rPr>
        <b/>
        <sz val="12"/>
        <rFont val="Arial"/>
        <family val="2"/>
      </rPr>
      <t>Competitors names, enter "Y" into Cell S3</t>
    </r>
    <r>
      <rPr>
        <sz val="12"/>
        <rFont val="Arial"/>
        <family val="2"/>
      </rPr>
      <t xml:space="preserve">. This only works if the names have already been entered into the Team Declaration Sheets. </t>
    </r>
  </si>
  <si>
    <r>
      <t xml:space="preserve">Also the </t>
    </r>
    <r>
      <rPr>
        <b/>
        <sz val="12"/>
        <rFont val="Arial"/>
        <family val="2"/>
      </rPr>
      <t>clubs order is different for each event</t>
    </r>
    <r>
      <rPr>
        <sz val="12"/>
        <rFont val="Arial"/>
        <family val="2"/>
      </rPr>
      <t xml:space="preserve"> as they are randomly drawn from '</t>
    </r>
    <r>
      <rPr>
        <b/>
        <sz val="12"/>
        <rFont val="Arial"/>
        <family val="2"/>
      </rPr>
      <t xml:space="preserve"> Lane</t>
    </r>
    <r>
      <rPr>
        <sz val="12"/>
        <rFont val="Arial"/>
        <family val="2"/>
      </rPr>
      <t xml:space="preserve"> </t>
    </r>
    <r>
      <rPr>
        <b/>
        <sz val="12"/>
        <rFont val="Arial"/>
        <family val="2"/>
      </rPr>
      <t>Draw</t>
    </r>
    <r>
      <rPr>
        <sz val="12"/>
        <rFont val="Arial"/>
        <family val="2"/>
      </rPr>
      <t xml:space="preserve">' spread sheet. The </t>
    </r>
    <r>
      <rPr>
        <b/>
        <sz val="12"/>
        <rFont val="Arial"/>
        <family val="2"/>
      </rPr>
      <t>Timekeepers recording slip</t>
    </r>
    <r>
      <rPr>
        <sz val="12"/>
        <rFont val="Arial"/>
        <family val="2"/>
      </rPr>
      <t xml:space="preserve"> can also be printed off as required.</t>
    </r>
  </si>
  <si>
    <t>Event Title</t>
  </si>
  <si>
    <t>Heart of England League</t>
  </si>
  <si>
    <t>Year</t>
  </si>
  <si>
    <t>Division</t>
  </si>
  <si>
    <t>Match</t>
  </si>
  <si>
    <t>Date</t>
  </si>
  <si>
    <t>Venue</t>
  </si>
  <si>
    <t>Host</t>
  </si>
  <si>
    <t>Next meeting</t>
  </si>
  <si>
    <t>Teams</t>
  </si>
  <si>
    <t>Letter</t>
  </si>
  <si>
    <t>Club Name</t>
  </si>
  <si>
    <t>U11 No's</t>
  </si>
  <si>
    <t>Short</t>
  </si>
  <si>
    <t>Name</t>
  </si>
  <si>
    <t>Points</t>
  </si>
  <si>
    <t>(Total Number of Teams)</t>
  </si>
  <si>
    <t>Total</t>
  </si>
  <si>
    <t>Male</t>
  </si>
  <si>
    <t>Female</t>
  </si>
  <si>
    <t xml:space="preserve"> Events Completed</t>
  </si>
  <si>
    <t>Division 1</t>
  </si>
  <si>
    <t>Division 2</t>
  </si>
  <si>
    <t>Division 3</t>
  </si>
  <si>
    <t>Division 4</t>
  </si>
  <si>
    <t>Club</t>
  </si>
  <si>
    <t>U 11 No's</t>
  </si>
  <si>
    <t>J</t>
  </si>
  <si>
    <t>Banbury</t>
  </si>
  <si>
    <t>Ban</t>
  </si>
  <si>
    <t>V</t>
  </si>
  <si>
    <t>Amber Valley</t>
  </si>
  <si>
    <t>Amber</t>
  </si>
  <si>
    <t>B</t>
  </si>
  <si>
    <t>Bicester</t>
  </si>
  <si>
    <t>Bic</t>
  </si>
  <si>
    <t>L</t>
  </si>
  <si>
    <t>Daventry</t>
  </si>
  <si>
    <t>Dav</t>
  </si>
  <si>
    <t>S</t>
  </si>
  <si>
    <t>BRAT</t>
  </si>
  <si>
    <t>O</t>
  </si>
  <si>
    <t>Corby</t>
  </si>
  <si>
    <t>C</t>
  </si>
  <si>
    <t xml:space="preserve">Brom &amp; Redditch </t>
  </si>
  <si>
    <t>B&amp;R</t>
  </si>
  <si>
    <t>T</t>
  </si>
  <si>
    <t>Harborough</t>
  </si>
  <si>
    <t>Harb</t>
  </si>
  <si>
    <t>G</t>
  </si>
  <si>
    <t>Royal Sutton</t>
  </si>
  <si>
    <t>Royal</t>
  </si>
  <si>
    <t>Coventry Godiva</t>
  </si>
  <si>
    <t>CovG</t>
  </si>
  <si>
    <t>Z</t>
  </si>
  <si>
    <t>Newcastle</t>
  </si>
  <si>
    <t>Newc</t>
  </si>
  <si>
    <t>R</t>
  </si>
  <si>
    <t>Rugby &amp; N'hampton</t>
  </si>
  <si>
    <t>Rugby</t>
  </si>
  <si>
    <t>I</t>
  </si>
  <si>
    <t>Kettering</t>
  </si>
  <si>
    <t>Kett</t>
  </si>
  <si>
    <t>N</t>
  </si>
  <si>
    <t>Nuneaton</t>
  </si>
  <si>
    <t>Nun</t>
  </si>
  <si>
    <t>M</t>
  </si>
  <si>
    <t>Solihull &amp; S.Heath</t>
  </si>
  <si>
    <t>Sol</t>
  </si>
  <si>
    <t>U</t>
  </si>
  <si>
    <t>Kidder &amp; Stourport</t>
  </si>
  <si>
    <t>K&amp;S</t>
  </si>
  <si>
    <t>K</t>
  </si>
  <si>
    <t>Sparkhill</t>
  </si>
  <si>
    <t>Spark</t>
  </si>
  <si>
    <t>D</t>
  </si>
  <si>
    <t>Stratford</t>
  </si>
  <si>
    <t>Strat</t>
  </si>
  <si>
    <t>Q</t>
  </si>
  <si>
    <t>Saffron AC</t>
  </si>
  <si>
    <t>Saff</t>
  </si>
  <si>
    <t>F</t>
  </si>
  <si>
    <t>Tamworth</t>
  </si>
  <si>
    <t>Tam</t>
  </si>
  <si>
    <t>W</t>
  </si>
  <si>
    <t>Witney AC</t>
  </si>
  <si>
    <t>Wit</t>
  </si>
  <si>
    <t/>
  </si>
  <si>
    <t>A</t>
  </si>
  <si>
    <t>Wreake</t>
  </si>
  <si>
    <t>Y</t>
  </si>
  <si>
    <t>Worcester</t>
  </si>
  <si>
    <t>Worc</t>
  </si>
  <si>
    <t>Wyndley Lane</t>
  </si>
  <si>
    <t>RoyalSutton</t>
  </si>
  <si>
    <t>Alan Morton track</t>
  </si>
  <si>
    <t>KSAC</t>
  </si>
  <si>
    <t>Stefan Hill</t>
  </si>
  <si>
    <t>Daventry +others</t>
  </si>
  <si>
    <t>N. Oxford Academy</t>
  </si>
  <si>
    <t>Bruce williams Way</t>
  </si>
  <si>
    <t>Pingles Stadium</t>
  </si>
  <si>
    <t>Heart of England League Programme</t>
  </si>
  <si>
    <t>Heart of England League Programme by Age Group</t>
  </si>
  <si>
    <t>Event</t>
  </si>
  <si>
    <t>Non</t>
  </si>
  <si>
    <t>No</t>
  </si>
  <si>
    <t>Time</t>
  </si>
  <si>
    <t>Age</t>
  </si>
  <si>
    <t>Scoring</t>
  </si>
  <si>
    <t>Comment</t>
  </si>
  <si>
    <t>Track Events</t>
  </si>
  <si>
    <t>Field Events</t>
  </si>
  <si>
    <t>1500m</t>
  </si>
  <si>
    <t>High Jump</t>
  </si>
  <si>
    <t>Howler</t>
  </si>
  <si>
    <t>NS</t>
  </si>
  <si>
    <t>Long Jump</t>
  </si>
  <si>
    <t>Pit 2</t>
  </si>
  <si>
    <t>600m</t>
  </si>
  <si>
    <t>800m</t>
  </si>
  <si>
    <t>75m hurdles</t>
  </si>
  <si>
    <t>Discus</t>
  </si>
  <si>
    <t>Match 1 &amp; 3</t>
  </si>
  <si>
    <t>Match 2</t>
  </si>
  <si>
    <t>75m</t>
  </si>
  <si>
    <t>Pit 1</t>
  </si>
  <si>
    <t>80m hurdles</t>
  </si>
  <si>
    <t>Shot</t>
  </si>
  <si>
    <t>Javelin</t>
  </si>
  <si>
    <t>Pit1</t>
  </si>
  <si>
    <t xml:space="preserve">High Jump </t>
  </si>
  <si>
    <t>100m</t>
  </si>
  <si>
    <t>200m</t>
  </si>
  <si>
    <t>4 x 100m</t>
  </si>
  <si>
    <t xml:space="preserve">4 x 100m </t>
  </si>
  <si>
    <t>300m</t>
  </si>
  <si>
    <t>Guests - Non Scoring</t>
  </si>
  <si>
    <t xml:space="preserve">300m </t>
  </si>
  <si>
    <t>No of Trials</t>
  </si>
  <si>
    <t>Opening Heights</t>
  </si>
  <si>
    <t>Jumps</t>
  </si>
  <si>
    <t>Long Jump - 2 Pits required</t>
  </si>
  <si>
    <t>1.10m</t>
  </si>
  <si>
    <t>1.00m</t>
  </si>
  <si>
    <t>1.20m</t>
  </si>
  <si>
    <t>1.30m</t>
  </si>
  <si>
    <t>Hurdle Events</t>
  </si>
  <si>
    <t>Height</t>
  </si>
  <si>
    <t>Marking</t>
  </si>
  <si>
    <t>Topple</t>
  </si>
  <si>
    <t>Flight</t>
  </si>
  <si>
    <t>Holes</t>
  </si>
  <si>
    <t>68.5 cm</t>
  </si>
  <si>
    <t>2.7 kg</t>
  </si>
  <si>
    <t>76.2 cm</t>
  </si>
  <si>
    <t>Orange</t>
  </si>
  <si>
    <t>Black</t>
  </si>
  <si>
    <t>91.4 cm</t>
  </si>
  <si>
    <t>Yellow</t>
  </si>
  <si>
    <t>Event No's - In Order of Time</t>
  </si>
  <si>
    <t>5.00Kg</t>
  </si>
  <si>
    <t>1.00Kg</t>
  </si>
  <si>
    <t>100m hurdles</t>
  </si>
  <si>
    <t>4.00Kg</t>
  </si>
  <si>
    <t>1.5kg</t>
  </si>
  <si>
    <t>400gm</t>
  </si>
  <si>
    <t>0.75Kg</t>
  </si>
  <si>
    <t>600gm</t>
  </si>
  <si>
    <t>3 Kg</t>
  </si>
  <si>
    <t>500gm</t>
  </si>
  <si>
    <t>2.72kg</t>
  </si>
  <si>
    <t>1.25kg</t>
  </si>
  <si>
    <t>700gm</t>
  </si>
  <si>
    <t>3Kg</t>
  </si>
  <si>
    <t>1.00kg</t>
  </si>
  <si>
    <t xml:space="preserve"> </t>
  </si>
  <si>
    <t>For Test data</t>
  </si>
  <si>
    <t>Declaration Sheets</t>
  </si>
  <si>
    <t>Only 2 non scorers allowed per race</t>
  </si>
  <si>
    <t>Events</t>
  </si>
  <si>
    <t>A String</t>
  </si>
  <si>
    <t>B String</t>
  </si>
  <si>
    <t>Under 17 Men</t>
  </si>
  <si>
    <t>Guests - Non-Scoring</t>
  </si>
  <si>
    <t>Division :</t>
  </si>
  <si>
    <t>Note</t>
  </si>
  <si>
    <t>Group</t>
  </si>
  <si>
    <t>M/F</t>
  </si>
  <si>
    <t>Venue    :</t>
  </si>
  <si>
    <t xml:space="preserve"> Manual input in GREEN Area</t>
  </si>
  <si>
    <t>Date       :</t>
  </si>
  <si>
    <t>Column required from Teamsheet</t>
  </si>
  <si>
    <t>Names from Club Teamsheet</t>
  </si>
  <si>
    <t>Event A</t>
  </si>
  <si>
    <t>Event B</t>
  </si>
  <si>
    <t>Number of Clubs</t>
  </si>
  <si>
    <t>Event No</t>
  </si>
  <si>
    <t>Age Group</t>
  </si>
  <si>
    <t xml:space="preserve"> Club</t>
  </si>
  <si>
    <t>Time/</t>
  </si>
  <si>
    <t>U11</t>
  </si>
  <si>
    <t>Col</t>
  </si>
  <si>
    <t xml:space="preserve"> Letter</t>
  </si>
  <si>
    <t>Dist</t>
  </si>
  <si>
    <t>No.</t>
  </si>
  <si>
    <t>Time/Dist</t>
  </si>
  <si>
    <t>U11 No</t>
  </si>
  <si>
    <t>Pos.</t>
  </si>
  <si>
    <t>Count</t>
  </si>
  <si>
    <t>1st</t>
  </si>
  <si>
    <t>2nd</t>
  </si>
  <si>
    <t>3rd</t>
  </si>
  <si>
    <t>4th</t>
  </si>
  <si>
    <t>5th</t>
  </si>
  <si>
    <t>6th</t>
  </si>
  <si>
    <t>7th</t>
  </si>
  <si>
    <t>8th</t>
  </si>
  <si>
    <t xml:space="preserve">            Enter Time as :          5.02.1                                                                                Enter Time as :           5.02.1</t>
  </si>
  <si>
    <t xml:space="preserve">            Enter Time as :          2.21.1                                                                                Enter Time as :           2.21.1</t>
  </si>
  <si>
    <t xml:space="preserve">            Enter Time as :          5.21.1                                                                                Enter Time as :           5.21.1</t>
  </si>
  <si>
    <t>Column Numbers</t>
  </si>
  <si>
    <t>Non Scoring</t>
  </si>
  <si>
    <t>21</t>
  </si>
  <si>
    <t>Enter Your Club Letter Here:-</t>
  </si>
  <si>
    <t>First</t>
  </si>
  <si>
    <t>Second</t>
  </si>
  <si>
    <t>Third</t>
  </si>
  <si>
    <t>Fourth</t>
  </si>
  <si>
    <t>Fifth</t>
  </si>
  <si>
    <t>Sixth</t>
  </si>
  <si>
    <t>Seventh</t>
  </si>
  <si>
    <t>Eighth</t>
  </si>
  <si>
    <t>Heart of England League Results</t>
  </si>
  <si>
    <t>Total Points</t>
  </si>
  <si>
    <t>Relays</t>
  </si>
  <si>
    <t>Officials Points</t>
  </si>
  <si>
    <t>Column in Teamsheet</t>
  </si>
  <si>
    <t>9</t>
  </si>
  <si>
    <t>14</t>
  </si>
  <si>
    <t>19</t>
  </si>
  <si>
    <t>24</t>
  </si>
  <si>
    <t>29</t>
  </si>
  <si>
    <t>34</t>
  </si>
  <si>
    <t>39</t>
  </si>
  <si>
    <t>44</t>
  </si>
  <si>
    <t>Div</t>
  </si>
  <si>
    <t>rev</t>
  </si>
  <si>
    <t>points</t>
  </si>
  <si>
    <t>act</t>
  </si>
  <si>
    <t>Under 11 Boys</t>
  </si>
  <si>
    <t>Under 13 Boys</t>
  </si>
  <si>
    <t>Under 15 Boys</t>
  </si>
  <si>
    <t>A/Pts</t>
  </si>
  <si>
    <t>L/Pts</t>
  </si>
  <si>
    <t>pos</t>
  </si>
  <si>
    <t>Male Total</t>
  </si>
  <si>
    <t>Tot</t>
  </si>
  <si>
    <t>Scoring System</t>
  </si>
  <si>
    <t>Men Total</t>
  </si>
  <si>
    <t>position</t>
  </si>
  <si>
    <t>Pts</t>
  </si>
  <si>
    <t>To obtain Male &amp; Female</t>
  </si>
  <si>
    <t>Aggregate Points Score (A/Pts)</t>
  </si>
  <si>
    <t>add the three sections League</t>
  </si>
  <si>
    <t>Points (L/Pts) together (not U11s).</t>
  </si>
  <si>
    <t>To obtain match Aggregate score</t>
  </si>
  <si>
    <t>add Male &amp; Female League</t>
  </si>
  <si>
    <t>Points together.</t>
  </si>
  <si>
    <t>Under 11 Girls</t>
  </si>
  <si>
    <t>Under 13 Girls</t>
  </si>
  <si>
    <t>Under 15 Girls</t>
  </si>
  <si>
    <t>Female Total</t>
  </si>
  <si>
    <t>Overall Total</t>
  </si>
  <si>
    <t>Under 17 Women</t>
  </si>
  <si>
    <t>Women Total</t>
  </si>
  <si>
    <t>Hales</t>
  </si>
  <si>
    <t>Leam</t>
  </si>
  <si>
    <t>Radley</t>
  </si>
  <si>
    <t>Telford</t>
  </si>
  <si>
    <t>s</t>
  </si>
  <si>
    <t>Time / Distance</t>
  </si>
  <si>
    <t>Position</t>
  </si>
  <si>
    <t>Event +</t>
  </si>
  <si>
    <t>Seq</t>
  </si>
  <si>
    <t>(inc. first name)</t>
  </si>
  <si>
    <t>Sequence No</t>
  </si>
  <si>
    <t>Column in Results</t>
  </si>
  <si>
    <t>Track</t>
  </si>
  <si>
    <t>Officials</t>
  </si>
  <si>
    <t>Total Male</t>
  </si>
  <si>
    <t>Total Female</t>
  </si>
  <si>
    <t>GrandTotal</t>
  </si>
  <si>
    <t>Add 2 Points for each Official Provided.</t>
  </si>
  <si>
    <t>Add 4 Points for Official 2 and above.</t>
  </si>
  <si>
    <t>Example</t>
  </si>
  <si>
    <t>Track Judge</t>
  </si>
  <si>
    <t>Time Keeper</t>
  </si>
  <si>
    <t>Field Judge 1</t>
  </si>
  <si>
    <t>Field Judge 2</t>
  </si>
  <si>
    <t>Field Judge 3</t>
  </si>
  <si>
    <t>Officials 2 &amp;above **</t>
  </si>
  <si>
    <t>2 points per Official will be added up to a maximum of 10 Points (Max 5 Officials).</t>
  </si>
  <si>
    <t>** for 2016, Bonus points are given for providing qualified officials of 2 and above.  i.e. 4 points for each age category.</t>
  </si>
  <si>
    <t>Max of 14 points added to each category  i.e. U13Girls,U15Girls, Combined Ladies, U13Boys,U15Boys and U17men.</t>
  </si>
  <si>
    <t>Maximum for each club would be:</t>
  </si>
  <si>
    <t>For providing 5 officials</t>
  </si>
  <si>
    <t>(2 points ea)</t>
  </si>
  <si>
    <t xml:space="preserve">Bonus for Officials 2 &amp; above </t>
  </si>
  <si>
    <t>(4 Points)</t>
  </si>
  <si>
    <t>Add to 6 Age Groups</t>
  </si>
  <si>
    <t>X</t>
  </si>
  <si>
    <t>Max total points per club</t>
  </si>
  <si>
    <t>Grade</t>
  </si>
  <si>
    <t>Time (sec)</t>
  </si>
  <si>
    <t>%</t>
  </si>
  <si>
    <t>Pos</t>
  </si>
  <si>
    <t>Dist (Mtr)</t>
  </si>
  <si>
    <t>Mtr</t>
  </si>
  <si>
    <t>Row</t>
  </si>
  <si>
    <t>Diff</t>
  </si>
  <si>
    <t>Do you wish to show COMPETITORS NAMES (Y/N)</t>
  </si>
  <si>
    <t>Enter the Event No. from the list below :-</t>
  </si>
  <si>
    <t>Wt</t>
  </si>
  <si>
    <t>p.m.</t>
  </si>
  <si>
    <t>Order</t>
  </si>
  <si>
    <t>Name (including first Name)</t>
  </si>
  <si>
    <t>First Trial</t>
  </si>
  <si>
    <t>Second Trial</t>
  </si>
  <si>
    <t>Third Trial</t>
  </si>
  <si>
    <t>Fourth trial</t>
  </si>
  <si>
    <t xml:space="preserve">Best of All </t>
  </si>
  <si>
    <t>Final Position</t>
  </si>
  <si>
    <t xml:space="preserve">A </t>
  </si>
  <si>
    <t>1</t>
  </si>
  <si>
    <t>xx</t>
  </si>
  <si>
    <t>2</t>
  </si>
  <si>
    <t>3</t>
  </si>
  <si>
    <t>4</t>
  </si>
  <si>
    <t>5</t>
  </si>
  <si>
    <t>6</t>
  </si>
  <si>
    <t>7</t>
  </si>
  <si>
    <t>Trials</t>
  </si>
  <si>
    <t>8</t>
  </si>
  <si>
    <t>Only</t>
  </si>
  <si>
    <t>10</t>
  </si>
  <si>
    <t>11</t>
  </si>
  <si>
    <t>12</t>
  </si>
  <si>
    <t>13</t>
  </si>
  <si>
    <t>15</t>
  </si>
  <si>
    <t>16</t>
  </si>
  <si>
    <t>Result "A" String</t>
  </si>
  <si>
    <t>Result "B" String</t>
  </si>
  <si>
    <t xml:space="preserve">Name </t>
  </si>
  <si>
    <t>Distance</t>
  </si>
  <si>
    <t>Judges</t>
  </si>
  <si>
    <t>Referee</t>
  </si>
  <si>
    <t>Op/Ht</t>
  </si>
  <si>
    <t>Mts</t>
  </si>
  <si>
    <t>5cm intervals until 3 athletes remain, then 3cm.</t>
  </si>
  <si>
    <t>Date:</t>
  </si>
  <si>
    <t>Metres</t>
  </si>
  <si>
    <t>Best Ht</t>
  </si>
  <si>
    <t>trials/ht</t>
  </si>
  <si>
    <t>Event b</t>
  </si>
  <si>
    <t>cleared</t>
  </si>
  <si>
    <t>Failures</t>
  </si>
  <si>
    <t>Results "B" String</t>
  </si>
  <si>
    <t>No of time in each lane</t>
  </si>
  <si>
    <t>No of</t>
  </si>
  <si>
    <t>Lane Draw</t>
  </si>
  <si>
    <t>Random Sequence</t>
  </si>
  <si>
    <t>Lane Number</t>
  </si>
  <si>
    <t>Check Count</t>
  </si>
  <si>
    <t>Col A</t>
  </si>
  <si>
    <t>Col B</t>
  </si>
  <si>
    <t>Field Events Details</t>
  </si>
  <si>
    <t>Allocated</t>
  </si>
  <si>
    <t>11.00 - 12:15</t>
  </si>
  <si>
    <t>12:15 - 1:00</t>
  </si>
  <si>
    <t>1:00 - 2:00</t>
  </si>
  <si>
    <t>2:00 - 3:00</t>
  </si>
  <si>
    <t>3:00 - 4:00</t>
  </si>
  <si>
    <t>4:00 - 5:00</t>
  </si>
  <si>
    <t>Under each Club above, enter the Event No. in each green box.</t>
  </si>
  <si>
    <t>Field Sequence Draw</t>
  </si>
  <si>
    <t>Leamington AA</t>
  </si>
  <si>
    <t>Rugby &amp; Northampton</t>
  </si>
  <si>
    <t>Solihull &amp; Small Heath</t>
  </si>
  <si>
    <t>Stratford upon Avon</t>
  </si>
  <si>
    <t>17th May 2026</t>
  </si>
  <si>
    <t>14th June 2026</t>
  </si>
  <si>
    <t>5th July 2026</t>
  </si>
  <si>
    <t>Rockingham Triange</t>
  </si>
  <si>
    <t>U14 Female</t>
  </si>
  <si>
    <t>U16 Female</t>
  </si>
  <si>
    <t>U18 Female</t>
  </si>
  <si>
    <t>1500m (U18/U20)</t>
  </si>
  <si>
    <t>U14 Male</t>
  </si>
  <si>
    <t>U16 Male</t>
  </si>
  <si>
    <t>U18 Men</t>
  </si>
  <si>
    <t>800m (U18/U20)</t>
  </si>
  <si>
    <t>110m hurdles (U18)</t>
  </si>
  <si>
    <t>400m (U18/U20)</t>
  </si>
  <si>
    <t>U12 Female</t>
  </si>
  <si>
    <t>U12 Male</t>
  </si>
  <si>
    <t>20 Minute Break</t>
  </si>
  <si>
    <t>100m (U18/U20)</t>
  </si>
  <si>
    <t>200m (U18/U20)</t>
  </si>
  <si>
    <t>4 x 100m (U18/U20)</t>
  </si>
  <si>
    <t>150m</t>
  </si>
  <si>
    <t>Shot (U18)</t>
  </si>
  <si>
    <t>Discus (U18)</t>
  </si>
  <si>
    <t>Javelin (U18)</t>
  </si>
  <si>
    <t>Long Jump (U18/20)</t>
  </si>
  <si>
    <t>High Jump (U18/U20)</t>
  </si>
  <si>
    <t>U18/U20 Female</t>
  </si>
  <si>
    <t>U18/U20 Men</t>
  </si>
  <si>
    <t>Under 12 Male</t>
  </si>
  <si>
    <t>Under 14 Male</t>
  </si>
  <si>
    <t>Under 16 Male</t>
  </si>
  <si>
    <t>Under 18 Men</t>
  </si>
  <si>
    <t>Under 12 Female</t>
  </si>
  <si>
    <t>Under 14 Female</t>
  </si>
  <si>
    <t>Under 16 Female</t>
  </si>
  <si>
    <t>U18 Female/Women</t>
  </si>
  <si>
    <t>Under 18 Female</t>
  </si>
  <si>
    <t>U18 F/Women</t>
  </si>
  <si>
    <t>Saffron Lane</t>
  </si>
  <si>
    <t>Abbey Stadium</t>
  </si>
  <si>
    <t>Saffron +others</t>
  </si>
  <si>
    <t>U14</t>
  </si>
  <si>
    <t>U16</t>
  </si>
  <si>
    <t>U18</t>
  </si>
  <si>
    <t>75m U14 Female</t>
  </si>
  <si>
    <t>80m U14 Male</t>
  </si>
  <si>
    <t>80m U16 Female</t>
  </si>
  <si>
    <t>100m U16 Male</t>
  </si>
  <si>
    <t>84.0 cm</t>
  </si>
  <si>
    <t>100m U18 Female</t>
  </si>
  <si>
    <t>110m U18 Male</t>
  </si>
  <si>
    <t>500gm(U18)</t>
  </si>
  <si>
    <t>3Kg(u18)</t>
  </si>
  <si>
    <t>Under 18 Female/ Women</t>
  </si>
  <si>
    <t>New for 2026 - U12's incliuded in the Total Points</t>
  </si>
  <si>
    <t xml:space="preserve">This spreadsheet automatically calculates the Points and Position for each Age Group, and includes points added for providing Officials. </t>
  </si>
  <si>
    <t>New for 2026 - New age groups implemented - U12's, U14's, U16's and U18's.</t>
  </si>
  <si>
    <r>
      <rPr>
        <b/>
        <sz val="12"/>
        <rFont val="Arial"/>
        <family val="2"/>
      </rPr>
      <t>New for 2013</t>
    </r>
    <r>
      <rPr>
        <sz val="12"/>
        <rFont val="Arial"/>
        <family val="2"/>
      </rPr>
      <t xml:space="preserve"> - Guests are allowed in the 800m and 1500m at the discretion of the Track Referee. They must use numbers (not Club letters) to identify them as non scorers.</t>
    </r>
  </si>
  <si>
    <r>
      <t xml:space="preserve"> Non Scoring / Guests</t>
    </r>
    <r>
      <rPr>
        <sz val="12"/>
        <rFont val="Arial"/>
        <family val="2"/>
      </rPr>
      <t xml:space="preserve"> -  Each athlete should wear a unique number (not letter). Remember to enter the number in the green box against the competitors name.</t>
    </r>
  </si>
  <si>
    <t>100m hurdles (U18)</t>
  </si>
  <si>
    <t>Blue</t>
  </si>
  <si>
    <t>Jasper Allen</t>
  </si>
  <si>
    <t>DD</t>
  </si>
  <si>
    <t>Jacob Thomas</t>
  </si>
  <si>
    <t>Rafe White</t>
  </si>
  <si>
    <t>Simon Zawada</t>
  </si>
  <si>
    <t>Henry Yates</t>
  </si>
  <si>
    <t>Henry Cotton</t>
  </si>
  <si>
    <t>Fynn Allen</t>
  </si>
  <si>
    <t>Jasper Hadley</t>
  </si>
  <si>
    <t>Albert Moore</t>
  </si>
  <si>
    <t xml:space="preserve">Henry Stacey Harper </t>
  </si>
  <si>
    <t>Otis Lesatele</t>
  </si>
  <si>
    <t>Charlie Cassells</t>
  </si>
  <si>
    <t>Charlie Castle</t>
  </si>
  <si>
    <t>Casper Willis</t>
  </si>
  <si>
    <t xml:space="preserve">George Stacey Harper </t>
  </si>
  <si>
    <t>Billy Sheppard</t>
  </si>
  <si>
    <t xml:space="preserve">Carter McKenzie </t>
  </si>
  <si>
    <t>Morgan Nabney</t>
  </si>
  <si>
    <t>Finn Jackson</t>
  </si>
  <si>
    <t>Toby Hughes Webb</t>
  </si>
  <si>
    <t>Zac Birch</t>
  </si>
  <si>
    <t>Toby Wilkinson</t>
  </si>
  <si>
    <t xml:space="preserve">Carter Mckenzie </t>
  </si>
  <si>
    <t xml:space="preserve">Jasper Cooper </t>
  </si>
  <si>
    <t>Arthur Mansbridge</t>
  </si>
  <si>
    <t>Tom Stanton</t>
  </si>
  <si>
    <t>Will Hovell</t>
  </si>
  <si>
    <t>Joel Ledgard</t>
  </si>
  <si>
    <t>Toby Thomas</t>
  </si>
  <si>
    <t>George Wright</t>
  </si>
  <si>
    <t>Tom Fisher</t>
  </si>
  <si>
    <t>Megan White</t>
  </si>
  <si>
    <t>Florence Castle</t>
  </si>
  <si>
    <t>Quinn Lancaster</t>
  </si>
  <si>
    <t>Saskia Atkins</t>
  </si>
  <si>
    <t>Elsie Gould</t>
  </si>
  <si>
    <t>Maggie Silvers</t>
  </si>
  <si>
    <t>Poppy West</t>
  </si>
  <si>
    <t>Sara Clewer</t>
  </si>
  <si>
    <t>Lara Ryan-Gill</t>
  </si>
  <si>
    <t>Elsie Pipitone</t>
  </si>
  <si>
    <t>Millie Lowden</t>
  </si>
  <si>
    <t>Martha Edwards</t>
  </si>
  <si>
    <t>Evangeline Harris</t>
  </si>
  <si>
    <t>Annabel Ryan-Gill</t>
  </si>
  <si>
    <t>Alice McIntosh</t>
  </si>
  <si>
    <t xml:space="preserve">Rachel Sparrow </t>
  </si>
  <si>
    <t>Jasmine Mothershaw</t>
  </si>
  <si>
    <t>Isabella Marriot</t>
  </si>
  <si>
    <t>Emily White</t>
  </si>
  <si>
    <t>Lolita Newby Vincent</t>
  </si>
  <si>
    <t>Lila Gallinagh</t>
  </si>
  <si>
    <t>Lottie Willis</t>
  </si>
  <si>
    <t>Annabel Stacey</t>
  </si>
  <si>
    <t>Lucia Ogilvie-Putt</t>
  </si>
  <si>
    <t xml:space="preserve">Niamh Williams </t>
  </si>
  <si>
    <t>Marijke Tear-Verweij</t>
  </si>
  <si>
    <t>Ella Smith</t>
  </si>
  <si>
    <t>Darcie Nicholls</t>
  </si>
  <si>
    <t>Ava Sheppard</t>
  </si>
  <si>
    <t>Scarlett Dawson</t>
  </si>
  <si>
    <t xml:space="preserve">Eliza McLeod </t>
  </si>
  <si>
    <t>Evan Darby</t>
  </si>
  <si>
    <t>FF</t>
  </si>
  <si>
    <t>Lucas Beggs</t>
  </si>
  <si>
    <t>Oliver Eaton</t>
  </si>
  <si>
    <t>Theodore Gill</t>
  </si>
  <si>
    <t>Joseph Sizer</t>
  </si>
  <si>
    <t>Felix Hickman</t>
  </si>
  <si>
    <t>Alfie Kemp</t>
  </si>
  <si>
    <t>Elijah Brockway</t>
  </si>
  <si>
    <t>Arjun Singh Hira</t>
  </si>
  <si>
    <t>Alex Haywood</t>
  </si>
  <si>
    <t>Alex Hall</t>
  </si>
  <si>
    <t>Oscar Brehler</t>
  </si>
  <si>
    <t>Lucas Lee</t>
  </si>
  <si>
    <t>Oliver Ciszecki</t>
  </si>
  <si>
    <t>Anthony Tolley</t>
  </si>
  <si>
    <t>Peppi-Rose Sweet</t>
  </si>
  <si>
    <t>Izzy Jaques</t>
  </si>
  <si>
    <t>Clara Knight-Dutton</t>
  </si>
  <si>
    <t>Eden Farmer</t>
  </si>
  <si>
    <t>Anabel Amankwah</t>
  </si>
  <si>
    <t>Lacey Eaton</t>
  </si>
  <si>
    <t>Marlei Bignot</t>
  </si>
  <si>
    <t>Alice Smith</t>
  </si>
  <si>
    <t>Jessica Husselbee</t>
  </si>
  <si>
    <t>Charlotte Brian</t>
  </si>
  <si>
    <t>Evie Smith</t>
  </si>
  <si>
    <t>Freya Draycott</t>
  </si>
  <si>
    <t>Eva Christophorou</t>
  </si>
  <si>
    <t>Matilda Husselbee</t>
  </si>
  <si>
    <t>Tilly Farmer</t>
  </si>
  <si>
    <t>Tiarna Walls</t>
  </si>
  <si>
    <t>Brodie Horler</t>
  </si>
  <si>
    <t>Robyn Edwards</t>
  </si>
  <si>
    <t>Evie Edmead</t>
  </si>
  <si>
    <t>Emily Webb</t>
  </si>
  <si>
    <t>Rosa Farmer</t>
  </si>
  <si>
    <t>Holly Hancock</t>
  </si>
  <si>
    <t>Lorelai Maxwell</t>
  </si>
  <si>
    <t>Sophie Godber</t>
  </si>
  <si>
    <t>Freya Armitage</t>
  </si>
  <si>
    <t>Thomas Jenkinson</t>
  </si>
  <si>
    <t>Elliot Oldham</t>
  </si>
  <si>
    <t>Felix Whakahau</t>
  </si>
  <si>
    <t>Lloyd Kerry</t>
  </si>
  <si>
    <t>Rayan Faci</t>
  </si>
  <si>
    <t>Zachary Hope</t>
  </si>
  <si>
    <t>Sam Gromski</t>
  </si>
  <si>
    <t>Alex Thompson</t>
  </si>
  <si>
    <t>Hayden Helme</t>
  </si>
  <si>
    <t>Huw Mabey</t>
  </si>
  <si>
    <t>Oscar Farmer</t>
  </si>
  <si>
    <t>Tobias Collett</t>
  </si>
  <si>
    <t>Harry Groves</t>
  </si>
  <si>
    <t>Santiago Tomayo</t>
  </si>
  <si>
    <t>Annabelle Hadland</t>
  </si>
  <si>
    <t>Daisy Lawes</t>
  </si>
  <si>
    <t>Ella Dyer</t>
  </si>
  <si>
    <t>Bethany Gromski</t>
  </si>
  <si>
    <t>Megan Mabey</t>
  </si>
  <si>
    <t>Elsie Thornton</t>
  </si>
  <si>
    <t>Isla Porter</t>
  </si>
  <si>
    <t>Edie Worth</t>
  </si>
  <si>
    <t>Gracie Hodgkins</t>
  </si>
  <si>
    <t>Rosie Groves</t>
  </si>
  <si>
    <t>Esme Dyer</t>
  </si>
  <si>
    <t>Anastasia Constantinou</t>
  </si>
  <si>
    <t>Harriett Carey</t>
  </si>
  <si>
    <t>Penelope Cale</t>
  </si>
  <si>
    <t>Lucy Collins</t>
  </si>
  <si>
    <t>Lara Taylor</t>
  </si>
  <si>
    <t>Felicity Moore</t>
  </si>
  <si>
    <t>Isla Oldham</t>
  </si>
  <si>
    <t>Seren Kerry</t>
  </si>
  <si>
    <t>Ella Purves</t>
  </si>
  <si>
    <t xml:space="preserve">Leo Parekh </t>
  </si>
  <si>
    <t xml:space="preserve">Logan Pearce </t>
  </si>
  <si>
    <t>Zachary Asanga</t>
  </si>
  <si>
    <t xml:space="preserve">Adrian Ward </t>
  </si>
  <si>
    <t xml:space="preserve">Oliver brooks </t>
  </si>
  <si>
    <t xml:space="preserve">William Tse </t>
  </si>
  <si>
    <t xml:space="preserve">Thomas Woodward </t>
  </si>
  <si>
    <t>Sebastien Emerey</t>
  </si>
  <si>
    <t>Jacob Fung</t>
  </si>
  <si>
    <t xml:space="preserve">Harvey Harris </t>
  </si>
  <si>
    <t>Charlie Keenan</t>
  </si>
  <si>
    <t>Lombe Lombe</t>
  </si>
  <si>
    <t>Elliot Jones</t>
  </si>
  <si>
    <t xml:space="preserve">Adrian Demanya </t>
  </si>
  <si>
    <t>Peton Godwin kalala</t>
  </si>
  <si>
    <t>Anaadh Singh</t>
  </si>
  <si>
    <t>George Wrigley</t>
  </si>
  <si>
    <t>Ethan Jatta</t>
  </si>
  <si>
    <t>Adam Makame</t>
  </si>
  <si>
    <t>Muayyad Mohamed</t>
  </si>
  <si>
    <t>Leo Rice</t>
  </si>
  <si>
    <t>Noah Gordon</t>
  </si>
  <si>
    <t>Mustopha Bailey</t>
  </si>
  <si>
    <t>Bertie Albatov</t>
  </si>
  <si>
    <t>Eben Ashton</t>
  </si>
  <si>
    <t>Heinrich</t>
  </si>
  <si>
    <t xml:space="preserve">Austin Demanya </t>
  </si>
  <si>
    <t>Dominic Francis-Gordon</t>
  </si>
  <si>
    <t>Toby Sykes</t>
  </si>
  <si>
    <t>Joseph Baker</t>
  </si>
  <si>
    <t xml:space="preserve">JAYARD VALERIO </t>
  </si>
  <si>
    <t>Christian Middleton</t>
  </si>
  <si>
    <t>Saleh Beshir</t>
  </si>
  <si>
    <t>Miguel Daley</t>
  </si>
  <si>
    <t xml:space="preserve">Evan Tomlinson </t>
  </si>
  <si>
    <t>Edward Jagger</t>
  </si>
  <si>
    <t xml:space="preserve">Phoenix akalley-Paradissis </t>
  </si>
  <si>
    <t>Khushi Chanal</t>
  </si>
  <si>
    <t>Sophia Thomas</t>
  </si>
  <si>
    <t>Beatrix Thompson</t>
  </si>
  <si>
    <t xml:space="preserve">
Azucena Cereceda</t>
  </si>
  <si>
    <t>Beatrice-Rosie Follows</t>
  </si>
  <si>
    <t>Azucena Cereceda</t>
  </si>
  <si>
    <t xml:space="preserve">
Beatrice Rosie Follows</t>
  </si>
  <si>
    <t>Sophie McKinnon</t>
  </si>
  <si>
    <t xml:space="preserve">
Maliyka lewis</t>
  </si>
  <si>
    <t>Darcy mcdaid</t>
  </si>
  <si>
    <t>Agnes thomson</t>
  </si>
  <si>
    <t xml:space="preserve">
Eliana Dawit</t>
  </si>
  <si>
    <t>Rose Ricardo</t>
  </si>
  <si>
    <t>Mar O'Connor Delgado</t>
  </si>
  <si>
    <t>Savannah wedderburn</t>
  </si>
  <si>
    <t>Hiba Bailey</t>
  </si>
  <si>
    <t xml:space="preserve">
Savannah Wedderburn</t>
  </si>
  <si>
    <t>Orla Woodman</t>
  </si>
  <si>
    <t>Lacey-May larkin</t>
  </si>
  <si>
    <t>Alisia Scarlett-Thomas</t>
  </si>
  <si>
    <t>Amber Stevens</t>
  </si>
  <si>
    <t>Josephine Colclough</t>
  </si>
  <si>
    <t>Tamera Campbell</t>
  </si>
  <si>
    <t>Libby Molenaar</t>
  </si>
  <si>
    <t xml:space="preserve">
Maiara Dalmedo</t>
  </si>
  <si>
    <t xml:space="preserve">Araya Williams </t>
  </si>
  <si>
    <t>Palia-Elsie Kalala</t>
  </si>
  <si>
    <t>Jessika Cox</t>
  </si>
  <si>
    <t xml:space="preserve">Erin Colclough </t>
  </si>
  <si>
    <t>Alba Smith-Pena</t>
  </si>
  <si>
    <t>Arriella Dalmedo</t>
  </si>
  <si>
    <t xml:space="preserve">T’yana Josephs </t>
  </si>
  <si>
    <t xml:space="preserve">Hephzibah Emmanuel Kokoh </t>
  </si>
  <si>
    <t xml:space="preserve">Daniella Anozie </t>
  </si>
  <si>
    <t>Maryam Mohammed Hadi</t>
  </si>
  <si>
    <t xml:space="preserve">Sophia Ratnasuriya </t>
  </si>
  <si>
    <t xml:space="preserve">Joanna O'Connor Delgado </t>
  </si>
  <si>
    <t>Isabel Pickering</t>
  </si>
  <si>
    <t>Hugo Ford</t>
  </si>
  <si>
    <t>UU</t>
  </si>
  <si>
    <t>Ted Bates</t>
  </si>
  <si>
    <t>Alex Velasquez</t>
  </si>
  <si>
    <t xml:space="preserve">Alex Velasquez </t>
  </si>
  <si>
    <t>Alexander Bird</t>
  </si>
  <si>
    <t>Will Freeman</t>
  </si>
  <si>
    <t>Benjamin Askey</t>
  </si>
  <si>
    <t>Harry Morton</t>
  </si>
  <si>
    <t>Ryan Morgan</t>
  </si>
  <si>
    <t>Ted Freeman</t>
  </si>
  <si>
    <t>Alex Payne</t>
  </si>
  <si>
    <t>Alica Bland</t>
  </si>
  <si>
    <t xml:space="preserve">Alice Thompson </t>
  </si>
  <si>
    <t xml:space="preserve">Isabelle Evans </t>
  </si>
  <si>
    <t xml:space="preserve">Polly Richards </t>
  </si>
  <si>
    <t xml:space="preserve">Amelija Mendelyte </t>
  </si>
  <si>
    <t>Alicia Chorostowska</t>
  </si>
  <si>
    <t>Isabelle McCann</t>
  </si>
  <si>
    <t>Matilda Kiernan</t>
  </si>
  <si>
    <t>Amelie Davis-Beard</t>
  </si>
  <si>
    <t>Imogen McCann</t>
  </si>
  <si>
    <t>Lila Warwick</t>
  </si>
  <si>
    <t>Pippa Richards</t>
  </si>
  <si>
    <t>Nicole Bevan</t>
  </si>
  <si>
    <t>Sophia Llewellyn</t>
  </si>
  <si>
    <t>Florence Aspinall</t>
  </si>
  <si>
    <t>Georgia Kiernan</t>
  </si>
  <si>
    <t>Emma Ross</t>
  </si>
  <si>
    <t>Jessika Shelley</t>
  </si>
  <si>
    <t>Evangaline Grover</t>
  </si>
  <si>
    <t>Molly Dale</t>
  </si>
  <si>
    <t>Jessica Blundell</t>
  </si>
  <si>
    <t>Chloe Brown</t>
  </si>
  <si>
    <t>Sophie Ross</t>
  </si>
  <si>
    <t>Elizabeth Fowler</t>
  </si>
  <si>
    <t>Seren Dhami</t>
  </si>
  <si>
    <t>Alex Healy</t>
  </si>
  <si>
    <t>Betsy Gilmore</t>
  </si>
  <si>
    <t>Sophia Wood</t>
  </si>
  <si>
    <t>Emily Ross</t>
  </si>
  <si>
    <t>Chloe Burt</t>
  </si>
  <si>
    <t>Ava Blundell</t>
  </si>
  <si>
    <t>Ava Collett</t>
  </si>
  <si>
    <t>Edith Masson</t>
  </si>
  <si>
    <t>Phoebe Ricketts</t>
  </si>
  <si>
    <t>Abby Ruggles</t>
  </si>
  <si>
    <t>Ella Howe</t>
  </si>
  <si>
    <t>Olivia Hawke</t>
  </si>
  <si>
    <t>Ava Thompson</t>
  </si>
  <si>
    <t>Ada Masson</t>
  </si>
  <si>
    <t>Gabrielle Blake</t>
  </si>
  <si>
    <t>Orlagh Murphy</t>
  </si>
  <si>
    <t>Lola Fitter</t>
  </si>
  <si>
    <t>Alisa Preston</t>
  </si>
  <si>
    <t>Alexa Richards</t>
  </si>
  <si>
    <t>Isla Gerry</t>
  </si>
  <si>
    <t>Ebony Tennant</t>
  </si>
  <si>
    <t>Maia Collett</t>
  </si>
  <si>
    <t>Jess Pym</t>
  </si>
  <si>
    <t>Edison Hughes</t>
  </si>
  <si>
    <t>Troy Hall</t>
  </si>
  <si>
    <t>Kai Gudmunsen</t>
  </si>
  <si>
    <t>Sam Roberts</t>
  </si>
  <si>
    <t>Matthew Payne</t>
  </si>
  <si>
    <t>Joshua Baylis</t>
  </si>
  <si>
    <t>Andre Albarel</t>
  </si>
  <si>
    <t>Ethan Miles</t>
  </si>
  <si>
    <t>Peter Holdsworth</t>
  </si>
  <si>
    <t>Jacob Austerberry</t>
  </si>
  <si>
    <t>Noah Rush</t>
  </si>
  <si>
    <t>Charlie Hughes</t>
  </si>
  <si>
    <t>Jason Bedford</t>
  </si>
  <si>
    <t>Zakariya Rush</t>
  </si>
  <si>
    <t>Luca Woodley</t>
  </si>
  <si>
    <t>Luke Ager</t>
  </si>
  <si>
    <t>Elijah Simpson</t>
  </si>
  <si>
    <t>Ben Hilton</t>
  </si>
  <si>
    <t>Noah Latusek</t>
  </si>
  <si>
    <t>Olive Lovelock</t>
  </si>
  <si>
    <t>Rosie Warrilow</t>
  </si>
  <si>
    <t>Martha Waterson</t>
  </si>
  <si>
    <t>Daisy Crook</t>
  </si>
  <si>
    <t>Layla Phelan</t>
  </si>
  <si>
    <t>Tavayah Lennox</t>
  </si>
  <si>
    <t>Ava Lawrence</t>
  </si>
  <si>
    <t>Saffron Davies</t>
  </si>
  <si>
    <t>Feranmi Remi-Omosowon</t>
  </si>
  <si>
    <t>Joshua Jardine</t>
  </si>
  <si>
    <t>Sebastian Armstrong</t>
  </si>
  <si>
    <t>Edward Allen</t>
  </si>
  <si>
    <t>Chiemerie Okwara</t>
  </si>
  <si>
    <t>Dallas Burrrows Pitt</t>
  </si>
  <si>
    <t>SS</t>
  </si>
  <si>
    <t>RR</t>
  </si>
  <si>
    <t>GG</t>
  </si>
  <si>
    <t>MM</t>
  </si>
  <si>
    <t>YY</t>
  </si>
  <si>
    <t>Joe Walden</t>
  </si>
  <si>
    <t>Chukwuemeka Okwara</t>
  </si>
  <si>
    <t>Lenny Harris</t>
  </si>
  <si>
    <t>Rohan Tummala</t>
  </si>
  <si>
    <t>Robert Copeland</t>
  </si>
  <si>
    <t>Bruno Houltby</t>
  </si>
  <si>
    <t>Ademiposi (Gideon) Aderibigbe</t>
  </si>
  <si>
    <t>Samuel Airhihen</t>
  </si>
  <si>
    <t>Kye McCabe</t>
  </si>
  <si>
    <t>Wesley Hague</t>
  </si>
  <si>
    <t>Myles Marks</t>
  </si>
  <si>
    <t>Hugo Fernandez</t>
  </si>
  <si>
    <t>Alfie Goodman</t>
  </si>
  <si>
    <t>Toby Read</t>
  </si>
  <si>
    <t>Sammy Chang</t>
  </si>
  <si>
    <t>Dexter Barrett</t>
  </si>
  <si>
    <t>Matei Cosciug</t>
  </si>
  <si>
    <t>Tommy McGuire</t>
  </si>
  <si>
    <t>Miles Taylor</t>
  </si>
  <si>
    <t>Gigi Okere</t>
  </si>
  <si>
    <t>Isaac Brierley York</t>
  </si>
  <si>
    <t>Joe White</t>
  </si>
  <si>
    <t>Oliver Thomas</t>
  </si>
  <si>
    <t>Ishan Bains-Rousseau</t>
  </si>
  <si>
    <t>Ryan Jennings</t>
  </si>
  <si>
    <t>Tyrell Fowles</t>
  </si>
  <si>
    <t>Joel Benton</t>
  </si>
  <si>
    <t>Charlie Gercs</t>
  </si>
  <si>
    <t>Georgios Ammari</t>
  </si>
  <si>
    <t>Dylan Mander</t>
  </si>
  <si>
    <t>Max Roberts</t>
  </si>
  <si>
    <t>Ricardo Campos</t>
  </si>
  <si>
    <t>Harvey Kerrell Vaughan</t>
  </si>
  <si>
    <t>Freya Carty</t>
  </si>
  <si>
    <t>Taya Young</t>
  </si>
  <si>
    <t>Violet French</t>
  </si>
  <si>
    <t>Megan McKeown</t>
  </si>
  <si>
    <t>Reese Ridgway</t>
  </si>
  <si>
    <t>Sophie Hadley</t>
  </si>
  <si>
    <t>Amber Butler</t>
  </si>
  <si>
    <t>Mollie Diplock</t>
  </si>
  <si>
    <t>Betsy Houltby</t>
  </si>
  <si>
    <t>Grace Read</t>
  </si>
  <si>
    <t>Matilda Famuyiwa</t>
  </si>
  <si>
    <t>Lyla Pearce</t>
  </si>
  <si>
    <t>Eleanor Rumbell</t>
  </si>
  <si>
    <t>Sophia Agius</t>
  </si>
  <si>
    <t>Amelia Lee</t>
  </si>
  <si>
    <t>Phoebe Budd</t>
  </si>
  <si>
    <t>Betsy Fahey</t>
  </si>
  <si>
    <t>Jemima Spiller</t>
  </si>
  <si>
    <t>Millie-anna Snell</t>
  </si>
  <si>
    <t>Chloe Pratt-Massey</t>
  </si>
  <si>
    <t>Chloe Pallett</t>
  </si>
  <si>
    <t>Phoebe Clark</t>
  </si>
  <si>
    <t>Amelia Rex</t>
  </si>
  <si>
    <t>Eva Bond</t>
  </si>
  <si>
    <t>Anya Haresign</t>
  </si>
  <si>
    <t>Vika Leviuk</t>
  </si>
  <si>
    <t>Isabella Atwell</t>
  </si>
  <si>
    <t>Florence Lambert</t>
  </si>
  <si>
    <t>Martha Kerr</t>
  </si>
  <si>
    <t>Martha Lee</t>
  </si>
  <si>
    <t>Orla Gibson</t>
  </si>
  <si>
    <t>Emily Kendrick</t>
  </si>
  <si>
    <t>Olivia Clarke</t>
  </si>
  <si>
    <t>Grace O'Malley</t>
  </si>
  <si>
    <t>Faith Cowen</t>
  </si>
  <si>
    <t>Grace Kendrick</t>
  </si>
  <si>
    <t>Chelsea Adams</t>
  </si>
  <si>
    <t>Isabelle Norris</t>
  </si>
  <si>
    <t>Caitlin Bosworth</t>
  </si>
  <si>
    <t>Sami Mir</t>
  </si>
  <si>
    <t>Woody Forrester</t>
  </si>
  <si>
    <t>Daniel wood</t>
  </si>
  <si>
    <t>Cyrus Thomas</t>
  </si>
  <si>
    <t>Khari Caines</t>
  </si>
  <si>
    <t>Daniel Wood</t>
  </si>
  <si>
    <t>Edward Taylor</t>
  </si>
  <si>
    <t xml:space="preserve">Khari Caines </t>
  </si>
  <si>
    <t xml:space="preserve">Woody Forrester </t>
  </si>
  <si>
    <t>Finley Aldridge-Cox</t>
  </si>
  <si>
    <t>Sebastian Lees</t>
  </si>
  <si>
    <t>Lewis Deffley</t>
  </si>
  <si>
    <t>Edward Burnell</t>
  </si>
  <si>
    <t>Karram Sahota</t>
  </si>
  <si>
    <t>Will Biddle</t>
  </si>
  <si>
    <t>Micah Hakata</t>
  </si>
  <si>
    <t>Joshua Smith</t>
  </si>
  <si>
    <t>Oliver Marsh</t>
  </si>
  <si>
    <t>Leo Nott</t>
  </si>
  <si>
    <t>Nathaniel Chapman</t>
  </si>
  <si>
    <t>Yuvan Sidhu</t>
  </si>
  <si>
    <t>Louis Matthews</t>
  </si>
  <si>
    <t>Alex Taylor</t>
  </si>
  <si>
    <t>Jason Adobor</t>
  </si>
  <si>
    <t>Jack Radnor</t>
  </si>
  <si>
    <t>Reuban Higgins</t>
  </si>
  <si>
    <t>Amos Aucutt</t>
  </si>
  <si>
    <t>Joseph Smith</t>
  </si>
  <si>
    <t>K'Shein Radcliffe</t>
  </si>
  <si>
    <t>Leo  Dance</t>
  </si>
  <si>
    <t>Jamie Millichamp</t>
  </si>
  <si>
    <t>Finn Sandland</t>
  </si>
  <si>
    <t>Isaiah Dominique</t>
  </si>
  <si>
    <t>Luke Perry</t>
  </si>
  <si>
    <t xml:space="preserve">Lila Wilmore </t>
  </si>
  <si>
    <t xml:space="preserve">Indie Upton </t>
  </si>
  <si>
    <t xml:space="preserve">Taylor Upton </t>
  </si>
  <si>
    <t>Bea Sims</t>
  </si>
  <si>
    <t xml:space="preserve">Isabelle wakeman </t>
  </si>
  <si>
    <t xml:space="preserve">Isabelle Wakeman </t>
  </si>
  <si>
    <t>Lucy Harradence</t>
  </si>
  <si>
    <t>Mabel Edgerton</t>
  </si>
  <si>
    <t>Scarlett Edgar</t>
  </si>
  <si>
    <t>Annabelle Ani</t>
  </si>
  <si>
    <t>Annabelle Pattinson</t>
  </si>
  <si>
    <t>Abigail Dilworth</t>
  </si>
  <si>
    <t>Emilia Dudley</t>
  </si>
  <si>
    <t>Caitlin Hobday</t>
  </si>
  <si>
    <t>Brooke Butler</t>
  </si>
  <si>
    <t>Aiza Ulhaq</t>
  </si>
  <si>
    <t>Gracie Young</t>
  </si>
  <si>
    <t>Freya Rankin</t>
  </si>
  <si>
    <t>Jessica Spiby</t>
  </si>
  <si>
    <t>Lucy Denver</t>
  </si>
  <si>
    <t>Anisia Barton</t>
  </si>
  <si>
    <t>Zareen Ulhaq</t>
  </si>
  <si>
    <t>Ines Fennell</t>
  </si>
  <si>
    <t>Katie Straw</t>
  </si>
  <si>
    <t>Lennie Covey</t>
  </si>
  <si>
    <t>Chloe Massey</t>
  </si>
  <si>
    <t>4.59.1</t>
  </si>
  <si>
    <t>4.59.5</t>
  </si>
  <si>
    <t>5.11.0</t>
  </si>
  <si>
    <t>5.12.5</t>
  </si>
  <si>
    <t>5.22.0</t>
  </si>
  <si>
    <t>5.29.0</t>
  </si>
  <si>
    <t>5.35.5</t>
  </si>
  <si>
    <t>5.58.4</t>
  </si>
  <si>
    <t>6.00.6</t>
  </si>
  <si>
    <t>5.14.5</t>
  </si>
  <si>
    <t>2.55.2</t>
  </si>
  <si>
    <t>5.26.6</t>
  </si>
  <si>
    <t>5.29.6</t>
  </si>
  <si>
    <t>5.35.6</t>
  </si>
  <si>
    <t>5.54.9</t>
  </si>
  <si>
    <t>5.57.0</t>
  </si>
  <si>
    <t>6.20.6</t>
  </si>
  <si>
    <t>5.37.6</t>
  </si>
  <si>
    <t>6.02.7</t>
  </si>
  <si>
    <t>6.22.7</t>
  </si>
  <si>
    <t>5.18.7</t>
  </si>
  <si>
    <t>5.25.0</t>
  </si>
  <si>
    <t>5.27.2</t>
  </si>
  <si>
    <t>5.50.2</t>
  </si>
  <si>
    <t>6.10.7</t>
  </si>
  <si>
    <t>5.39.7</t>
  </si>
  <si>
    <t>5.43.4</t>
  </si>
  <si>
    <t>5.55.6</t>
  </si>
  <si>
    <t>5.15.6</t>
  </si>
  <si>
    <t>5.35.9</t>
  </si>
  <si>
    <t>2.22.0</t>
  </si>
  <si>
    <t>2.23.8</t>
  </si>
  <si>
    <t>2.26.6</t>
  </si>
  <si>
    <t>2.28.6</t>
  </si>
  <si>
    <t>2.30.6</t>
  </si>
  <si>
    <t>2.36.3</t>
  </si>
  <si>
    <t>2.36.8</t>
  </si>
  <si>
    <t>2.37.3</t>
  </si>
  <si>
    <t>2.33.4</t>
  </si>
  <si>
    <t>2.29.1</t>
  </si>
  <si>
    <t>2.32.2</t>
  </si>
  <si>
    <t>2.44.7</t>
  </si>
  <si>
    <t>2.45.3</t>
  </si>
  <si>
    <t>2.46.4</t>
  </si>
  <si>
    <t>2.03.2</t>
  </si>
  <si>
    <t>2.05.7</t>
  </si>
  <si>
    <t>2.13.2</t>
  </si>
  <si>
    <t>2.14.2</t>
  </si>
  <si>
    <t>2.14.7</t>
  </si>
  <si>
    <t>2.26.2</t>
  </si>
  <si>
    <t>2.12.0</t>
  </si>
  <si>
    <t>2.14.9</t>
  </si>
  <si>
    <t>2.15.6</t>
  </si>
  <si>
    <t>2.22.6</t>
  </si>
  <si>
    <t>2.25.2</t>
  </si>
  <si>
    <t>2.33.0</t>
  </si>
  <si>
    <t>2.35.0</t>
  </si>
  <si>
    <t>2.02.0</t>
  </si>
  <si>
    <t>2.02.3</t>
  </si>
  <si>
    <t>3.02.3</t>
  </si>
  <si>
    <t>2.15.7</t>
  </si>
  <si>
    <t>2.05.2</t>
  </si>
  <si>
    <t>2.27.8</t>
  </si>
  <si>
    <t>2.29.4</t>
  </si>
  <si>
    <t>2.29.9</t>
  </si>
  <si>
    <t>2.31.1</t>
  </si>
  <si>
    <t>2.40.4</t>
  </si>
  <si>
    <t>2.40.5</t>
  </si>
  <si>
    <t>2.43.0</t>
  </si>
  <si>
    <t>2.34.0</t>
  </si>
  <si>
    <t>2.35.7</t>
  </si>
  <si>
    <t>2.46.6</t>
  </si>
  <si>
    <t>2.47.6</t>
  </si>
  <si>
    <t>2.49.7</t>
  </si>
  <si>
    <t>3.00.8</t>
  </si>
  <si>
    <t>3.05.8</t>
  </si>
  <si>
    <t>2.57.4</t>
  </si>
  <si>
    <t>2.24.3</t>
  </si>
  <si>
    <t>2.28.0</t>
  </si>
  <si>
    <t>2.34.3</t>
  </si>
  <si>
    <t>2.36.2</t>
  </si>
  <si>
    <t>2.39.0</t>
  </si>
  <si>
    <t>2.40.1</t>
  </si>
  <si>
    <t>2.51.4</t>
  </si>
  <si>
    <t>2.32.9</t>
  </si>
  <si>
    <t>2.34.9</t>
  </si>
  <si>
    <t>2.37.9</t>
  </si>
  <si>
    <t>3.01.8</t>
  </si>
  <si>
    <t>2.28.3</t>
  </si>
  <si>
    <t>2.38.6</t>
  </si>
  <si>
    <t>Joanna O'Connor Delgado</t>
  </si>
  <si>
    <t>1.48.9</t>
  </si>
  <si>
    <t>1.52.4</t>
  </si>
  <si>
    <t>1.57.9</t>
  </si>
  <si>
    <t>2.05.9</t>
  </si>
  <si>
    <t>2.08.9</t>
  </si>
  <si>
    <t>2.10.3</t>
  </si>
  <si>
    <t>2.11.7</t>
  </si>
  <si>
    <t>1.52.5</t>
  </si>
  <si>
    <t>2.03.3</t>
  </si>
  <si>
    <t>2.04.2</t>
  </si>
  <si>
    <t>2.07.7</t>
  </si>
  <si>
    <t>2.09.5</t>
  </si>
  <si>
    <t>2.09.9</t>
  </si>
  <si>
    <t>2.10.6</t>
  </si>
  <si>
    <t>1.47.9</t>
  </si>
  <si>
    <t>1.53.0</t>
  </si>
  <si>
    <t>1.55.7</t>
  </si>
  <si>
    <t>1.56.5</t>
  </si>
  <si>
    <t>2.02.5</t>
  </si>
  <si>
    <t>2.04.0</t>
  </si>
  <si>
    <t>2.10.1</t>
  </si>
  <si>
    <t>1.52.2</t>
  </si>
  <si>
    <t>1.55.1</t>
  </si>
  <si>
    <t>1.57.2</t>
  </si>
  <si>
    <t>2.00.5</t>
  </si>
  <si>
    <t>2.08.4</t>
  </si>
  <si>
    <t>2.10.9</t>
  </si>
  <si>
    <t>4.09.2</t>
  </si>
  <si>
    <t>4.20.6</t>
  </si>
  <si>
    <t>4.33.6</t>
  </si>
  <si>
    <t>5.16.8</t>
  </si>
  <si>
    <t>4.48.6</t>
  </si>
  <si>
    <t>4.49.5</t>
  </si>
  <si>
    <t>4.43.5</t>
  </si>
  <si>
    <t>4.55.9</t>
  </si>
  <si>
    <t>5.24.5</t>
  </si>
  <si>
    <t>5.28.0</t>
  </si>
  <si>
    <t>5.04.6</t>
  </si>
  <si>
    <t>5.19.7</t>
  </si>
  <si>
    <t>5.38.6</t>
  </si>
  <si>
    <t>4.40.1</t>
  </si>
  <si>
    <t>4.42.0</t>
  </si>
  <si>
    <t>5.06.5</t>
  </si>
  <si>
    <t>5.10.5</t>
  </si>
  <si>
    <t>5.16.2</t>
  </si>
  <si>
    <t>5.02.2</t>
  </si>
  <si>
    <t>5.08.9</t>
  </si>
  <si>
    <t>5.10.9</t>
  </si>
  <si>
    <t>5.18.8</t>
  </si>
  <si>
    <t>5.26.9</t>
  </si>
  <si>
    <t>5.51.8</t>
  </si>
  <si>
    <t>Emelia Butler</t>
  </si>
  <si>
    <t>Sophie Lawrence</t>
  </si>
  <si>
    <t>Carter McKenzie</t>
  </si>
  <si>
    <t>Daniel Mengsteab</t>
  </si>
  <si>
    <t>g</t>
  </si>
  <si>
    <t>Evelyn Fallis</t>
  </si>
  <si>
    <t>5.41.2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</si>
</sst>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Red]0"/>
    <numFmt numFmtId="165" formatCode="0.00;[Red]0.00"/>
    <numFmt numFmtId="166" formatCode="0.0"/>
    <numFmt numFmtId="167" formatCode="0_ ;[Red]\-0\ "/>
    <numFmt numFmtId="168" formatCode="0.0;[Red]0.0"/>
  </numFmts>
  <fonts count="64" x14ac:knownFonts="1">
    <font>
      <sz val="11"/>
      <color theme="1"/>
      <name val="Calibri"/>
      <family val="2"/>
      <scheme val="minor"/>
    </font>
    <font>
      <b/>
      <sz val="11"/>
      <color theme="1"/>
      <name val="Calibri"/>
      <family val="2"/>
      <scheme val="minor"/>
    </font>
    <font>
      <b/>
      <sz val="14"/>
      <name val="Arial"/>
      <family val="2"/>
    </font>
    <font>
      <b/>
      <sz val="10"/>
      <name val="Arial"/>
      <family val="2"/>
    </font>
    <font>
      <b/>
      <u/>
      <sz val="10"/>
      <name val="Arial"/>
      <family val="2"/>
    </font>
    <font>
      <sz val="10"/>
      <name val="Arial"/>
      <family val="2"/>
    </font>
    <font>
      <b/>
      <sz val="10"/>
      <color indexed="42"/>
      <name val="Arial"/>
      <family val="2"/>
    </font>
    <font>
      <b/>
      <sz val="12"/>
      <name val="Arial"/>
      <family val="2"/>
    </font>
    <font>
      <b/>
      <sz val="16"/>
      <color indexed="8"/>
      <name val="Arial"/>
      <family val="2"/>
    </font>
    <font>
      <b/>
      <sz val="11"/>
      <name val="Arial"/>
      <family val="2"/>
    </font>
    <font>
      <sz val="11"/>
      <name val="Arial"/>
      <family val="2"/>
    </font>
    <font>
      <b/>
      <sz val="11"/>
      <color indexed="8"/>
      <name val="Arial"/>
      <family val="2"/>
    </font>
    <font>
      <sz val="12"/>
      <name val="Arial"/>
      <family val="2"/>
    </font>
    <font>
      <b/>
      <u/>
      <sz val="12"/>
      <name val="Arial"/>
      <family val="2"/>
    </font>
    <font>
      <b/>
      <u/>
      <sz val="11"/>
      <name val="Arial"/>
      <family val="2"/>
    </font>
    <font>
      <b/>
      <sz val="16"/>
      <name val="Arial"/>
      <family val="2"/>
    </font>
    <font>
      <b/>
      <sz val="9"/>
      <name val="Arial"/>
      <family val="2"/>
    </font>
    <font>
      <sz val="10"/>
      <color rgb="FF000000"/>
      <name val="Arial"/>
      <family val="2"/>
    </font>
    <font>
      <sz val="11"/>
      <color theme="1"/>
      <name val="Arial"/>
      <family val="2"/>
    </font>
    <font>
      <b/>
      <sz val="11"/>
      <color theme="1"/>
      <name val="Arial"/>
      <family val="2"/>
    </font>
    <font>
      <b/>
      <sz val="13"/>
      <color rgb="FFFF0000"/>
      <name val="Arial"/>
      <family val="2"/>
    </font>
    <font>
      <b/>
      <sz val="11"/>
      <color rgb="FFFF0000"/>
      <name val="Arial"/>
      <family val="2"/>
    </font>
    <font>
      <b/>
      <sz val="10"/>
      <name val="Lucida Bright"/>
      <family val="1"/>
    </font>
    <font>
      <i/>
      <sz val="10"/>
      <name val="Arial"/>
      <family val="2"/>
    </font>
    <font>
      <i/>
      <sz val="10"/>
      <name val="Lucida Bright"/>
      <family val="1"/>
    </font>
    <font>
      <b/>
      <i/>
      <sz val="10"/>
      <name val="Lucida Bright"/>
      <family val="1"/>
    </font>
    <font>
      <b/>
      <i/>
      <sz val="10"/>
      <color indexed="10"/>
      <name val="Lucida Bright"/>
      <family val="1"/>
    </font>
    <font>
      <b/>
      <sz val="13"/>
      <name val="Arial"/>
      <family val="2"/>
    </font>
    <font>
      <sz val="8"/>
      <name val="Arial"/>
      <family val="2"/>
    </font>
    <font>
      <sz val="12"/>
      <color theme="1"/>
      <name val="Calibri"/>
      <family val="2"/>
      <scheme val="minor"/>
    </font>
    <font>
      <b/>
      <sz val="8"/>
      <name val="Arial"/>
      <family val="2"/>
    </font>
    <font>
      <b/>
      <u/>
      <sz val="12"/>
      <color indexed="48"/>
      <name val="Arial"/>
      <family val="2"/>
    </font>
    <font>
      <sz val="9"/>
      <name val="Arial"/>
      <family val="2"/>
    </font>
    <font>
      <b/>
      <u/>
      <sz val="12"/>
      <color indexed="10"/>
      <name val="Arial"/>
      <family val="2"/>
    </font>
    <font>
      <b/>
      <sz val="12"/>
      <color indexed="10"/>
      <name val="Arial"/>
      <family val="2"/>
    </font>
    <font>
      <b/>
      <sz val="10"/>
      <color rgb="FFFF0000"/>
      <name val="Arial"/>
      <family val="2"/>
    </font>
    <font>
      <sz val="11"/>
      <color theme="1"/>
      <name val="Calibri"/>
      <family val="2"/>
      <scheme val="minor"/>
    </font>
    <font>
      <b/>
      <sz val="11"/>
      <color rgb="FFFF0000"/>
      <name val="Calibri"/>
      <family val="2"/>
      <scheme val="minor"/>
    </font>
    <font>
      <sz val="8"/>
      <name val="Calibri"/>
      <family val="2"/>
      <scheme val="minor"/>
    </font>
    <font>
      <sz val="14"/>
      <name val="Arial"/>
      <family val="2"/>
    </font>
    <font>
      <sz val="10"/>
      <color theme="1"/>
      <name val="Calibri"/>
      <family val="2"/>
      <scheme val="minor"/>
    </font>
    <font>
      <b/>
      <i/>
      <sz val="12"/>
      <name val="Arial"/>
      <family val="2"/>
    </font>
    <font>
      <b/>
      <u/>
      <sz val="12"/>
      <color rgb="FFFF0000"/>
      <name val="Arial"/>
      <family val="2"/>
    </font>
    <font>
      <sz val="11"/>
      <color theme="0"/>
      <name val="Calibri"/>
      <family val="2"/>
      <scheme val="minor"/>
    </font>
    <font>
      <sz val="11"/>
      <name val="Calibri"/>
      <family val="2"/>
      <scheme val="minor"/>
    </font>
    <font>
      <sz val="10"/>
      <name val="Arial"/>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theme="1"/>
      <name val="Arial"/>
      <family val="2"/>
    </font>
  </fonts>
  <fills count="46">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indexed="13"/>
        <bgColor indexed="64"/>
      </patternFill>
    </fill>
    <fill>
      <patternFill patternType="solid">
        <fgColor theme="6" tint="0.39997558519241921"/>
        <bgColor indexed="64"/>
      </patternFill>
    </fill>
    <fill>
      <patternFill patternType="solid">
        <fgColor rgb="FFFFFF00"/>
        <bgColor indexed="64"/>
      </patternFill>
    </fill>
    <fill>
      <patternFill patternType="solid">
        <fgColor theme="3"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indexed="41"/>
        <bgColor indexed="64"/>
      </patternFill>
    </fill>
    <fill>
      <patternFill patternType="solid">
        <fgColor theme="9" tint="0.39997558519241921"/>
        <bgColor indexed="64"/>
      </patternFill>
    </fill>
    <fill>
      <patternFill patternType="solid">
        <fgColor rgb="FFFFFF66"/>
        <bgColor indexed="64"/>
      </patternFill>
    </fill>
    <fill>
      <patternFill patternType="solid">
        <fgColor theme="7" tint="0.59999389629810485"/>
        <bgColor indexed="64"/>
      </patternFill>
    </fill>
    <fill>
      <patternFill patternType="solid">
        <fgColor indexed="27"/>
        <bgColor indexed="64"/>
      </patternFill>
    </fill>
    <fill>
      <patternFill patternType="solid">
        <fgColor indexed="45"/>
        <bgColor indexed="64"/>
      </patternFill>
    </fill>
    <fill>
      <patternFill patternType="solid">
        <fgColor indexed="3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1"/>
        <bgColor indexed="64"/>
      </patternFill>
    </fill>
    <fill>
      <patternFill patternType="solid">
        <fgColor rgb="FF00B0F0"/>
        <bgColor indexed="64"/>
      </patternFill>
    </fill>
    <fill>
      <patternFill patternType="solid">
        <fgColor rgb="FFFFC0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CCFFCC"/>
        <bgColor indexed="64"/>
      </patternFill>
    </fill>
  </fills>
  <borders count="9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top style="thin">
        <color indexed="64"/>
      </top>
      <bottom/>
      <diagonal/>
    </border>
    <border>
      <left style="medium">
        <color indexed="64"/>
      </left>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CCCCCC"/>
      </right>
      <top style="medium">
        <color rgb="FFCCCCCC"/>
      </top>
      <bottom style="medium">
        <color rgb="FF000000"/>
      </bottom>
      <diagonal/>
    </border>
  </borders>
  <cellStyleXfs count="46">
    <xf numFmtId="0" fontId="0" fillId="0" borderId="0"/>
    <xf numFmtId="0" fontId="17" fillId="0" borderId="0"/>
    <xf numFmtId="0" fontId="5" fillId="0" borderId="0"/>
    <xf numFmtId="9" fontId="36" fillId="0" borderId="0" applyFont="0" applyFill="0" applyBorder="0" applyAlignment="0" applyProtection="0"/>
    <xf numFmtId="0" fontId="45" fillId="0" borderId="0"/>
    <xf numFmtId="0" fontId="46" fillId="23" borderId="0" applyNumberFormat="0" applyBorder="0" applyAlignment="0" applyProtection="0"/>
    <xf numFmtId="0" fontId="46" fillId="24" borderId="0" applyNumberFormat="0" applyBorder="0" applyAlignment="0" applyProtection="0"/>
    <xf numFmtId="0" fontId="46" fillId="25" borderId="0" applyNumberFormat="0" applyBorder="0" applyAlignment="0" applyProtection="0"/>
    <xf numFmtId="0" fontId="46" fillId="26" borderId="0" applyNumberFormat="0" applyBorder="0" applyAlignment="0" applyProtection="0"/>
    <xf numFmtId="0" fontId="46" fillId="27" borderId="0" applyNumberFormat="0" applyBorder="0" applyAlignment="0" applyProtection="0"/>
    <xf numFmtId="0" fontId="46" fillId="28" borderId="0" applyNumberFormat="0" applyBorder="0" applyAlignment="0" applyProtection="0"/>
    <xf numFmtId="0" fontId="46" fillId="29" borderId="0" applyNumberFormat="0" applyBorder="0" applyAlignment="0" applyProtection="0"/>
    <xf numFmtId="0" fontId="46" fillId="30" borderId="0" applyNumberFormat="0" applyBorder="0" applyAlignment="0" applyProtection="0"/>
    <xf numFmtId="0" fontId="46" fillId="31" borderId="0" applyNumberFormat="0" applyBorder="0" applyAlignment="0" applyProtection="0"/>
    <xf numFmtId="0" fontId="46" fillId="26" borderId="0" applyNumberFormat="0" applyBorder="0" applyAlignment="0" applyProtection="0"/>
    <xf numFmtId="0" fontId="46" fillId="29" borderId="0" applyNumberFormat="0" applyBorder="0" applyAlignment="0" applyProtection="0"/>
    <xf numFmtId="0" fontId="46" fillId="32" borderId="0" applyNumberFormat="0" applyBorder="0" applyAlignment="0" applyProtection="0"/>
    <xf numFmtId="0" fontId="47" fillId="33" borderId="0" applyNumberFormat="0" applyBorder="0" applyAlignment="0" applyProtection="0"/>
    <xf numFmtId="0" fontId="47" fillId="30" borderId="0" applyNumberFormat="0" applyBorder="0" applyAlignment="0" applyProtection="0"/>
    <xf numFmtId="0" fontId="47" fillId="31" borderId="0" applyNumberFormat="0" applyBorder="0" applyAlignment="0" applyProtection="0"/>
    <xf numFmtId="0" fontId="47" fillId="34" borderId="0" applyNumberFormat="0" applyBorder="0" applyAlignment="0" applyProtection="0"/>
    <xf numFmtId="0" fontId="47" fillId="35" borderId="0" applyNumberFormat="0" applyBorder="0" applyAlignment="0" applyProtection="0"/>
    <xf numFmtId="0" fontId="47" fillId="36" borderId="0" applyNumberFormat="0" applyBorder="0" applyAlignment="0" applyProtection="0"/>
    <xf numFmtId="0" fontId="47" fillId="37" borderId="0" applyNumberFormat="0" applyBorder="0" applyAlignment="0" applyProtection="0"/>
    <xf numFmtId="0" fontId="47" fillId="38" borderId="0" applyNumberFormat="0" applyBorder="0" applyAlignment="0" applyProtection="0"/>
    <xf numFmtId="0" fontId="47" fillId="39" borderId="0" applyNumberFormat="0" applyBorder="0" applyAlignment="0" applyProtection="0"/>
    <xf numFmtId="0" fontId="47" fillId="34" borderId="0" applyNumberFormat="0" applyBorder="0" applyAlignment="0" applyProtection="0"/>
    <xf numFmtId="0" fontId="47" fillId="35" borderId="0" applyNumberFormat="0" applyBorder="0" applyAlignment="0" applyProtection="0"/>
    <xf numFmtId="0" fontId="47" fillId="40" borderId="0" applyNumberFormat="0" applyBorder="0" applyAlignment="0" applyProtection="0"/>
    <xf numFmtId="0" fontId="48" fillId="24" borderId="0" applyNumberFormat="0" applyBorder="0" applyAlignment="0" applyProtection="0"/>
    <xf numFmtId="0" fontId="49" fillId="41" borderId="84" applyNumberFormat="0" applyAlignment="0" applyProtection="0"/>
    <xf numFmtId="0" fontId="50" fillId="42" borderId="85" applyNumberFormat="0" applyAlignment="0" applyProtection="0"/>
    <xf numFmtId="0" fontId="51" fillId="0" borderId="0" applyNumberFormat="0" applyFill="0" applyBorder="0" applyAlignment="0" applyProtection="0"/>
    <xf numFmtId="0" fontId="52" fillId="25" borderId="0" applyNumberFormat="0" applyBorder="0" applyAlignment="0" applyProtection="0"/>
    <xf numFmtId="0" fontId="53" fillId="0" borderId="86" applyNumberFormat="0" applyFill="0" applyAlignment="0" applyProtection="0"/>
    <xf numFmtId="0" fontId="54" fillId="0" borderId="87" applyNumberFormat="0" applyFill="0" applyAlignment="0" applyProtection="0"/>
    <xf numFmtId="0" fontId="55" fillId="0" borderId="88" applyNumberFormat="0" applyFill="0" applyAlignment="0" applyProtection="0"/>
    <xf numFmtId="0" fontId="55" fillId="0" borderId="0" applyNumberFormat="0" applyFill="0" applyBorder="0" applyAlignment="0" applyProtection="0"/>
    <xf numFmtId="0" fontId="56" fillId="28" borderId="84" applyNumberFormat="0" applyAlignment="0" applyProtection="0"/>
    <xf numFmtId="0" fontId="57" fillId="0" borderId="89" applyNumberFormat="0" applyFill="0" applyAlignment="0" applyProtection="0"/>
    <xf numFmtId="0" fontId="58" fillId="43" borderId="0" applyNumberFormat="0" applyBorder="0" applyAlignment="0" applyProtection="0"/>
    <xf numFmtId="0" fontId="5" fillId="44" borderId="90" applyNumberFormat="0" applyFont="0" applyAlignment="0" applyProtection="0"/>
    <xf numFmtId="0" fontId="59" fillId="41" borderId="91" applyNumberFormat="0" applyAlignment="0" applyProtection="0"/>
    <xf numFmtId="0" fontId="60" fillId="0" borderId="0" applyNumberFormat="0" applyFill="0" applyBorder="0" applyAlignment="0" applyProtection="0"/>
    <xf numFmtId="0" fontId="61" fillId="0" borderId="92" applyNumberFormat="0" applyFill="0" applyAlignment="0" applyProtection="0"/>
    <xf numFmtId="0" fontId="62" fillId="0" borderId="0" applyNumberFormat="0" applyFill="0" applyBorder="0" applyAlignment="0" applyProtection="0"/>
  </cellStyleXfs>
  <cellXfs count="1455">
    <xf numFmtId="0" fontId="0" fillId="0" borderId="0" xfId="0"/>
    <xf numFmtId="0" fontId="2" fillId="2" borderId="1" xfId="0" applyFont="1" applyFill="1" applyBorder="1"/>
    <xf numFmtId="0" fontId="0" fillId="2" borderId="2" xfId="0" applyFill="1" applyBorder="1"/>
    <xf numFmtId="0" fontId="0" fillId="2" borderId="3" xfId="0" applyFill="1" applyBorder="1"/>
    <xf numFmtId="0" fontId="0" fillId="0" borderId="4" xfId="0" applyBorder="1"/>
    <xf numFmtId="0" fontId="3" fillId="0" borderId="5" xfId="0" applyFont="1" applyBorder="1" applyAlignment="1">
      <alignment horizontal="center"/>
    </xf>
    <xf numFmtId="0" fontId="4" fillId="0" borderId="5" xfId="0" applyFont="1" applyBorder="1" applyAlignment="1">
      <alignment horizontal="left" indent="1"/>
    </xf>
    <xf numFmtId="0" fontId="4" fillId="0" borderId="4" xfId="0" applyFont="1" applyBorder="1" applyAlignment="1">
      <alignment horizontal="left" indent="1"/>
    </xf>
    <xf numFmtId="0" fontId="4" fillId="0" borderId="6" xfId="0" applyFont="1" applyBorder="1" applyAlignment="1">
      <alignment horizontal="left" indent="1"/>
    </xf>
    <xf numFmtId="0" fontId="3" fillId="0" borderId="7" xfId="0" applyFont="1" applyBorder="1" applyAlignment="1">
      <alignment horizontal="center"/>
    </xf>
    <xf numFmtId="0" fontId="0" fillId="0" borderId="8" xfId="0" applyBorder="1"/>
    <xf numFmtId="0" fontId="3" fillId="0" borderId="9" xfId="0" applyFont="1" applyBorder="1" applyAlignment="1">
      <alignment horizontal="center"/>
    </xf>
    <xf numFmtId="0" fontId="3" fillId="0" borderId="9" xfId="0" applyFont="1" applyBorder="1" applyAlignment="1">
      <alignment horizontal="left" indent="1"/>
    </xf>
    <xf numFmtId="0" fontId="3" fillId="0" borderId="8" xfId="0" applyFont="1" applyBorder="1" applyAlignment="1">
      <alignment horizontal="left" indent="1"/>
    </xf>
    <xf numFmtId="0" fontId="3" fillId="0" borderId="10" xfId="0" applyFont="1" applyBorder="1" applyAlignment="1">
      <alignment horizontal="left" indent="1"/>
    </xf>
    <xf numFmtId="0" fontId="3" fillId="0" borderId="11" xfId="0" applyFont="1" applyBorder="1" applyAlignment="1">
      <alignment horizontal="center"/>
    </xf>
    <xf numFmtId="0" fontId="0" fillId="0" borderId="12" xfId="0" applyBorder="1" applyAlignment="1">
      <alignment horizontal="center"/>
    </xf>
    <xf numFmtId="0" fontId="0" fillId="3" borderId="13" xfId="0" applyFill="1" applyBorder="1" applyAlignment="1" applyProtection="1">
      <alignment horizontal="center"/>
      <protection locked="0"/>
    </xf>
    <xf numFmtId="0" fontId="0" fillId="3" borderId="13" xfId="0" applyFill="1" applyBorder="1" applyAlignment="1" applyProtection="1">
      <alignment horizontal="left" indent="1"/>
      <protection locked="0"/>
    </xf>
    <xf numFmtId="0" fontId="0" fillId="3" borderId="12" xfId="0" applyFill="1" applyBorder="1" applyAlignment="1" applyProtection="1">
      <alignment horizontal="left" indent="1"/>
      <protection locked="0"/>
    </xf>
    <xf numFmtId="0" fontId="0" fillId="3" borderId="0" xfId="0" applyFill="1" applyAlignment="1" applyProtection="1">
      <alignment horizontal="left" indent="1"/>
      <protection locked="0"/>
    </xf>
    <xf numFmtId="0" fontId="5" fillId="3" borderId="14" xfId="0" applyFont="1" applyFill="1" applyBorder="1" applyAlignment="1" applyProtection="1">
      <alignment horizontal="center"/>
      <protection locked="0"/>
    </xf>
    <xf numFmtId="0" fontId="5" fillId="3" borderId="13" xfId="0" applyFont="1" applyFill="1" applyBorder="1" applyAlignment="1" applyProtection="1">
      <alignment horizontal="left" indent="1"/>
      <protection locked="0"/>
    </xf>
    <xf numFmtId="0" fontId="5" fillId="3" borderId="13" xfId="0" applyFont="1" applyFill="1" applyBorder="1" applyAlignment="1" applyProtection="1">
      <alignment horizontal="center"/>
      <protection locked="0"/>
    </xf>
    <xf numFmtId="0" fontId="0" fillId="3" borderId="14" xfId="0" applyFill="1" applyBorder="1" applyAlignment="1" applyProtection="1">
      <alignment horizontal="center"/>
      <protection locked="0"/>
    </xf>
    <xf numFmtId="0" fontId="0" fillId="0" borderId="15" xfId="0" applyBorder="1" applyAlignment="1">
      <alignment horizontal="center"/>
    </xf>
    <xf numFmtId="0" fontId="5" fillId="3" borderId="16" xfId="0" quotePrefix="1" applyFont="1" applyFill="1" applyBorder="1" applyAlignment="1" applyProtection="1">
      <alignment horizontal="center"/>
      <protection locked="0"/>
    </xf>
    <xf numFmtId="0" fontId="0" fillId="3" borderId="15" xfId="0" applyFill="1" applyBorder="1" applyAlignment="1" applyProtection="1">
      <alignment horizontal="left" indent="1"/>
      <protection locked="0"/>
    </xf>
    <xf numFmtId="0" fontId="0" fillId="3" borderId="17" xfId="0" applyFill="1" applyBorder="1" applyAlignment="1" applyProtection="1">
      <alignment horizontal="left" indent="1"/>
      <protection locked="0"/>
    </xf>
    <xf numFmtId="0" fontId="0" fillId="3" borderId="18" xfId="0" applyFill="1" applyBorder="1" applyAlignment="1" applyProtection="1">
      <alignment horizontal="left" indent="1"/>
      <protection locked="0"/>
    </xf>
    <xf numFmtId="0" fontId="0" fillId="3" borderId="18" xfId="0" applyFill="1" applyBorder="1" applyAlignment="1" applyProtection="1">
      <alignment horizontal="center"/>
      <protection locked="0"/>
    </xf>
    <xf numFmtId="0" fontId="5" fillId="3" borderId="18" xfId="0" applyFont="1" applyFill="1" applyBorder="1" applyAlignment="1" applyProtection="1">
      <alignment horizontal="center"/>
      <protection locked="0"/>
    </xf>
    <xf numFmtId="0" fontId="0" fillId="0" borderId="0" xfId="0" applyAlignment="1">
      <alignment horizontal="center"/>
    </xf>
    <xf numFmtId="0" fontId="3" fillId="0" borderId="1" xfId="0" applyFont="1" applyBorder="1" applyAlignment="1">
      <alignment horizontal="center"/>
    </xf>
    <xf numFmtId="0" fontId="3" fillId="0" borderId="19"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3" fillId="0" borderId="22" xfId="0" applyFont="1" applyBorder="1" applyAlignment="1">
      <alignment horizontal="center"/>
    </xf>
    <xf numFmtId="0" fontId="3" fillId="3" borderId="12" xfId="0" applyFont="1" applyFill="1" applyBorder="1" applyAlignment="1" applyProtection="1">
      <alignment horizontal="left"/>
      <protection locked="0"/>
    </xf>
    <xf numFmtId="0" fontId="3" fillId="3" borderId="0" xfId="0" applyFont="1" applyFill="1" applyAlignment="1" applyProtection="1">
      <alignment horizontal="left" indent="1"/>
      <protection locked="0"/>
    </xf>
    <xf numFmtId="0" fontId="3" fillId="3" borderId="13" xfId="0" applyFont="1" applyFill="1" applyBorder="1" applyAlignment="1" applyProtection="1">
      <alignment horizontal="left" indent="1"/>
      <protection locked="0"/>
    </xf>
    <xf numFmtId="0" fontId="3" fillId="3" borderId="14" xfId="0" applyFont="1" applyFill="1" applyBorder="1" applyAlignment="1" applyProtection="1">
      <alignment horizontal="left"/>
      <protection locked="0"/>
    </xf>
    <xf numFmtId="0" fontId="3" fillId="3" borderId="12" xfId="0" applyFont="1" applyFill="1" applyBorder="1" applyAlignment="1" applyProtection="1">
      <alignment horizontal="left" indent="1"/>
      <protection locked="0"/>
    </xf>
    <xf numFmtId="0" fontId="3" fillId="3" borderId="15" xfId="0" applyFont="1" applyFill="1" applyBorder="1" applyAlignment="1" applyProtection="1">
      <alignment horizontal="left"/>
      <protection locked="0"/>
    </xf>
    <xf numFmtId="0" fontId="3" fillId="3" borderId="15" xfId="0" applyFont="1" applyFill="1" applyBorder="1" applyAlignment="1" applyProtection="1">
      <alignment horizontal="left" indent="1"/>
      <protection locked="0"/>
    </xf>
    <xf numFmtId="0" fontId="3" fillId="3" borderId="17" xfId="0" applyFont="1" applyFill="1" applyBorder="1" applyAlignment="1" applyProtection="1">
      <alignment horizontal="left" indent="1"/>
      <protection locked="0"/>
    </xf>
    <xf numFmtId="0" fontId="3" fillId="3" borderId="16" xfId="0" applyFont="1" applyFill="1" applyBorder="1" applyAlignment="1" applyProtection="1">
      <alignment horizontal="left" indent="1"/>
      <protection locked="0"/>
    </xf>
    <xf numFmtId="0" fontId="3" fillId="3" borderId="18" xfId="0" applyFont="1" applyFill="1" applyBorder="1" applyAlignment="1" applyProtection="1">
      <alignment horizontal="left"/>
      <protection locked="0"/>
    </xf>
    <xf numFmtId="0" fontId="0" fillId="0" borderId="6" xfId="0" applyBorder="1"/>
    <xf numFmtId="0" fontId="0" fillId="0" borderId="6" xfId="0" applyBorder="1" applyAlignment="1">
      <alignment horizontal="center"/>
    </xf>
    <xf numFmtId="0" fontId="0" fillId="0" borderId="5" xfId="0" applyBorder="1"/>
    <xf numFmtId="0" fontId="0" fillId="0" borderId="12" xfId="0" applyBorder="1"/>
    <xf numFmtId="0" fontId="2" fillId="0" borderId="0" xfId="0" applyFont="1"/>
    <xf numFmtId="0" fontId="0" fillId="0" borderId="13" xfId="0" applyBorder="1"/>
    <xf numFmtId="0" fontId="3" fillId="0" borderId="12" xfId="0" applyFont="1" applyBorder="1"/>
    <xf numFmtId="0" fontId="3" fillId="0" borderId="0" xfId="0" applyFont="1"/>
    <xf numFmtId="0" fontId="3" fillId="0" borderId="0" xfId="0" applyFont="1" applyAlignment="1">
      <alignment horizontal="center"/>
    </xf>
    <xf numFmtId="0" fontId="3" fillId="3" borderId="0" xfId="0" applyFont="1" applyFill="1" applyProtection="1">
      <protection locked="0"/>
    </xf>
    <xf numFmtId="0" fontId="3" fillId="3" borderId="0" xfId="0" applyFont="1" applyFill="1"/>
    <xf numFmtId="0" fontId="3" fillId="0" borderId="13" xfId="0" applyFont="1" applyBorder="1"/>
    <xf numFmtId="0" fontId="3" fillId="3" borderId="0" xfId="0" applyFont="1" applyFill="1" applyAlignment="1" applyProtection="1">
      <alignment horizontal="center"/>
      <protection locked="0"/>
    </xf>
    <xf numFmtId="0" fontId="3" fillId="2" borderId="1" xfId="0" applyFont="1" applyFill="1" applyBorder="1" applyAlignment="1">
      <alignment horizontal="center"/>
    </xf>
    <xf numFmtId="0" fontId="3" fillId="0" borderId="4" xfId="0" applyFont="1" applyBorder="1" applyAlignment="1">
      <alignment horizontal="left" vertical="center" indent="1"/>
    </xf>
    <xf numFmtId="0" fontId="3" fillId="0" borderId="5" xfId="0" applyFont="1" applyBorder="1" applyAlignment="1">
      <alignment vertical="center"/>
    </xf>
    <xf numFmtId="0" fontId="3" fillId="0" borderId="4" xfId="0" applyFont="1" applyBorder="1" applyAlignment="1">
      <alignment horizontal="left" indent="1"/>
    </xf>
    <xf numFmtId="0" fontId="3" fillId="0" borderId="5" xfId="0" applyFont="1" applyBorder="1" applyAlignment="1">
      <alignment horizontal="left"/>
    </xf>
    <xf numFmtId="0" fontId="3" fillId="0" borderId="6" xfId="0" applyFont="1" applyBorder="1" applyAlignment="1" applyProtection="1">
      <alignment horizontal="left"/>
      <protection locked="0"/>
    </xf>
    <xf numFmtId="0" fontId="3" fillId="0" borderId="5" xfId="0" applyFont="1" applyBorder="1" applyAlignment="1" applyProtection="1">
      <alignment horizontal="left" indent="1"/>
      <protection locked="0"/>
    </xf>
    <xf numFmtId="0" fontId="3" fillId="0" borderId="14" xfId="0" applyFont="1" applyBorder="1" applyAlignment="1">
      <alignment horizontal="center"/>
    </xf>
    <xf numFmtId="0" fontId="3" fillId="0" borderId="12" xfId="0" applyFont="1" applyBorder="1" applyAlignment="1">
      <alignment horizontal="left" vertical="center" indent="1"/>
    </xf>
    <xf numFmtId="0" fontId="3" fillId="0" borderId="13" xfId="0" applyFont="1" applyBorder="1" applyAlignment="1">
      <alignment vertical="center"/>
    </xf>
    <xf numFmtId="0" fontId="3" fillId="0" borderId="12" xfId="0" applyFont="1" applyBorder="1" applyAlignment="1">
      <alignment horizontal="left" indent="1"/>
    </xf>
    <xf numFmtId="0" fontId="3" fillId="0" borderId="13" xfId="0" applyFont="1" applyBorder="1" applyAlignment="1">
      <alignment horizontal="left"/>
    </xf>
    <xf numFmtId="0" fontId="3" fillId="0" borderId="0" xfId="0" applyFont="1" applyAlignment="1" applyProtection="1">
      <alignment horizontal="left"/>
      <protection locked="0"/>
    </xf>
    <xf numFmtId="0" fontId="3" fillId="0" borderId="13" xfId="0" applyFont="1" applyBorder="1" applyAlignment="1" applyProtection="1">
      <alignment horizontal="left" indent="1"/>
      <protection locked="0"/>
    </xf>
    <xf numFmtId="0" fontId="3" fillId="0" borderId="18" xfId="0" applyFont="1" applyBorder="1" applyAlignment="1">
      <alignment horizontal="center"/>
    </xf>
    <xf numFmtId="0" fontId="3" fillId="0" borderId="15" xfId="0" applyFont="1" applyBorder="1" applyAlignment="1">
      <alignment horizontal="left" vertical="center" indent="1"/>
    </xf>
    <xf numFmtId="0" fontId="3" fillId="0" borderId="16" xfId="0" applyFont="1" applyBorder="1" applyAlignment="1">
      <alignment vertical="center"/>
    </xf>
    <xf numFmtId="0" fontId="3" fillId="0" borderId="15" xfId="0" applyFont="1" applyBorder="1" applyAlignment="1">
      <alignment horizontal="left" indent="1"/>
    </xf>
    <xf numFmtId="0" fontId="3" fillId="0" borderId="16" xfId="0" applyFont="1" applyBorder="1" applyAlignment="1">
      <alignment horizontal="left"/>
    </xf>
    <xf numFmtId="0" fontId="3" fillId="0" borderId="17" xfId="0" applyFont="1" applyBorder="1" applyAlignment="1" applyProtection="1">
      <alignment horizontal="left"/>
      <protection locked="0"/>
    </xf>
    <xf numFmtId="0" fontId="3" fillId="0" borderId="16" xfId="0" applyFont="1" applyBorder="1" applyAlignment="1" applyProtection="1">
      <alignment horizontal="left" indent="1"/>
      <protection locked="0"/>
    </xf>
    <xf numFmtId="0" fontId="3" fillId="0" borderId="12" xfId="0" applyFont="1" applyBorder="1" applyAlignment="1">
      <alignment horizontal="center"/>
    </xf>
    <xf numFmtId="0" fontId="3" fillId="0" borderId="0" xfId="0" applyFont="1" applyAlignment="1" applyProtection="1">
      <alignment horizontal="left" indent="1"/>
      <protection locked="0"/>
    </xf>
    <xf numFmtId="0" fontId="6" fillId="0" borderId="0" xfId="0" applyFont="1" applyAlignment="1">
      <alignment horizontal="left"/>
    </xf>
    <xf numFmtId="0" fontId="3" fillId="0" borderId="0" xfId="0" applyFont="1" applyAlignment="1">
      <alignment horizontal="left"/>
    </xf>
    <xf numFmtId="0" fontId="3" fillId="0" borderId="13" xfId="0" applyFont="1" applyBorder="1" applyAlignment="1">
      <alignment horizontal="left" indent="1"/>
    </xf>
    <xf numFmtId="0" fontId="3" fillId="0" borderId="4" xfId="0" applyFont="1" applyBorder="1"/>
    <xf numFmtId="0" fontId="7" fillId="0" borderId="6" xfId="0" applyFont="1" applyBorder="1"/>
    <xf numFmtId="0" fontId="3" fillId="0" borderId="6" xfId="0" applyFont="1" applyBorder="1"/>
    <xf numFmtId="0" fontId="3" fillId="0" borderId="5" xfId="0" applyFont="1" applyBorder="1"/>
    <xf numFmtId="0" fontId="3" fillId="3" borderId="26" xfId="0" applyFont="1" applyFill="1" applyBorder="1" applyAlignment="1" applyProtection="1">
      <alignment horizontal="center"/>
      <protection locked="0"/>
    </xf>
    <xf numFmtId="0" fontId="3" fillId="2" borderId="1" xfId="0" applyFont="1" applyFill="1" applyBorder="1" applyAlignment="1">
      <alignment horizontal="left" indent="1"/>
    </xf>
    <xf numFmtId="0" fontId="3" fillId="2" borderId="3" xfId="0" applyFont="1" applyFill="1" applyBorder="1"/>
    <xf numFmtId="0" fontId="3" fillId="2" borderId="2" xfId="0" applyFont="1" applyFill="1" applyBorder="1"/>
    <xf numFmtId="0" fontId="3" fillId="4" borderId="7" xfId="0" applyFont="1" applyFill="1" applyBorder="1" applyAlignment="1">
      <alignment horizontal="center"/>
    </xf>
    <xf numFmtId="0" fontId="3" fillId="4" borderId="4" xfId="0" applyFont="1" applyFill="1" applyBorder="1" applyAlignment="1">
      <alignment horizontal="center"/>
    </xf>
    <xf numFmtId="0" fontId="3" fillId="4" borderId="7" xfId="0" applyFont="1" applyFill="1" applyBorder="1" applyAlignment="1">
      <alignment horizontal="left" indent="1"/>
    </xf>
    <xf numFmtId="0" fontId="3" fillId="4" borderId="6" xfId="0" applyFont="1" applyFill="1" applyBorder="1" applyAlignment="1">
      <alignment horizontal="left" indent="1"/>
    </xf>
    <xf numFmtId="0" fontId="3" fillId="4" borderId="5" xfId="0" applyFont="1" applyFill="1" applyBorder="1"/>
    <xf numFmtId="0" fontId="3" fillId="4" borderId="5" xfId="0" applyFont="1" applyFill="1" applyBorder="1" applyAlignment="1">
      <alignment horizontal="center"/>
    </xf>
    <xf numFmtId="0" fontId="3" fillId="4" borderId="18" xfId="0" applyFont="1" applyFill="1" applyBorder="1"/>
    <xf numFmtId="0" fontId="3" fillId="4" borderId="15" xfId="0" applyFont="1" applyFill="1" applyBorder="1" applyAlignment="1">
      <alignment horizontal="center"/>
    </xf>
    <xf numFmtId="0" fontId="3" fillId="4" borderId="18" xfId="0" applyFont="1" applyFill="1" applyBorder="1" applyAlignment="1">
      <alignment horizontal="left" indent="1"/>
    </xf>
    <xf numFmtId="0" fontId="3" fillId="4" borderId="17" xfId="0" applyFont="1" applyFill="1" applyBorder="1"/>
    <xf numFmtId="0" fontId="3" fillId="4" borderId="16" xfId="0" applyFont="1" applyFill="1" applyBorder="1"/>
    <xf numFmtId="0" fontId="3" fillId="4" borderId="18" xfId="0" applyFont="1" applyFill="1" applyBorder="1" applyAlignment="1">
      <alignment horizontal="center"/>
    </xf>
    <xf numFmtId="0" fontId="3" fillId="4" borderId="16" xfId="0" applyFont="1" applyFill="1" applyBorder="1" applyAlignment="1">
      <alignment horizontal="center"/>
    </xf>
    <xf numFmtId="0" fontId="5" fillId="0" borderId="12" xfId="0" applyFont="1" applyBorder="1"/>
    <xf numFmtId="0" fontId="3" fillId="0" borderId="14" xfId="0" applyFont="1" applyBorder="1" applyAlignment="1">
      <alignment horizontal="left" indent="1"/>
    </xf>
    <xf numFmtId="0" fontId="3" fillId="0" borderId="7" xfId="0" applyFont="1" applyBorder="1" applyAlignment="1">
      <alignment horizontal="left" indent="1"/>
    </xf>
    <xf numFmtId="0" fontId="3" fillId="0" borderId="15" xfId="0" applyFont="1" applyBorder="1" applyAlignment="1">
      <alignment horizontal="center"/>
    </xf>
    <xf numFmtId="0" fontId="3" fillId="0" borderId="18" xfId="0" applyFont="1" applyBorder="1" applyAlignment="1">
      <alignment horizontal="left" indent="1"/>
    </xf>
    <xf numFmtId="0" fontId="3" fillId="0" borderId="17" xfId="0" applyFont="1" applyBorder="1" applyAlignment="1">
      <alignment horizontal="center"/>
    </xf>
    <xf numFmtId="0" fontId="0" fillId="0" borderId="15" xfId="0" applyBorder="1"/>
    <xf numFmtId="0" fontId="0" fillId="0" borderId="17" xfId="0" applyBorder="1"/>
    <xf numFmtId="0" fontId="0" fillId="0" borderId="17" xfId="0" applyBorder="1" applyAlignment="1">
      <alignment horizontal="center"/>
    </xf>
    <xf numFmtId="0" fontId="0" fillId="0" borderId="16" xfId="0" applyBorder="1"/>
    <xf numFmtId="0" fontId="0" fillId="0" borderId="0" xfId="0" applyAlignment="1">
      <alignment horizontal="left" indent="1"/>
    </xf>
    <xf numFmtId="0" fontId="8" fillId="0" borderId="0" xfId="0" applyFont="1" applyAlignment="1">
      <alignment horizontal="left" indent="1"/>
    </xf>
    <xf numFmtId="0" fontId="8" fillId="0" borderId="0" xfId="0" applyFont="1" applyAlignment="1">
      <alignment horizontal="center"/>
    </xf>
    <xf numFmtId="0" fontId="7" fillId="0" borderId="0" xfId="0" applyFont="1" applyAlignment="1">
      <alignment horizontal="left"/>
    </xf>
    <xf numFmtId="0" fontId="7" fillId="0" borderId="0" xfId="0" applyFont="1" applyAlignment="1">
      <alignment horizontal="center"/>
    </xf>
    <xf numFmtId="0" fontId="9" fillId="4" borderId="4" xfId="0" applyFont="1" applyFill="1" applyBorder="1" applyAlignment="1">
      <alignment horizontal="center"/>
    </xf>
    <xf numFmtId="0" fontId="9" fillId="4" borderId="6" xfId="0" applyFont="1" applyFill="1" applyBorder="1" applyAlignment="1">
      <alignment horizontal="center"/>
    </xf>
    <xf numFmtId="0" fontId="10" fillId="4" borderId="6" xfId="0" applyFont="1" applyFill="1" applyBorder="1" applyAlignment="1">
      <alignment horizontal="left" indent="1"/>
    </xf>
    <xf numFmtId="0" fontId="10" fillId="4" borderId="6" xfId="0" applyFont="1" applyFill="1" applyBorder="1" applyAlignment="1">
      <alignment horizontal="left" indent="2"/>
    </xf>
    <xf numFmtId="0" fontId="9" fillId="4" borderId="5" xfId="0" applyFont="1" applyFill="1" applyBorder="1" applyAlignment="1">
      <alignment horizontal="center"/>
    </xf>
    <xf numFmtId="0" fontId="10" fillId="4" borderId="6" xfId="0" applyFont="1" applyFill="1" applyBorder="1"/>
    <xf numFmtId="0" fontId="10" fillId="4" borderId="5" xfId="0" applyFont="1" applyFill="1" applyBorder="1" applyAlignment="1">
      <alignment horizontal="left" indent="1"/>
    </xf>
    <xf numFmtId="0" fontId="10" fillId="4" borderId="5" xfId="0" applyFont="1" applyFill="1" applyBorder="1" applyAlignment="1">
      <alignment horizontal="left" indent="2"/>
    </xf>
    <xf numFmtId="0" fontId="11" fillId="4" borderId="15" xfId="0" applyFont="1" applyFill="1" applyBorder="1" applyAlignment="1">
      <alignment horizontal="center" vertical="top" wrapText="1"/>
    </xf>
    <xf numFmtId="0" fontId="11" fillId="4" borderId="17" xfId="0" applyFont="1" applyFill="1" applyBorder="1" applyAlignment="1">
      <alignment horizontal="left" vertical="top" wrapText="1" indent="1"/>
    </xf>
    <xf numFmtId="0" fontId="11" fillId="4" borderId="17" xfId="0" applyFont="1" applyFill="1" applyBorder="1" applyAlignment="1">
      <alignment horizontal="center" vertical="top" wrapText="1"/>
    </xf>
    <xf numFmtId="0" fontId="11" fillId="4" borderId="16" xfId="0" applyFont="1" applyFill="1" applyBorder="1" applyAlignment="1">
      <alignment horizontal="center" vertical="top" wrapText="1"/>
    </xf>
    <xf numFmtId="0" fontId="11" fillId="4" borderId="17" xfId="0" applyFont="1" applyFill="1" applyBorder="1" applyAlignment="1">
      <alignment horizontal="left" vertical="top" wrapText="1" indent="2"/>
    </xf>
    <xf numFmtId="0" fontId="11" fillId="4" borderId="16" xfId="0" applyFont="1" applyFill="1" applyBorder="1" applyAlignment="1">
      <alignment horizontal="left" vertical="top" wrapText="1" indent="1"/>
    </xf>
    <xf numFmtId="0" fontId="0" fillId="0" borderId="6" xfId="0" applyBorder="1" applyAlignment="1">
      <alignment horizontal="left" indent="1"/>
    </xf>
    <xf numFmtId="0" fontId="0" fillId="0" borderId="5" xfId="0" applyBorder="1" applyAlignment="1">
      <alignment horizontal="center"/>
    </xf>
    <xf numFmtId="0" fontId="0" fillId="0" borderId="13" xfId="0" applyBorder="1" applyAlignment="1">
      <alignment horizontal="left" indent="1"/>
    </xf>
    <xf numFmtId="0" fontId="12" fillId="0" borderId="0" xfId="0" applyFont="1"/>
    <xf numFmtId="2" fontId="13" fillId="4" borderId="1" xfId="0" applyNumberFormat="1" applyFont="1" applyFill="1" applyBorder="1" applyAlignment="1">
      <alignment horizontal="left" indent="1"/>
    </xf>
    <xf numFmtId="0" fontId="12" fillId="4" borderId="3" xfId="0" applyFont="1" applyFill="1" applyBorder="1"/>
    <xf numFmtId="0" fontId="12" fillId="0" borderId="0" xfId="0" applyFont="1" applyAlignment="1">
      <alignment horizontal="left" indent="1"/>
    </xf>
    <xf numFmtId="0" fontId="12" fillId="0" borderId="13" xfId="0" applyFont="1" applyBorder="1" applyAlignment="1">
      <alignment horizontal="center"/>
    </xf>
    <xf numFmtId="0" fontId="12" fillId="0" borderId="13" xfId="0" applyFont="1" applyBorder="1"/>
    <xf numFmtId="0" fontId="0" fillId="0" borderId="13" xfId="0" applyBorder="1" applyAlignment="1">
      <alignment horizontal="center"/>
    </xf>
    <xf numFmtId="0" fontId="12" fillId="0" borderId="12" xfId="0" applyFont="1" applyBorder="1" applyAlignment="1">
      <alignment horizontal="center"/>
    </xf>
    <xf numFmtId="0" fontId="12" fillId="0" borderId="0" xfId="0" applyFont="1" applyAlignment="1">
      <alignment horizontal="center"/>
    </xf>
    <xf numFmtId="0" fontId="12" fillId="0" borderId="13" xfId="0" applyFont="1" applyBorder="1" applyAlignment="1">
      <alignment horizontal="left" indent="1"/>
    </xf>
    <xf numFmtId="0" fontId="10" fillId="0" borderId="27" xfId="0" applyFont="1" applyBorder="1" applyAlignment="1" applyProtection="1">
      <alignment horizontal="center"/>
      <protection locked="0"/>
    </xf>
    <xf numFmtId="2" fontId="10" fillId="0" borderId="28" xfId="0" applyNumberFormat="1" applyFont="1" applyBorder="1" applyAlignment="1" applyProtection="1">
      <alignment horizontal="center"/>
      <protection locked="0"/>
    </xf>
    <xf numFmtId="0" fontId="10" fillId="0" borderId="28" xfId="0" applyFont="1" applyBorder="1" applyAlignment="1" applyProtection="1">
      <alignment horizontal="left" indent="1"/>
      <protection locked="0"/>
    </xf>
    <xf numFmtId="0" fontId="10" fillId="0" borderId="29" xfId="0" quotePrefix="1" applyFont="1" applyBorder="1" applyAlignment="1" applyProtection="1">
      <alignment horizontal="center"/>
      <protection locked="0"/>
    </xf>
    <xf numFmtId="0" fontId="10" fillId="0" borderId="0" xfId="0" quotePrefix="1" applyFont="1" applyAlignment="1" applyProtection="1">
      <alignment horizontal="center"/>
      <protection locked="0"/>
    </xf>
    <xf numFmtId="0" fontId="10" fillId="0" borderId="29" xfId="0" quotePrefix="1" applyFont="1" applyBorder="1" applyAlignment="1" applyProtection="1">
      <alignment horizontal="left" indent="1"/>
      <protection locked="0"/>
    </xf>
    <xf numFmtId="0" fontId="10" fillId="0" borderId="27" xfId="0" applyFont="1" applyBorder="1" applyAlignment="1">
      <alignment horizontal="center"/>
    </xf>
    <xf numFmtId="0" fontId="10" fillId="0" borderId="28" xfId="0" applyFont="1" applyBorder="1" applyAlignment="1">
      <alignment horizontal="center"/>
    </xf>
    <xf numFmtId="0" fontId="14" fillId="0" borderId="28" xfId="0" applyFont="1" applyBorder="1" applyAlignment="1">
      <alignment horizontal="left" indent="1"/>
    </xf>
    <xf numFmtId="0" fontId="10" fillId="0" borderId="28" xfId="0" applyFont="1" applyBorder="1"/>
    <xf numFmtId="0" fontId="14" fillId="0" borderId="29" xfId="0" applyFont="1" applyBorder="1" applyAlignment="1">
      <alignment horizontal="left" indent="1"/>
    </xf>
    <xf numFmtId="2" fontId="10" fillId="0" borderId="28" xfId="0" applyNumberFormat="1" applyFont="1" applyBorder="1" applyAlignment="1">
      <alignment horizontal="center"/>
    </xf>
    <xf numFmtId="2" fontId="10" fillId="0" borderId="28" xfId="0" applyNumberFormat="1" applyFont="1" applyBorder="1" applyAlignment="1">
      <alignment horizontal="left" indent="1"/>
    </xf>
    <xf numFmtId="2" fontId="10" fillId="0" borderId="29" xfId="0" applyNumberFormat="1" applyFont="1" applyBorder="1" applyAlignment="1">
      <alignment horizontal="left" indent="1"/>
    </xf>
    <xf numFmtId="0" fontId="10" fillId="0" borderId="29" xfId="0" applyFont="1" applyBorder="1" applyAlignment="1" applyProtection="1">
      <alignment horizontal="left" indent="1"/>
      <protection locked="0"/>
    </xf>
    <xf numFmtId="0" fontId="10" fillId="0" borderId="28" xfId="0" applyFont="1" applyBorder="1" applyAlignment="1">
      <alignment horizontal="left" indent="1"/>
    </xf>
    <xf numFmtId="0" fontId="10" fillId="0" borderId="28" xfId="0" applyFont="1" applyBorder="1" applyAlignment="1" applyProtection="1">
      <alignment horizontal="center"/>
      <protection locked="0"/>
    </xf>
    <xf numFmtId="0" fontId="10" fillId="0" borderId="29" xfId="0" applyFont="1" applyBorder="1" applyAlignment="1">
      <alignment horizontal="left" indent="1"/>
    </xf>
    <xf numFmtId="0" fontId="10" fillId="0" borderId="0" xfId="0" applyFont="1" applyAlignment="1" applyProtection="1">
      <alignment horizontal="center"/>
      <protection locked="0"/>
    </xf>
    <xf numFmtId="0" fontId="10" fillId="0" borderId="8" xfId="0" applyFont="1" applyBorder="1" applyAlignment="1" applyProtection="1">
      <alignment horizontal="center"/>
      <protection locked="0"/>
    </xf>
    <xf numFmtId="2" fontId="10" fillId="0" borderId="0" xfId="0" applyNumberFormat="1" applyFont="1" applyAlignment="1" applyProtection="1">
      <alignment horizontal="center"/>
      <protection locked="0"/>
    </xf>
    <xf numFmtId="0" fontId="10" fillId="0" borderId="30" xfId="0" applyFont="1" applyBorder="1" applyAlignment="1" applyProtection="1">
      <alignment horizontal="center"/>
      <protection locked="0"/>
    </xf>
    <xf numFmtId="2" fontId="10" fillId="0" borderId="31" xfId="0" applyNumberFormat="1" applyFont="1" applyBorder="1" applyAlignment="1" applyProtection="1">
      <alignment horizontal="center"/>
      <protection locked="0"/>
    </xf>
    <xf numFmtId="0" fontId="10" fillId="0" borderId="31" xfId="0" applyFont="1" applyBorder="1" applyAlignment="1" applyProtection="1">
      <alignment horizontal="left" indent="1"/>
      <protection locked="0"/>
    </xf>
    <xf numFmtId="0" fontId="9" fillId="6" borderId="1" xfId="0" applyFont="1" applyFill="1" applyBorder="1" applyAlignment="1" applyProtection="1">
      <alignment horizontal="center"/>
      <protection locked="0"/>
    </xf>
    <xf numFmtId="2" fontId="9" fillId="6" borderId="2" xfId="0" applyNumberFormat="1" applyFont="1" applyFill="1" applyBorder="1" applyAlignment="1" applyProtection="1">
      <alignment horizontal="center"/>
      <protection locked="0"/>
    </xf>
    <xf numFmtId="0" fontId="9" fillId="6" borderId="3" xfId="0" applyFont="1" applyFill="1" applyBorder="1" applyAlignment="1" applyProtection="1">
      <alignment horizontal="left" indent="1"/>
      <protection locked="0"/>
    </xf>
    <xf numFmtId="0" fontId="10" fillId="0" borderId="0" xfId="0" applyFont="1" applyAlignment="1" applyProtection="1">
      <alignment horizontal="left" indent="1"/>
      <protection locked="0"/>
    </xf>
    <xf numFmtId="0" fontId="10" fillId="0" borderId="32" xfId="0" applyFont="1" applyBorder="1" applyAlignment="1" applyProtection="1">
      <alignment horizontal="center"/>
      <protection locked="0"/>
    </xf>
    <xf numFmtId="2" fontId="10" fillId="0" borderId="33" xfId="0" applyNumberFormat="1" applyFont="1" applyBorder="1" applyAlignment="1" applyProtection="1">
      <alignment horizontal="center"/>
      <protection locked="0"/>
    </xf>
    <xf numFmtId="0" fontId="10" fillId="0" borderId="33" xfId="0" applyFont="1" applyBorder="1" applyAlignment="1" applyProtection="1">
      <alignment horizontal="left" indent="1"/>
      <protection locked="0"/>
    </xf>
    <xf numFmtId="0" fontId="10" fillId="0" borderId="34" xfId="0" applyFont="1" applyBorder="1" applyAlignment="1" applyProtection="1">
      <alignment horizontal="center"/>
      <protection locked="0"/>
    </xf>
    <xf numFmtId="2" fontId="10" fillId="0" borderId="35" xfId="0" applyNumberFormat="1" applyFont="1" applyBorder="1" applyAlignment="1" applyProtection="1">
      <alignment horizontal="center"/>
      <protection locked="0"/>
    </xf>
    <xf numFmtId="0" fontId="10" fillId="0" borderId="35" xfId="0" applyFont="1" applyBorder="1" applyAlignment="1" applyProtection="1">
      <alignment horizontal="left" indent="1"/>
      <protection locked="0"/>
    </xf>
    <xf numFmtId="0" fontId="10" fillId="0" borderId="36" xfId="0" quotePrefix="1" applyFont="1" applyBorder="1" applyAlignment="1" applyProtection="1">
      <alignment horizontal="center"/>
      <protection locked="0"/>
    </xf>
    <xf numFmtId="2" fontId="10" fillId="0" borderId="35" xfId="0" quotePrefix="1" applyNumberFormat="1" applyFont="1" applyBorder="1" applyAlignment="1" applyProtection="1">
      <alignment horizontal="center"/>
      <protection locked="0"/>
    </xf>
    <xf numFmtId="0" fontId="10" fillId="0" borderId="35" xfId="0" quotePrefix="1" applyFont="1" applyBorder="1" applyAlignment="1" applyProtection="1">
      <alignment horizontal="left" indent="1"/>
      <protection locked="0"/>
    </xf>
    <xf numFmtId="0" fontId="10" fillId="0" borderId="36" xfId="0" quotePrefix="1" applyFont="1" applyBorder="1" applyAlignment="1" applyProtection="1">
      <alignment horizontal="left" indent="1"/>
      <protection locked="0"/>
    </xf>
    <xf numFmtId="0" fontId="10" fillId="0" borderId="4" xfId="0" applyFont="1" applyBorder="1" applyAlignment="1" applyProtection="1">
      <alignment horizontal="center"/>
      <protection locked="0"/>
    </xf>
    <xf numFmtId="2" fontId="10" fillId="0" borderId="5" xfId="0" applyNumberFormat="1" applyFont="1" applyBorder="1" applyAlignment="1" applyProtection="1">
      <alignment horizontal="center"/>
      <protection locked="0"/>
    </xf>
    <xf numFmtId="0" fontId="14" fillId="0" borderId="26" xfId="0" applyFont="1" applyBorder="1" applyAlignment="1" applyProtection="1">
      <alignment horizontal="left" indent="1"/>
      <protection locked="0"/>
    </xf>
    <xf numFmtId="2" fontId="9" fillId="0" borderId="6" xfId="0" applyNumberFormat="1" applyFont="1" applyBorder="1" applyAlignment="1" applyProtection="1">
      <alignment horizontal="left"/>
      <protection locked="0"/>
    </xf>
    <xf numFmtId="0" fontId="10" fillId="0" borderId="5" xfId="0" applyFont="1" applyBorder="1" applyAlignment="1" applyProtection="1">
      <alignment horizontal="left" indent="1"/>
      <protection locked="0"/>
    </xf>
    <xf numFmtId="2" fontId="9" fillId="0" borderId="4" xfId="0" applyNumberFormat="1" applyFont="1" applyBorder="1" applyAlignment="1" applyProtection="1">
      <alignment horizontal="left" indent="3"/>
      <protection locked="0"/>
    </xf>
    <xf numFmtId="2" fontId="9" fillId="0" borderId="5" xfId="0" applyNumberFormat="1" applyFont="1" applyBorder="1" applyAlignment="1" applyProtection="1">
      <alignment horizontal="center"/>
      <protection locked="0"/>
    </xf>
    <xf numFmtId="0" fontId="10" fillId="0" borderId="14" xfId="0" applyFont="1" applyBorder="1" applyAlignment="1" applyProtection="1">
      <alignment horizontal="left" indent="4"/>
      <protection locked="0"/>
    </xf>
    <xf numFmtId="0" fontId="10" fillId="0" borderId="13" xfId="0" applyFont="1" applyBorder="1" applyAlignment="1" applyProtection="1">
      <alignment horizontal="left" indent="1"/>
      <protection locked="0"/>
    </xf>
    <xf numFmtId="2" fontId="9" fillId="0" borderId="12" xfId="0" applyNumberFormat="1" applyFont="1" applyBorder="1" applyAlignment="1" applyProtection="1">
      <alignment horizontal="left" indent="3"/>
      <protection locked="0"/>
    </xf>
    <xf numFmtId="2" fontId="9" fillId="0" borderId="13" xfId="0" applyNumberFormat="1" applyFont="1" applyBorder="1" applyAlignment="1" applyProtection="1">
      <alignment horizontal="center"/>
      <protection locked="0"/>
    </xf>
    <xf numFmtId="2" fontId="9" fillId="0" borderId="15" xfId="0" applyNumberFormat="1" applyFont="1" applyBorder="1" applyAlignment="1" applyProtection="1">
      <alignment horizontal="left" indent="3"/>
      <protection locked="0"/>
    </xf>
    <xf numFmtId="2" fontId="9" fillId="0" borderId="16" xfId="0" applyNumberFormat="1" applyFont="1" applyBorder="1" applyAlignment="1" applyProtection="1">
      <alignment horizontal="center"/>
      <protection locked="0"/>
    </xf>
    <xf numFmtId="0" fontId="10" fillId="0" borderId="18" xfId="0" applyFont="1" applyBorder="1" applyAlignment="1" applyProtection="1">
      <alignment horizontal="left" indent="4"/>
      <protection locked="0"/>
    </xf>
    <xf numFmtId="2" fontId="9" fillId="0" borderId="6" xfId="0" applyNumberFormat="1" applyFont="1" applyBorder="1" applyAlignment="1" applyProtection="1">
      <alignment horizontal="left" indent="1"/>
      <protection locked="0"/>
    </xf>
    <xf numFmtId="2" fontId="10" fillId="0" borderId="7" xfId="0" applyNumberFormat="1" applyFont="1" applyBorder="1" applyAlignment="1" applyProtection="1">
      <alignment horizontal="center"/>
      <protection locked="0"/>
    </xf>
    <xf numFmtId="2" fontId="10" fillId="0" borderId="14" xfId="0" applyNumberFormat="1" applyFont="1" applyBorder="1" applyAlignment="1" applyProtection="1">
      <alignment horizontal="center"/>
      <protection locked="0"/>
    </xf>
    <xf numFmtId="0" fontId="9" fillId="0" borderId="6" xfId="0" applyFont="1" applyBorder="1" applyAlignment="1" applyProtection="1">
      <alignment horizontal="left" indent="1"/>
      <protection locked="0"/>
    </xf>
    <xf numFmtId="0" fontId="9" fillId="0" borderId="5" xfId="0" applyFont="1" applyBorder="1" applyAlignment="1" applyProtection="1">
      <alignment horizontal="left" indent="1"/>
      <protection locked="0"/>
    </xf>
    <xf numFmtId="2" fontId="9" fillId="0" borderId="14" xfId="0" applyNumberFormat="1" applyFont="1" applyBorder="1" applyAlignment="1" applyProtection="1">
      <alignment horizontal="center"/>
      <protection locked="0"/>
    </xf>
    <xf numFmtId="0" fontId="10" fillId="0" borderId="34" xfId="0" applyFont="1" applyBorder="1" applyAlignment="1">
      <alignment horizontal="center"/>
    </xf>
    <xf numFmtId="0" fontId="10" fillId="0" borderId="35" xfId="0" applyFont="1" applyBorder="1" applyAlignment="1">
      <alignment horizontal="center"/>
    </xf>
    <xf numFmtId="0" fontId="10" fillId="0" borderId="35" xfId="0" applyFont="1" applyBorder="1" applyAlignment="1">
      <alignment horizontal="left" indent="1"/>
    </xf>
    <xf numFmtId="0" fontId="10" fillId="0" borderId="35" xfId="0" applyFont="1" applyBorder="1"/>
    <xf numFmtId="0" fontId="10" fillId="0" borderId="36" xfId="0" applyFont="1" applyBorder="1" applyAlignment="1">
      <alignment horizontal="left" indent="1"/>
    </xf>
    <xf numFmtId="0" fontId="9" fillId="0" borderId="18" xfId="0" applyFont="1" applyBorder="1" applyAlignment="1" applyProtection="1">
      <alignment horizontal="center"/>
      <protection locked="0"/>
    </xf>
    <xf numFmtId="0" fontId="10" fillId="0" borderId="17" xfId="0" applyFont="1" applyBorder="1" applyAlignment="1" applyProtection="1">
      <alignment horizontal="left" indent="1"/>
      <protection locked="0"/>
    </xf>
    <xf numFmtId="0" fontId="10" fillId="0" borderId="16" xfId="0" applyFont="1" applyBorder="1" applyAlignment="1" applyProtection="1">
      <alignment horizontal="left" indent="1"/>
      <protection locked="0"/>
    </xf>
    <xf numFmtId="0" fontId="9" fillId="4" borderId="1" xfId="0" applyFont="1" applyFill="1" applyBorder="1" applyAlignment="1">
      <alignment horizontal="left" indent="1"/>
    </xf>
    <xf numFmtId="0" fontId="0" fillId="4" borderId="2" xfId="0" applyFill="1" applyBorder="1"/>
    <xf numFmtId="0" fontId="0" fillId="4" borderId="3" xfId="0" applyFill="1" applyBorder="1"/>
    <xf numFmtId="0" fontId="10" fillId="4" borderId="5" xfId="0" applyFont="1" applyFill="1" applyBorder="1"/>
    <xf numFmtId="0" fontId="11" fillId="4" borderId="17" xfId="0" applyFont="1" applyFill="1" applyBorder="1" applyAlignment="1">
      <alignment vertical="top" wrapText="1"/>
    </xf>
    <xf numFmtId="2" fontId="0" fillId="0" borderId="0" xfId="0" applyNumberFormat="1" applyAlignment="1">
      <alignment horizontal="center"/>
    </xf>
    <xf numFmtId="2" fontId="0" fillId="0" borderId="0" xfId="0" applyNumberFormat="1" applyAlignment="1">
      <alignment horizontal="left" indent="1"/>
    </xf>
    <xf numFmtId="49" fontId="0" fillId="0" borderId="13" xfId="0" applyNumberFormat="1" applyBorder="1" applyAlignment="1">
      <alignment horizontal="left" indent="1"/>
    </xf>
    <xf numFmtId="2" fontId="0" fillId="0" borderId="13" xfId="0" applyNumberFormat="1" applyBorder="1" applyAlignment="1">
      <alignment horizontal="left" indent="1"/>
    </xf>
    <xf numFmtId="18" fontId="0" fillId="0" borderId="15" xfId="0" applyNumberFormat="1" applyBorder="1" applyAlignment="1">
      <alignment horizontal="center"/>
    </xf>
    <xf numFmtId="18" fontId="0" fillId="0" borderId="17" xfId="0" applyNumberFormat="1" applyBorder="1"/>
    <xf numFmtId="0" fontId="0" fillId="0" borderId="17" xfId="0" applyBorder="1" applyAlignment="1">
      <alignment horizontal="left" indent="1"/>
    </xf>
    <xf numFmtId="0" fontId="5" fillId="0" borderId="0" xfId="0" applyFont="1"/>
    <xf numFmtId="0" fontId="0" fillId="7" borderId="4" xfId="0" applyFill="1" applyBorder="1" applyAlignment="1">
      <alignment horizontal="center"/>
    </xf>
    <xf numFmtId="0" fontId="2" fillId="7" borderId="6" xfId="0" applyFont="1" applyFill="1" applyBorder="1" applyAlignment="1">
      <alignment horizontal="left"/>
    </xf>
    <xf numFmtId="0" fontId="0" fillId="7" borderId="6" xfId="0" applyFill="1" applyBorder="1" applyAlignment="1">
      <alignment horizontal="left" indent="1"/>
    </xf>
    <xf numFmtId="0" fontId="0" fillId="7" borderId="5" xfId="0" applyFill="1" applyBorder="1" applyAlignment="1">
      <alignment horizontal="left" indent="1"/>
    </xf>
    <xf numFmtId="0" fontId="7" fillId="7" borderId="6" xfId="0" applyFont="1" applyFill="1" applyBorder="1" applyAlignment="1">
      <alignment horizontal="center"/>
    </xf>
    <xf numFmtId="0" fontId="0" fillId="7" borderId="6" xfId="0" applyFill="1" applyBorder="1" applyAlignment="1">
      <alignment horizontal="center"/>
    </xf>
    <xf numFmtId="0" fontId="7" fillId="7" borderId="5" xfId="0" applyFont="1" applyFill="1" applyBorder="1" applyAlignment="1" applyProtection="1">
      <alignment horizontal="center"/>
      <protection locked="0"/>
    </xf>
    <xf numFmtId="0" fontId="0" fillId="7" borderId="12" xfId="0" applyFill="1" applyBorder="1" applyAlignment="1">
      <alignment horizontal="center"/>
    </xf>
    <xf numFmtId="0" fontId="2" fillId="7" borderId="0" xfId="0" applyFont="1" applyFill="1" applyAlignment="1">
      <alignment horizontal="left"/>
    </xf>
    <xf numFmtId="0" fontId="0" fillId="7" borderId="0" xfId="0" applyFill="1" applyAlignment="1">
      <alignment horizontal="left" indent="1"/>
    </xf>
    <xf numFmtId="0" fontId="7" fillId="7" borderId="13" xfId="0" applyFont="1" applyFill="1" applyBorder="1" applyAlignment="1">
      <alignment horizontal="center"/>
    </xf>
    <xf numFmtId="0" fontId="7" fillId="7" borderId="12" xfId="0" applyFont="1" applyFill="1" applyBorder="1" applyAlignment="1">
      <alignment horizontal="center"/>
    </xf>
    <xf numFmtId="0" fontId="15" fillId="5" borderId="28" xfId="0" applyFont="1" applyFill="1" applyBorder="1" applyAlignment="1" applyProtection="1">
      <alignment horizontal="center"/>
      <protection locked="0"/>
    </xf>
    <xf numFmtId="0" fontId="0" fillId="7" borderId="0" xfId="0" applyFill="1" applyAlignment="1">
      <alignment horizontal="center"/>
    </xf>
    <xf numFmtId="0" fontId="2" fillId="7" borderId="13" xfId="0" applyFont="1" applyFill="1" applyBorder="1" applyAlignment="1" applyProtection="1">
      <alignment horizontal="left"/>
      <protection locked="0"/>
    </xf>
    <xf numFmtId="0" fontId="15" fillId="5" borderId="28" xfId="0" applyFont="1" applyFill="1" applyBorder="1" applyAlignment="1" applyProtection="1">
      <alignment horizontal="left"/>
      <protection locked="0"/>
    </xf>
    <xf numFmtId="0" fontId="3" fillId="7" borderId="0" xfId="0" applyFont="1" applyFill="1" applyAlignment="1">
      <alignment horizontal="left"/>
    </xf>
    <xf numFmtId="0" fontId="0" fillId="7" borderId="0" xfId="0" applyFill="1"/>
    <xf numFmtId="0" fontId="0" fillId="7" borderId="13" xfId="0" applyFill="1" applyBorder="1" applyAlignment="1">
      <alignment horizontal="center"/>
    </xf>
    <xf numFmtId="0" fontId="0" fillId="7" borderId="13" xfId="0" applyFill="1" applyBorder="1"/>
    <xf numFmtId="0" fontId="0" fillId="7" borderId="15" xfId="0" applyFill="1" applyBorder="1" applyAlignment="1">
      <alignment horizontal="center"/>
    </xf>
    <xf numFmtId="0" fontId="0" fillId="7" borderId="17" xfId="0" applyFill="1" applyBorder="1" applyAlignment="1">
      <alignment horizontal="center"/>
    </xf>
    <xf numFmtId="0" fontId="0" fillId="7" borderId="17" xfId="0" applyFill="1" applyBorder="1" applyAlignment="1">
      <alignment horizontal="left" indent="1"/>
    </xf>
    <xf numFmtId="0" fontId="0" fillId="7" borderId="16" xfId="0" applyFill="1" applyBorder="1" applyAlignment="1">
      <alignment horizontal="left" indent="1"/>
    </xf>
    <xf numFmtId="0" fontId="0" fillId="7" borderId="17" xfId="0" applyFill="1" applyBorder="1"/>
    <xf numFmtId="0" fontId="0" fillId="7" borderId="16" xfId="0" applyFill="1" applyBorder="1"/>
    <xf numFmtId="0" fontId="7" fillId="0" borderId="37" xfId="0" applyFont="1" applyBorder="1" applyAlignment="1">
      <alignment horizontal="center"/>
    </xf>
    <xf numFmtId="0" fontId="7" fillId="0" borderId="38" xfId="0" applyFont="1" applyBorder="1" applyAlignment="1">
      <alignment horizontal="center"/>
    </xf>
    <xf numFmtId="0" fontId="7" fillId="0" borderId="38" xfId="0" applyFont="1" applyBorder="1" applyAlignment="1">
      <alignment horizontal="left" indent="1"/>
    </xf>
    <xf numFmtId="0" fontId="7" fillId="0" borderId="39" xfId="0" applyFont="1" applyBorder="1" applyAlignment="1">
      <alignment horizontal="left" indent="1"/>
    </xf>
    <xf numFmtId="0" fontId="7" fillId="0" borderId="39" xfId="0" applyFont="1" applyBorder="1" applyAlignment="1">
      <alignment horizontal="center"/>
    </xf>
    <xf numFmtId="0" fontId="12" fillId="0" borderId="32" xfId="0" applyFont="1" applyBorder="1" applyAlignment="1">
      <alignment horizontal="center"/>
    </xf>
    <xf numFmtId="0" fontId="12" fillId="0" borderId="33" xfId="0" applyFont="1" applyBorder="1" applyAlignment="1">
      <alignment horizontal="center"/>
    </xf>
    <xf numFmtId="0" fontId="7" fillId="4" borderId="33" xfId="0" applyFont="1" applyFill="1" applyBorder="1"/>
    <xf numFmtId="0" fontId="7" fillId="4" borderId="40" xfId="0" applyFont="1" applyFill="1" applyBorder="1"/>
    <xf numFmtId="0" fontId="12" fillId="0" borderId="41" xfId="0" applyFont="1" applyBorder="1" applyAlignment="1">
      <alignment horizontal="center"/>
    </xf>
    <xf numFmtId="0" fontId="12" fillId="0" borderId="42" xfId="0" applyFont="1" applyBorder="1"/>
    <xf numFmtId="0" fontId="12" fillId="0" borderId="42" xfId="0" applyFont="1" applyBorder="1" applyAlignment="1">
      <alignment horizontal="center"/>
    </xf>
    <xf numFmtId="0" fontId="12" fillId="0" borderId="43" xfId="0" applyFont="1" applyBorder="1"/>
    <xf numFmtId="0" fontId="0" fillId="8" borderId="0" xfId="0" applyFill="1"/>
    <xf numFmtId="0" fontId="0" fillId="3" borderId="27" xfId="0" applyFill="1" applyBorder="1" applyAlignment="1" applyProtection="1">
      <alignment horizontal="center"/>
      <protection locked="0"/>
    </xf>
    <xf numFmtId="2" fontId="0" fillId="0" borderId="28" xfId="0" applyNumberFormat="1" applyBorder="1" applyAlignment="1">
      <alignment horizontal="left" indent="1"/>
    </xf>
    <xf numFmtId="2" fontId="0" fillId="0" borderId="29" xfId="0" applyNumberFormat="1" applyBorder="1" applyAlignment="1">
      <alignment horizontal="left" indent="1"/>
    </xf>
    <xf numFmtId="0" fontId="0" fillId="0" borderId="27" xfId="0" applyBorder="1" applyAlignment="1" applyProtection="1">
      <alignment horizontal="center"/>
      <protection locked="0"/>
    </xf>
    <xf numFmtId="0" fontId="5" fillId="0" borderId="28" xfId="0" applyFont="1" applyBorder="1" applyProtection="1">
      <protection locked="0"/>
    </xf>
    <xf numFmtId="0" fontId="0" fillId="0" borderId="28" xfId="0" applyBorder="1" applyAlignment="1" applyProtection="1">
      <alignment horizontal="center"/>
      <protection locked="0"/>
    </xf>
    <xf numFmtId="0" fontId="5" fillId="0" borderId="29" xfId="0" applyFont="1" applyBorder="1" applyProtection="1">
      <protection locked="0"/>
    </xf>
    <xf numFmtId="0" fontId="0" fillId="0" borderId="0" xfId="0" applyProtection="1">
      <protection locked="0"/>
    </xf>
    <xf numFmtId="0" fontId="0" fillId="0" borderId="0" xfId="0" applyAlignment="1" applyProtection="1">
      <alignment horizontal="left" indent="1"/>
      <protection locked="0"/>
    </xf>
    <xf numFmtId="0" fontId="0" fillId="0" borderId="28" xfId="0" applyBorder="1" applyProtection="1">
      <protection locked="0"/>
    </xf>
    <xf numFmtId="0" fontId="0" fillId="0" borderId="29" xfId="0" applyBorder="1" applyProtection="1">
      <protection locked="0"/>
    </xf>
    <xf numFmtId="0" fontId="0" fillId="0" borderId="13" xfId="0" applyBorder="1" applyProtection="1">
      <protection locked="0"/>
    </xf>
    <xf numFmtId="0" fontId="0" fillId="3" borderId="28" xfId="0" applyFill="1" applyBorder="1" applyAlignment="1" applyProtection="1">
      <alignment horizontal="center"/>
      <protection locked="0"/>
    </xf>
    <xf numFmtId="0" fontId="0" fillId="0" borderId="15" xfId="0" applyBorder="1" applyAlignment="1" applyProtection="1">
      <alignment horizontal="center"/>
      <protection locked="0"/>
    </xf>
    <xf numFmtId="0" fontId="0" fillId="0" borderId="17" xfId="0" applyBorder="1" applyProtection="1">
      <protection locked="0"/>
    </xf>
    <xf numFmtId="0" fontId="0" fillId="0" borderId="17" xfId="0" applyBorder="1" applyAlignment="1" applyProtection="1">
      <alignment horizontal="center"/>
      <protection locked="0"/>
    </xf>
    <xf numFmtId="0" fontId="0" fillId="0" borderId="16" xfId="0" applyBorder="1" applyProtection="1">
      <protection locked="0"/>
    </xf>
    <xf numFmtId="0" fontId="3" fillId="0" borderId="37" xfId="0" applyFont="1" applyBorder="1" applyAlignment="1">
      <alignment horizontal="center"/>
    </xf>
    <xf numFmtId="0" fontId="3" fillId="0" borderId="38" xfId="0" applyFont="1" applyBorder="1" applyAlignment="1">
      <alignment horizontal="center"/>
    </xf>
    <xf numFmtId="0" fontId="3" fillId="0" borderId="38" xfId="0" applyFont="1" applyBorder="1" applyAlignment="1">
      <alignment horizontal="left" indent="1"/>
    </xf>
    <xf numFmtId="0" fontId="3" fillId="0" borderId="39" xfId="0" applyFont="1" applyBorder="1" applyAlignment="1">
      <alignment horizontal="left" indent="1"/>
    </xf>
    <xf numFmtId="0" fontId="3" fillId="0" borderId="37" xfId="0" applyFont="1" applyBorder="1" applyAlignment="1" applyProtection="1">
      <alignment horizontal="center"/>
      <protection locked="0"/>
    </xf>
    <xf numFmtId="0" fontId="3" fillId="0" borderId="38" xfId="0" applyFont="1" applyBorder="1" applyAlignment="1" applyProtection="1">
      <alignment horizontal="center"/>
      <protection locked="0"/>
    </xf>
    <xf numFmtId="0" fontId="3" fillId="0" borderId="39" xfId="0" applyFont="1" applyBorder="1" applyAlignment="1" applyProtection="1">
      <alignment horizontal="center"/>
      <protection locked="0"/>
    </xf>
    <xf numFmtId="0" fontId="12" fillId="8" borderId="0" xfId="0" applyFont="1" applyFill="1"/>
    <xf numFmtId="0" fontId="12" fillId="0" borderId="27" xfId="0" applyFont="1" applyBorder="1" applyAlignment="1">
      <alignment horizontal="center"/>
    </xf>
    <xf numFmtId="0" fontId="12" fillId="0" borderId="28" xfId="0" applyFont="1" applyBorder="1" applyAlignment="1">
      <alignment horizontal="center"/>
    </xf>
    <xf numFmtId="0" fontId="7" fillId="4" borderId="28" xfId="0" applyFont="1" applyFill="1" applyBorder="1"/>
    <xf numFmtId="0" fontId="7" fillId="4" borderId="29" xfId="0" applyFont="1" applyFill="1" applyBorder="1"/>
    <xf numFmtId="0" fontId="12" fillId="0" borderId="27" xfId="0" applyFont="1" applyBorder="1" applyAlignment="1" applyProtection="1">
      <alignment horizontal="center"/>
      <protection locked="0"/>
    </xf>
    <xf numFmtId="0" fontId="12" fillId="0" borderId="28" xfId="0" applyFont="1" applyBorder="1" applyProtection="1">
      <protection locked="0"/>
    </xf>
    <xf numFmtId="0" fontId="12" fillId="0" borderId="28" xfId="0" applyFont="1" applyBorder="1" applyAlignment="1" applyProtection="1">
      <alignment horizontal="center"/>
      <protection locked="0"/>
    </xf>
    <xf numFmtId="0" fontId="12" fillId="0" borderId="29" xfId="0" applyFont="1" applyBorder="1" applyProtection="1">
      <protection locked="0"/>
    </xf>
    <xf numFmtId="0" fontId="12" fillId="0" borderId="0" xfId="0" applyFont="1" applyProtection="1">
      <protection locked="0"/>
    </xf>
    <xf numFmtId="2" fontId="5" fillId="0" borderId="29" xfId="0" applyNumberFormat="1" applyFont="1" applyBorder="1" applyAlignment="1">
      <alignment horizontal="left" indent="1"/>
    </xf>
    <xf numFmtId="0" fontId="0" fillId="2" borderId="27" xfId="0" applyFill="1" applyBorder="1" applyAlignment="1" applyProtection="1">
      <alignment horizontal="center"/>
      <protection locked="0"/>
    </xf>
    <xf numFmtId="0" fontId="0" fillId="2" borderId="28" xfId="0" applyFill="1" applyBorder="1" applyAlignment="1" applyProtection="1">
      <alignment horizontal="center"/>
      <protection locked="0"/>
    </xf>
    <xf numFmtId="0" fontId="0" fillId="0" borderId="12" xfId="0" applyBorder="1" applyAlignment="1" applyProtection="1">
      <alignment horizontal="center"/>
      <protection locked="0"/>
    </xf>
    <xf numFmtId="0" fontId="0" fillId="0" borderId="0" xfId="0" applyAlignment="1" applyProtection="1">
      <alignment horizontal="center"/>
      <protection locked="0"/>
    </xf>
    <xf numFmtId="0" fontId="12" fillId="0" borderId="0" xfId="0" applyFont="1" applyAlignment="1" applyProtection="1">
      <alignment horizontal="left" indent="1"/>
      <protection locked="0"/>
    </xf>
    <xf numFmtId="0" fontId="7" fillId="4" borderId="42" xfId="0" applyFont="1" applyFill="1" applyBorder="1"/>
    <xf numFmtId="0" fontId="7" fillId="4" borderId="43" xfId="0" applyFont="1" applyFill="1" applyBorder="1"/>
    <xf numFmtId="0" fontId="0" fillId="3" borderId="34" xfId="0" applyFill="1" applyBorder="1" applyAlignment="1" applyProtection="1">
      <alignment horizontal="center"/>
      <protection locked="0"/>
    </xf>
    <xf numFmtId="2" fontId="0" fillId="0" borderId="35" xfId="0" applyNumberFormat="1" applyBorder="1" applyAlignment="1">
      <alignment horizontal="left" indent="1"/>
    </xf>
    <xf numFmtId="2" fontId="0" fillId="0" borderId="36" xfId="0" applyNumberFormat="1" applyBorder="1" applyAlignment="1">
      <alignment horizontal="left" indent="1"/>
    </xf>
    <xf numFmtId="0" fontId="0" fillId="0" borderId="34" xfId="0" applyBorder="1" applyAlignment="1" applyProtection="1">
      <alignment horizontal="center"/>
      <protection locked="0"/>
    </xf>
    <xf numFmtId="0" fontId="0" fillId="0" borderId="35" xfId="0" applyBorder="1" applyProtection="1">
      <protection locked="0"/>
    </xf>
    <xf numFmtId="0" fontId="0" fillId="0" borderId="35" xfId="0" applyBorder="1" applyAlignment="1" applyProtection="1">
      <alignment horizontal="center"/>
      <protection locked="0"/>
    </xf>
    <xf numFmtId="0" fontId="0" fillId="0" borderId="36" xfId="0" applyBorder="1" applyProtection="1">
      <protection locked="0"/>
    </xf>
    <xf numFmtId="0" fontId="3" fillId="0" borderId="45" xfId="0" applyFont="1" applyBorder="1" applyAlignment="1">
      <alignment horizontal="center"/>
    </xf>
    <xf numFmtId="0" fontId="3" fillId="0" borderId="46" xfId="0" applyFont="1" applyBorder="1" applyAlignment="1">
      <alignment horizontal="center"/>
    </xf>
    <xf numFmtId="0" fontId="3" fillId="0" borderId="46" xfId="0" applyFont="1" applyBorder="1" applyAlignment="1">
      <alignment horizontal="left" indent="1"/>
    </xf>
    <xf numFmtId="0" fontId="3" fillId="0" borderId="47" xfId="0" applyFont="1" applyBorder="1" applyAlignment="1">
      <alignment horizontal="left" indent="1"/>
    </xf>
    <xf numFmtId="0" fontId="12" fillId="0" borderId="28" xfId="0" applyFont="1" applyBorder="1"/>
    <xf numFmtId="0" fontId="0" fillId="9" borderId="4" xfId="0" applyFill="1" applyBorder="1" applyAlignment="1">
      <alignment horizontal="center"/>
    </xf>
    <xf numFmtId="0" fontId="2" fillId="9" borderId="6" xfId="0" applyFont="1" applyFill="1" applyBorder="1" applyAlignment="1">
      <alignment horizontal="center"/>
    </xf>
    <xf numFmtId="0" fontId="0" fillId="9" borderId="6" xfId="0" applyFill="1" applyBorder="1" applyAlignment="1">
      <alignment horizontal="center"/>
    </xf>
    <xf numFmtId="0" fontId="2" fillId="9" borderId="5" xfId="0" applyFont="1" applyFill="1" applyBorder="1" applyAlignment="1" applyProtection="1">
      <alignment horizontal="left"/>
      <protection locked="0"/>
    </xf>
    <xf numFmtId="0" fontId="0" fillId="9" borderId="12" xfId="0" applyFill="1" applyBorder="1" applyAlignment="1">
      <alignment horizontal="center"/>
    </xf>
    <xf numFmtId="0" fontId="2" fillId="9" borderId="12" xfId="0" applyFont="1" applyFill="1" applyBorder="1" applyAlignment="1" applyProtection="1">
      <alignment horizontal="center"/>
      <protection locked="0"/>
    </xf>
    <xf numFmtId="0" fontId="15" fillId="10" borderId="28" xfId="0" applyFont="1" applyFill="1" applyBorder="1" applyAlignment="1" applyProtection="1">
      <alignment horizontal="center"/>
      <protection locked="0"/>
    </xf>
    <xf numFmtId="0" fontId="0" fillId="9" borderId="0" xfId="0" applyFill="1" applyAlignment="1" applyProtection="1">
      <alignment horizontal="center"/>
      <protection locked="0"/>
    </xf>
    <xf numFmtId="0" fontId="2" fillId="9" borderId="13" xfId="0" applyFont="1" applyFill="1" applyBorder="1" applyAlignment="1" applyProtection="1">
      <alignment horizontal="left"/>
      <protection locked="0"/>
    </xf>
    <xf numFmtId="0" fontId="0" fillId="9" borderId="0" xfId="0" applyFill="1"/>
    <xf numFmtId="0" fontId="0" fillId="9" borderId="13" xfId="0" applyFill="1" applyBorder="1"/>
    <xf numFmtId="0" fontId="0" fillId="9" borderId="15" xfId="0" applyFill="1" applyBorder="1" applyAlignment="1">
      <alignment horizontal="center"/>
    </xf>
    <xf numFmtId="0" fontId="0" fillId="9" borderId="17" xfId="0" applyFill="1" applyBorder="1" applyAlignment="1">
      <alignment horizontal="center"/>
    </xf>
    <xf numFmtId="0" fontId="0" fillId="9" borderId="17" xfId="0" applyFill="1" applyBorder="1"/>
    <xf numFmtId="0" fontId="0" fillId="9" borderId="16" xfId="0" applyFill="1" applyBorder="1"/>
    <xf numFmtId="0" fontId="3" fillId="0" borderId="39" xfId="0" applyFont="1" applyBorder="1" applyAlignment="1">
      <alignment horizontal="center"/>
    </xf>
    <xf numFmtId="0" fontId="7" fillId="6" borderId="28" xfId="0" applyFont="1" applyFill="1" applyBorder="1"/>
    <xf numFmtId="0" fontId="7" fillId="6" borderId="29" xfId="0" applyFont="1" applyFill="1" applyBorder="1"/>
    <xf numFmtId="0" fontId="0" fillId="0" borderId="27" xfId="0" applyBorder="1" applyAlignment="1">
      <alignment horizontal="center"/>
    </xf>
    <xf numFmtId="0" fontId="0" fillId="0" borderId="28" xfId="0"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0" borderId="28" xfId="0" applyBorder="1"/>
    <xf numFmtId="0" fontId="0" fillId="0" borderId="34" xfId="0" applyBorder="1" applyAlignment="1">
      <alignment horizontal="center"/>
    </xf>
    <xf numFmtId="0" fontId="0" fillId="0" borderId="35" xfId="0" applyBorder="1" applyAlignment="1">
      <alignment horizontal="center"/>
    </xf>
    <xf numFmtId="0" fontId="7" fillId="0" borderId="37" xfId="0" applyFont="1" applyBorder="1" applyAlignment="1" applyProtection="1">
      <alignment horizontal="center"/>
      <protection locked="0"/>
    </xf>
    <xf numFmtId="0" fontId="7" fillId="0" borderId="38" xfId="0" applyFont="1" applyBorder="1" applyAlignment="1" applyProtection="1">
      <alignment horizontal="center"/>
      <protection locked="0"/>
    </xf>
    <xf numFmtId="0" fontId="3" fillId="0" borderId="45" xfId="0" applyFont="1" applyBorder="1" applyAlignment="1" applyProtection="1">
      <alignment horizontal="center"/>
      <protection locked="0"/>
    </xf>
    <xf numFmtId="0" fontId="3" fillId="0" borderId="46" xfId="0" applyFont="1" applyBorder="1" applyAlignment="1" applyProtection="1">
      <alignment horizontal="center"/>
      <protection locked="0"/>
    </xf>
    <xf numFmtId="0" fontId="1" fillId="0" borderId="0" xfId="0" applyFont="1"/>
    <xf numFmtId="0" fontId="0" fillId="0" borderId="33" xfId="0" applyBorder="1" applyAlignment="1">
      <alignment horizontal="left" indent="1"/>
    </xf>
    <xf numFmtId="0" fontId="0" fillId="0" borderId="28" xfId="0" applyBorder="1" applyAlignment="1">
      <alignment horizontal="left" indent="1"/>
    </xf>
    <xf numFmtId="0" fontId="0" fillId="2" borderId="2" xfId="0" applyFill="1" applyBorder="1" applyAlignment="1">
      <alignment horizontal="center"/>
    </xf>
    <xf numFmtId="2" fontId="9" fillId="2" borderId="2" xfId="0" applyNumberFormat="1" applyFont="1" applyFill="1" applyBorder="1" applyAlignment="1">
      <alignment horizontal="left"/>
    </xf>
    <xf numFmtId="2" fontId="0" fillId="2" borderId="2" xfId="0" applyNumberFormat="1" applyFill="1" applyBorder="1" applyAlignment="1">
      <alignment horizontal="center"/>
    </xf>
    <xf numFmtId="0" fontId="0" fillId="2" borderId="2" xfId="0" applyFill="1" applyBorder="1" applyAlignment="1">
      <alignment horizontal="left"/>
    </xf>
    <xf numFmtId="0" fontId="0" fillId="2" borderId="3" xfId="0" applyFill="1" applyBorder="1" applyAlignment="1">
      <alignment horizontal="left"/>
    </xf>
    <xf numFmtId="0" fontId="3" fillId="2" borderId="48" xfId="0" applyFont="1" applyFill="1" applyBorder="1" applyAlignment="1">
      <alignment horizontal="center"/>
    </xf>
    <xf numFmtId="0" fontId="3" fillId="2" borderId="17" xfId="0" applyFont="1" applyFill="1" applyBorder="1" applyAlignment="1">
      <alignment horizontal="left"/>
    </xf>
    <xf numFmtId="0" fontId="7" fillId="2" borderId="45" xfId="0" applyFont="1" applyFill="1" applyBorder="1" applyAlignment="1">
      <alignment horizontal="left" indent="1"/>
    </xf>
    <xf numFmtId="0" fontId="0" fillId="11" borderId="46" xfId="0" applyFill="1" applyBorder="1" applyAlignment="1">
      <alignment horizontal="center"/>
    </xf>
    <xf numFmtId="0" fontId="0" fillId="11" borderId="13" xfId="0" applyFill="1" applyBorder="1" applyAlignment="1">
      <alignment horizontal="left"/>
    </xf>
    <xf numFmtId="0" fontId="7" fillId="2" borderId="52" xfId="0" applyFont="1" applyFill="1" applyBorder="1" applyAlignment="1">
      <alignment horizontal="left" indent="1"/>
    </xf>
    <xf numFmtId="0" fontId="7" fillId="2" borderId="17" xfId="0" applyFont="1" applyFill="1" applyBorder="1" applyAlignment="1">
      <alignment horizontal="left" indent="1"/>
    </xf>
    <xf numFmtId="0" fontId="0" fillId="11" borderId="53" xfId="0" applyFill="1" applyBorder="1" applyAlignment="1">
      <alignment horizontal="center"/>
    </xf>
    <xf numFmtId="0" fontId="0" fillId="11" borderId="17" xfId="0" applyFill="1" applyBorder="1" applyAlignment="1">
      <alignment horizontal="left"/>
    </xf>
    <xf numFmtId="0" fontId="0" fillId="11" borderId="16" xfId="0" applyFill="1" applyBorder="1" applyAlignment="1">
      <alignment horizontal="left"/>
    </xf>
    <xf numFmtId="0" fontId="0" fillId="2" borderId="17" xfId="0" applyFill="1" applyBorder="1" applyAlignment="1">
      <alignment horizontal="left"/>
    </xf>
    <xf numFmtId="0" fontId="0" fillId="0" borderId="54" xfId="0" applyBorder="1" applyAlignment="1">
      <alignment horizontal="center"/>
    </xf>
    <xf numFmtId="0" fontId="3" fillId="2" borderId="45" xfId="0" applyFont="1" applyFill="1" applyBorder="1" applyAlignment="1">
      <alignment horizontal="center"/>
    </xf>
    <xf numFmtId="0" fontId="0" fillId="0" borderId="40" xfId="0" applyBorder="1" applyAlignment="1">
      <alignment horizontal="left" indent="1"/>
    </xf>
    <xf numFmtId="0" fontId="0" fillId="0" borderId="35" xfId="0" applyBorder="1" applyAlignment="1">
      <alignment horizontal="left" indent="1"/>
    </xf>
    <xf numFmtId="0" fontId="0" fillId="0" borderId="53" xfId="0" applyBorder="1" applyAlignment="1">
      <alignment horizontal="left" indent="1"/>
    </xf>
    <xf numFmtId="0" fontId="0" fillId="0" borderId="55" xfId="0" applyBorder="1" applyAlignment="1">
      <alignment horizontal="left" indent="1"/>
    </xf>
    <xf numFmtId="0" fontId="3" fillId="2" borderId="52" xfId="0" applyFont="1" applyFill="1" applyBorder="1" applyAlignment="1">
      <alignment horizontal="center"/>
    </xf>
    <xf numFmtId="0" fontId="0" fillId="2" borderId="0" xfId="0" applyFill="1" applyAlignment="1">
      <alignment horizontal="left"/>
    </xf>
    <xf numFmtId="0" fontId="3" fillId="2" borderId="0" xfId="0" applyFont="1" applyFill="1" applyAlignment="1">
      <alignment horizontal="left"/>
    </xf>
    <xf numFmtId="0" fontId="0" fillId="11" borderId="0" xfId="0" applyFill="1" applyAlignment="1">
      <alignment horizontal="left"/>
    </xf>
    <xf numFmtId="0" fontId="7" fillId="2" borderId="0" xfId="0" applyFont="1" applyFill="1" applyAlignment="1">
      <alignment horizontal="left" indent="1"/>
    </xf>
    <xf numFmtId="0" fontId="3" fillId="2" borderId="1" xfId="0" applyFont="1" applyFill="1" applyBorder="1" applyAlignment="1">
      <alignment horizontal="left"/>
    </xf>
    <xf numFmtId="0" fontId="3" fillId="2" borderId="2" xfId="0" applyFont="1" applyFill="1" applyBorder="1" applyAlignment="1">
      <alignment horizontal="left"/>
    </xf>
    <xf numFmtId="0" fontId="3" fillId="2" borderId="3" xfId="0" applyFont="1" applyFill="1" applyBorder="1" applyAlignment="1">
      <alignment horizontal="left"/>
    </xf>
    <xf numFmtId="0" fontId="9" fillId="12" borderId="17" xfId="0" applyFont="1" applyFill="1" applyBorder="1" applyAlignment="1">
      <alignment horizontal="left" indent="1"/>
    </xf>
    <xf numFmtId="0" fontId="9" fillId="12" borderId="17" xfId="0" applyFont="1" applyFill="1" applyBorder="1" applyAlignment="1">
      <alignment horizontal="left"/>
    </xf>
    <xf numFmtId="0" fontId="9" fillId="2" borderId="50" xfId="0" applyFont="1" applyFill="1" applyBorder="1" applyAlignment="1">
      <alignment horizontal="center"/>
    </xf>
    <xf numFmtId="0" fontId="9" fillId="2" borderId="5" xfId="0" applyFont="1" applyFill="1" applyBorder="1" applyAlignment="1">
      <alignment horizontal="left" indent="1"/>
    </xf>
    <xf numFmtId="0" fontId="9" fillId="2" borderId="48" xfId="0" applyFont="1" applyFill="1" applyBorder="1" applyAlignment="1">
      <alignment horizontal="center"/>
    </xf>
    <xf numFmtId="0" fontId="9" fillId="2" borderId="53" xfId="0" applyFont="1" applyFill="1" applyBorder="1" applyAlignment="1">
      <alignment horizontal="center"/>
    </xf>
    <xf numFmtId="0" fontId="9" fillId="2" borderId="16" xfId="0" applyFont="1" applyFill="1" applyBorder="1" applyAlignment="1">
      <alignment horizontal="left" indent="1"/>
    </xf>
    <xf numFmtId="0" fontId="9" fillId="2" borderId="52" xfId="0" applyFont="1" applyFill="1" applyBorder="1" applyAlignment="1">
      <alignment horizontal="center"/>
    </xf>
    <xf numFmtId="0" fontId="0" fillId="0" borderId="41" xfId="0" applyBorder="1" applyAlignment="1">
      <alignment horizontal="center"/>
    </xf>
    <xf numFmtId="0" fontId="0" fillId="0" borderId="42" xfId="0" applyBorder="1" applyAlignment="1">
      <alignment horizontal="left" indent="1"/>
    </xf>
    <xf numFmtId="0" fontId="0" fillId="0" borderId="43" xfId="0" applyBorder="1" applyAlignment="1">
      <alignment horizontal="left" indent="1"/>
    </xf>
    <xf numFmtId="2" fontId="9" fillId="12" borderId="17" xfId="0" applyNumberFormat="1" applyFont="1" applyFill="1" applyBorder="1" applyAlignment="1">
      <alignment horizontal="center"/>
    </xf>
    <xf numFmtId="2" fontId="9" fillId="12" borderId="16" xfId="0" applyNumberFormat="1" applyFont="1" applyFill="1" applyBorder="1" applyAlignment="1">
      <alignment horizontal="center"/>
    </xf>
    <xf numFmtId="0" fontId="18" fillId="12" borderId="6" xfId="0" applyFont="1" applyFill="1" applyBorder="1"/>
    <xf numFmtId="0" fontId="18" fillId="12" borderId="17" xfId="0" applyFont="1" applyFill="1" applyBorder="1"/>
    <xf numFmtId="0" fontId="19" fillId="12" borderId="4" xfId="0" applyFont="1" applyFill="1" applyBorder="1" applyAlignment="1">
      <alignment horizontal="left"/>
    </xf>
    <xf numFmtId="0" fontId="9" fillId="12" borderId="6" xfId="0" applyFont="1" applyFill="1" applyBorder="1" applyAlignment="1">
      <alignment horizontal="left" indent="1"/>
    </xf>
    <xf numFmtId="0" fontId="19" fillId="12" borderId="6" xfId="0" applyFont="1" applyFill="1" applyBorder="1" applyAlignment="1">
      <alignment horizontal="left"/>
    </xf>
    <xf numFmtId="0" fontId="19" fillId="12" borderId="6" xfId="0" applyFont="1" applyFill="1" applyBorder="1" applyAlignment="1">
      <alignment horizontal="center"/>
    </xf>
    <xf numFmtId="0" fontId="19" fillId="12" borderId="5" xfId="0" applyFont="1" applyFill="1" applyBorder="1" applyAlignment="1">
      <alignment horizontal="center"/>
    </xf>
    <xf numFmtId="0" fontId="19" fillId="12" borderId="15" xfId="0" applyFont="1" applyFill="1" applyBorder="1" applyAlignment="1">
      <alignment horizontal="center"/>
    </xf>
    <xf numFmtId="0" fontId="0" fillId="0" borderId="57" xfId="0" applyBorder="1" applyAlignment="1">
      <alignment horizontal="center"/>
    </xf>
    <xf numFmtId="0" fontId="0" fillId="0" borderId="58" xfId="0" applyBorder="1" applyAlignment="1">
      <alignment horizontal="center"/>
    </xf>
    <xf numFmtId="0" fontId="9" fillId="2" borderId="13" xfId="0" applyFont="1" applyFill="1" applyBorder="1" applyAlignment="1">
      <alignment horizontal="left" indent="1"/>
    </xf>
    <xf numFmtId="0" fontId="9" fillId="2" borderId="46" xfId="0" applyFont="1" applyFill="1" applyBorder="1" applyAlignment="1">
      <alignment horizontal="center"/>
    </xf>
    <xf numFmtId="0" fontId="0" fillId="0" borderId="29" xfId="0" applyBorder="1" applyAlignment="1">
      <alignment horizontal="left" indent="1"/>
    </xf>
    <xf numFmtId="0" fontId="0" fillId="0" borderId="36" xfId="0" applyBorder="1" applyAlignment="1">
      <alignment horizontal="left" indent="1"/>
    </xf>
    <xf numFmtId="0" fontId="9" fillId="2" borderId="49" xfId="0" applyFont="1" applyFill="1" applyBorder="1" applyAlignment="1">
      <alignment horizontal="center"/>
    </xf>
    <xf numFmtId="0" fontId="9" fillId="2" borderId="51" xfId="0" applyFont="1" applyFill="1" applyBorder="1" applyAlignment="1">
      <alignment horizontal="center"/>
    </xf>
    <xf numFmtId="0" fontId="9" fillId="2" borderId="7" xfId="0" applyFont="1" applyFill="1" applyBorder="1" applyAlignment="1">
      <alignment horizontal="center"/>
    </xf>
    <xf numFmtId="0" fontId="9" fillId="2" borderId="18" xfId="0" applyFont="1" applyFill="1" applyBorder="1" applyAlignment="1">
      <alignment horizontal="center"/>
    </xf>
    <xf numFmtId="0" fontId="0" fillId="0" borderId="7" xfId="0" applyBorder="1" applyAlignment="1">
      <alignment horizontal="center"/>
    </xf>
    <xf numFmtId="0" fontId="0" fillId="0" borderId="14" xfId="0" applyBorder="1" applyAlignment="1">
      <alignment horizontal="center"/>
    </xf>
    <xf numFmtId="0" fontId="0" fillId="0" borderId="18" xfId="0" applyBorder="1" applyAlignment="1">
      <alignment horizontal="center"/>
    </xf>
    <xf numFmtId="0" fontId="0" fillId="0" borderId="0" xfId="0" applyAlignment="1">
      <alignment horizontal="left"/>
    </xf>
    <xf numFmtId="0" fontId="0" fillId="0" borderId="60" xfId="0" applyBorder="1" applyAlignment="1">
      <alignment horizontal="left"/>
    </xf>
    <xf numFmtId="0" fontId="0" fillId="0" borderId="61" xfId="0" applyBorder="1" applyAlignment="1">
      <alignment horizontal="center"/>
    </xf>
    <xf numFmtId="0" fontId="0" fillId="0" borderId="61" xfId="0" applyBorder="1"/>
    <xf numFmtId="1" fontId="10" fillId="0" borderId="0" xfId="0" applyNumberFormat="1" applyFont="1"/>
    <xf numFmtId="0" fontId="10" fillId="0" borderId="0" xfId="0" applyFont="1" applyAlignment="1">
      <alignment horizontal="left"/>
    </xf>
    <xf numFmtId="0" fontId="10" fillId="0" borderId="0" xfId="0" applyFont="1" applyAlignment="1">
      <alignment horizontal="center"/>
    </xf>
    <xf numFmtId="2" fontId="10" fillId="0" borderId="0" xfId="0" applyNumberFormat="1" applyFont="1" applyAlignment="1">
      <alignment horizontal="center"/>
    </xf>
    <xf numFmtId="0" fontId="9" fillId="0" borderId="62" xfId="0" applyFont="1" applyBorder="1" applyAlignment="1">
      <alignment horizontal="left"/>
    </xf>
    <xf numFmtId="0" fontId="10" fillId="0" borderId="10" xfId="0" applyFont="1" applyBorder="1" applyAlignment="1">
      <alignment horizontal="center"/>
    </xf>
    <xf numFmtId="0" fontId="10" fillId="0" borderId="44" xfId="0" applyFont="1" applyBorder="1"/>
    <xf numFmtId="0" fontId="10" fillId="0" borderId="63" xfId="0" applyFont="1" applyBorder="1"/>
    <xf numFmtId="0" fontId="10" fillId="0" borderId="54" xfId="0" applyFont="1" applyBorder="1"/>
    <xf numFmtId="0" fontId="10" fillId="0" borderId="10" xfId="0" applyFont="1" applyBorder="1"/>
    <xf numFmtId="0" fontId="10" fillId="0" borderId="0" xfId="0" applyFont="1"/>
    <xf numFmtId="0" fontId="3" fillId="0" borderId="60" xfId="0" applyFont="1" applyBorder="1" applyAlignment="1">
      <alignment horizontal="left"/>
    </xf>
    <xf numFmtId="0" fontId="9" fillId="0" borderId="61" xfId="0" applyFont="1" applyBorder="1" applyAlignment="1">
      <alignment horizontal="center"/>
    </xf>
    <xf numFmtId="0" fontId="0" fillId="0" borderId="60" xfId="0" applyBorder="1"/>
    <xf numFmtId="0" fontId="10" fillId="0" borderId="61" xfId="0" applyFont="1" applyBorder="1"/>
    <xf numFmtId="0" fontId="0" fillId="0" borderId="64" xfId="0" applyBorder="1"/>
    <xf numFmtId="0" fontId="3" fillId="0" borderId="60" xfId="0" applyFont="1" applyBorder="1" applyAlignment="1">
      <alignment horizontal="left" indent="1"/>
    </xf>
    <xf numFmtId="0" fontId="0" fillId="0" borderId="64" xfId="0" applyBorder="1" applyAlignment="1">
      <alignment horizontal="left"/>
    </xf>
    <xf numFmtId="0" fontId="9" fillId="0" borderId="10" xfId="0" applyFont="1" applyBorder="1" applyAlignment="1">
      <alignment horizontal="center"/>
    </xf>
    <xf numFmtId="0" fontId="10" fillId="0" borderId="62" xfId="0" applyFont="1" applyBorder="1"/>
    <xf numFmtId="0" fontId="10" fillId="0" borderId="65" xfId="0" applyFont="1" applyBorder="1"/>
    <xf numFmtId="49" fontId="10" fillId="0" borderId="65" xfId="0" applyNumberFormat="1" applyFont="1" applyBorder="1" applyAlignment="1">
      <alignment horizontal="left"/>
    </xf>
    <xf numFmtId="164" fontId="10" fillId="0" borderId="10" xfId="0" applyNumberFormat="1" applyFont="1" applyBorder="1"/>
    <xf numFmtId="49" fontId="10" fillId="0" borderId="10" xfId="0" applyNumberFormat="1" applyFont="1" applyBorder="1" applyAlignment="1">
      <alignment horizontal="right"/>
    </xf>
    <xf numFmtId="49" fontId="10" fillId="0" borderId="65" xfId="0" applyNumberFormat="1" applyFont="1" applyBorder="1" applyAlignment="1">
      <alignment horizontal="right"/>
    </xf>
    <xf numFmtId="0" fontId="10" fillId="0" borderId="4" xfId="0" applyFont="1" applyBorder="1"/>
    <xf numFmtId="0" fontId="20" fillId="0" borderId="4" xfId="0" applyFont="1" applyBorder="1"/>
    <xf numFmtId="0" fontId="21" fillId="0" borderId="0" xfId="0" applyFont="1" applyAlignment="1">
      <alignment horizontal="center"/>
    </xf>
    <xf numFmtId="0" fontId="21" fillId="0" borderId="0" xfId="0" applyFont="1"/>
    <xf numFmtId="49" fontId="10" fillId="0" borderId="0" xfId="0" applyNumberFormat="1" applyFont="1"/>
    <xf numFmtId="165" fontId="10" fillId="0" borderId="0" xfId="0" applyNumberFormat="1" applyFont="1"/>
    <xf numFmtId="15" fontId="9" fillId="0" borderId="0" xfId="0" applyNumberFormat="1" applyFont="1"/>
    <xf numFmtId="0" fontId="10" fillId="0" borderId="12" xfId="0" applyFont="1" applyBorder="1"/>
    <xf numFmtId="0" fontId="9" fillId="0" borderId="0" xfId="0" applyFont="1" applyAlignment="1">
      <alignment vertical="center"/>
    </xf>
    <xf numFmtId="0" fontId="9" fillId="0" borderId="0" xfId="0" applyFont="1" applyAlignment="1">
      <alignment horizontal="center" vertical="center"/>
    </xf>
    <xf numFmtId="49" fontId="2" fillId="0" borderId="0" xfId="0" applyNumberFormat="1" applyFont="1" applyAlignment="1">
      <alignment vertical="center"/>
    </xf>
    <xf numFmtId="165" fontId="3" fillId="0" borderId="0" xfId="0" applyNumberFormat="1" applyFont="1" applyAlignment="1">
      <alignment horizontal="left" vertical="center"/>
    </xf>
    <xf numFmtId="49" fontId="9" fillId="0" borderId="0" xfId="0" applyNumberFormat="1" applyFont="1" applyAlignment="1">
      <alignment vertical="center"/>
    </xf>
    <xf numFmtId="165" fontId="9" fillId="0" borderId="0" xfId="0" applyNumberFormat="1" applyFont="1" applyAlignment="1">
      <alignment vertical="center"/>
    </xf>
    <xf numFmtId="0" fontId="10" fillId="0" borderId="0" xfId="0" applyFont="1" applyAlignment="1">
      <alignment vertical="center"/>
    </xf>
    <xf numFmtId="15" fontId="9" fillId="0" borderId="0" xfId="0" applyNumberFormat="1" applyFont="1" applyAlignment="1">
      <alignment vertical="center"/>
    </xf>
    <xf numFmtId="2" fontId="3" fillId="2" borderId="4" xfId="0" applyNumberFormat="1" applyFont="1" applyFill="1" applyBorder="1" applyAlignment="1">
      <alignment horizontal="center"/>
    </xf>
    <xf numFmtId="0" fontId="0" fillId="2" borderId="3" xfId="0" applyFill="1" applyBorder="1" applyAlignment="1">
      <alignment horizontal="center"/>
    </xf>
    <xf numFmtId="165" fontId="3" fillId="2" borderId="18" xfId="0" applyNumberFormat="1" applyFont="1" applyFill="1" applyBorder="1" applyAlignment="1">
      <alignment horizontal="center"/>
    </xf>
    <xf numFmtId="0" fontId="10" fillId="0" borderId="6" xfId="0" applyFont="1" applyBorder="1"/>
    <xf numFmtId="0" fontId="9" fillId="0" borderId="6" xfId="0" applyFont="1" applyBorder="1" applyAlignment="1">
      <alignment horizontal="left"/>
    </xf>
    <xf numFmtId="0" fontId="10" fillId="0" borderId="6" xfId="0" applyFont="1" applyBorder="1" applyAlignment="1">
      <alignment horizontal="center"/>
    </xf>
    <xf numFmtId="165" fontId="10" fillId="0" borderId="6" xfId="0" applyNumberFormat="1" applyFont="1" applyBorder="1"/>
    <xf numFmtId="0" fontId="7" fillId="0" borderId="6" xfId="0" applyFont="1" applyBorder="1" applyAlignment="1">
      <alignment horizontal="left"/>
    </xf>
    <xf numFmtId="49" fontId="10" fillId="0" borderId="6" xfId="0" applyNumberFormat="1" applyFont="1" applyBorder="1"/>
    <xf numFmtId="15" fontId="9" fillId="0" borderId="6" xfId="0" applyNumberFormat="1" applyFont="1" applyBorder="1"/>
    <xf numFmtId="49" fontId="2" fillId="0" borderId="0" xfId="0" applyNumberFormat="1" applyFont="1" applyAlignment="1">
      <alignment horizontal="center" vertical="center"/>
    </xf>
    <xf numFmtId="2" fontId="3" fillId="0" borderId="6" xfId="0" applyNumberFormat="1" applyFont="1" applyBorder="1" applyAlignment="1">
      <alignment horizontal="center"/>
    </xf>
    <xf numFmtId="0" fontId="0" fillId="0" borderId="3" xfId="0" applyBorder="1" applyAlignment="1">
      <alignment horizontal="center"/>
    </xf>
    <xf numFmtId="165" fontId="3" fillId="0" borderId="18" xfId="0" applyNumberFormat="1" applyFont="1" applyBorder="1" applyAlignment="1">
      <alignment horizontal="center"/>
    </xf>
    <xf numFmtId="2" fontId="0" fillId="0" borderId="6" xfId="0" applyNumberFormat="1" applyBorder="1" applyAlignment="1">
      <alignment horizontal="center"/>
    </xf>
    <xf numFmtId="0" fontId="3" fillId="0" borderId="66" xfId="0" applyFont="1" applyBorder="1" applyAlignment="1">
      <alignment horizontal="left"/>
    </xf>
    <xf numFmtId="0" fontId="3" fillId="0" borderId="7" xfId="0" applyFont="1" applyBorder="1"/>
    <xf numFmtId="0" fontId="22" fillId="0" borderId="4" xfId="0" applyFont="1" applyBorder="1"/>
    <xf numFmtId="49" fontId="22" fillId="0" borderId="49" xfId="0" applyNumberFormat="1" applyFont="1" applyBorder="1"/>
    <xf numFmtId="0" fontId="22" fillId="0" borderId="6" xfId="0" applyFont="1" applyBorder="1"/>
    <xf numFmtId="49" fontId="22" fillId="0" borderId="6" xfId="0" applyNumberFormat="1" applyFont="1" applyBorder="1"/>
    <xf numFmtId="0" fontId="22" fillId="0" borderId="67" xfId="0" applyFont="1" applyBorder="1"/>
    <xf numFmtId="49" fontId="22" fillId="0" borderId="5" xfId="0" applyNumberFormat="1" applyFont="1" applyBorder="1"/>
    <xf numFmtId="165" fontId="3" fillId="3" borderId="45" xfId="0" applyNumberFormat="1" applyFont="1" applyFill="1" applyBorder="1" applyAlignment="1" applyProtection="1">
      <alignment horizontal="center"/>
      <protection locked="0"/>
    </xf>
    <xf numFmtId="165" fontId="3" fillId="3" borderId="46" xfId="0" applyNumberFormat="1" applyFont="1" applyFill="1" applyBorder="1" applyAlignment="1" applyProtection="1">
      <alignment horizontal="center"/>
      <protection locked="0"/>
    </xf>
    <xf numFmtId="165" fontId="3" fillId="3" borderId="47" xfId="0" applyNumberFormat="1" applyFont="1" applyFill="1" applyBorder="1" applyAlignment="1" applyProtection="1">
      <alignment horizontal="center"/>
      <protection locked="0"/>
    </xf>
    <xf numFmtId="0" fontId="3" fillId="0" borderId="62" xfId="0" applyFont="1" applyBorder="1" applyAlignment="1">
      <alignment horizontal="left"/>
    </xf>
    <xf numFmtId="0" fontId="3" fillId="0" borderId="10" xfId="0" applyFont="1" applyBorder="1" applyAlignment="1">
      <alignment horizontal="center"/>
    </xf>
    <xf numFmtId="0" fontId="3" fillId="0" borderId="11" xfId="0" applyFont="1" applyBorder="1"/>
    <xf numFmtId="0" fontId="22" fillId="0" borderId="8" xfId="0" applyFont="1" applyBorder="1" applyAlignment="1">
      <alignment horizontal="center"/>
    </xf>
    <xf numFmtId="0" fontId="22" fillId="0" borderId="65" xfId="0" applyFont="1" applyBorder="1" applyAlignment="1">
      <alignment horizontal="center"/>
    </xf>
    <xf numFmtId="0" fontId="22" fillId="0" borderId="10" xfId="0" applyFont="1" applyBorder="1" applyAlignment="1">
      <alignment horizontal="center"/>
    </xf>
    <xf numFmtId="0" fontId="22" fillId="0" borderId="62" xfId="0" applyFont="1" applyBorder="1" applyAlignment="1">
      <alignment horizontal="center"/>
    </xf>
    <xf numFmtId="0" fontId="22" fillId="0" borderId="9" xfId="0" applyFont="1" applyBorder="1" applyAlignment="1">
      <alignment horizontal="center"/>
    </xf>
    <xf numFmtId="0" fontId="0" fillId="0" borderId="32" xfId="0" applyBorder="1" applyAlignment="1">
      <alignment horizontal="center"/>
    </xf>
    <xf numFmtId="0" fontId="0" fillId="0" borderId="33" xfId="0" applyBorder="1" applyAlignment="1">
      <alignment horizontal="center"/>
    </xf>
    <xf numFmtId="0" fontId="0" fillId="0" borderId="40" xfId="0" applyBorder="1" applyAlignment="1">
      <alignment horizontal="center"/>
    </xf>
    <xf numFmtId="2" fontId="0" fillId="0" borderId="17" xfId="0" applyNumberFormat="1" applyBorder="1" applyAlignment="1">
      <alignment horizontal="center"/>
    </xf>
    <xf numFmtId="0" fontId="5" fillId="0" borderId="68" xfId="0" applyFont="1" applyBorder="1" applyAlignment="1">
      <alignment horizontal="left"/>
    </xf>
    <xf numFmtId="0" fontId="0" fillId="0" borderId="18" xfId="0" applyBorder="1"/>
    <xf numFmtId="0" fontId="5" fillId="3" borderId="14" xfId="0" quotePrefix="1" applyFont="1" applyFill="1" applyBorder="1" applyAlignment="1" applyProtection="1">
      <alignment horizontal="center"/>
      <protection locked="0"/>
    </xf>
    <xf numFmtId="166" fontId="22" fillId="0" borderId="65" xfId="0" applyNumberFormat="1" applyFont="1" applyBorder="1" applyAlignment="1">
      <alignment horizontal="center"/>
    </xf>
    <xf numFmtId="0" fontId="0" fillId="0" borderId="14" xfId="0" applyBorder="1" applyAlignment="1" applyProtection="1">
      <alignment horizontal="center"/>
      <protection locked="0"/>
    </xf>
    <xf numFmtId="2" fontId="0" fillId="0" borderId="1" xfId="0" applyNumberFormat="1" applyBorder="1" applyAlignment="1">
      <alignment horizontal="center"/>
    </xf>
    <xf numFmtId="0" fontId="7" fillId="2" borderId="2" xfId="0" applyFont="1" applyFill="1" applyBorder="1" applyAlignment="1">
      <alignment horizontal="left"/>
    </xf>
    <xf numFmtId="0" fontId="0" fillId="0" borderId="2" xfId="0" applyBorder="1" applyAlignment="1">
      <alignment horizontal="center"/>
    </xf>
    <xf numFmtId="0" fontId="0" fillId="0" borderId="1" xfId="0" applyBorder="1"/>
    <xf numFmtId="0" fontId="0" fillId="3" borderId="45" xfId="0" applyFill="1" applyBorder="1" applyAlignment="1">
      <alignment horizontal="center"/>
    </xf>
    <xf numFmtId="0" fontId="0" fillId="3" borderId="46" xfId="0" applyFill="1" applyBorder="1" applyAlignment="1">
      <alignment horizontal="center"/>
    </xf>
    <xf numFmtId="0" fontId="0" fillId="3" borderId="47" xfId="0" applyFill="1" applyBorder="1" applyAlignment="1">
      <alignment horizontal="center"/>
    </xf>
    <xf numFmtId="0" fontId="0" fillId="0" borderId="67" xfId="0" applyBorder="1" applyAlignment="1">
      <alignment horizontal="left"/>
    </xf>
    <xf numFmtId="0" fontId="3" fillId="0" borderId="13" xfId="0" applyFont="1" applyBorder="1" applyAlignment="1">
      <alignment horizontal="center"/>
    </xf>
    <xf numFmtId="0" fontId="22" fillId="0" borderId="12" xfId="0" applyFont="1" applyBorder="1" applyAlignment="1">
      <alignment horizontal="center"/>
    </xf>
    <xf numFmtId="49" fontId="22" fillId="0" borderId="51" xfId="0" applyNumberFormat="1" applyFont="1" applyBorder="1"/>
    <xf numFmtId="0" fontId="22" fillId="0" borderId="0" xfId="0" applyFont="1" applyAlignment="1">
      <alignment horizontal="center"/>
    </xf>
    <xf numFmtId="49" fontId="22" fillId="0" borderId="13" xfId="0" applyNumberFormat="1" applyFont="1" applyBorder="1"/>
    <xf numFmtId="0" fontId="0" fillId="3" borderId="32" xfId="0" applyFill="1" applyBorder="1" applyAlignment="1">
      <alignment horizontal="center"/>
    </xf>
    <xf numFmtId="0" fontId="0" fillId="3" borderId="33" xfId="0" applyFill="1" applyBorder="1" applyAlignment="1">
      <alignment horizontal="center"/>
    </xf>
    <xf numFmtId="0" fontId="0" fillId="3" borderId="40" xfId="0" applyFill="1" applyBorder="1" applyAlignment="1">
      <alignment horizontal="center"/>
    </xf>
    <xf numFmtId="0" fontId="0" fillId="0" borderId="16" xfId="0" applyBorder="1" applyAlignment="1">
      <alignment horizontal="center"/>
    </xf>
    <xf numFmtId="2" fontId="0" fillId="0" borderId="48" xfId="0" applyNumberFormat="1" applyBorder="1" applyAlignment="1">
      <alignment horizontal="center"/>
    </xf>
    <xf numFmtId="0" fontId="22" fillId="0" borderId="8" xfId="0" applyFont="1" applyBorder="1" applyAlignment="1">
      <alignment horizontal="left"/>
    </xf>
    <xf numFmtId="2" fontId="22" fillId="0" borderId="69" xfId="0" applyNumberFormat="1" applyFont="1" applyBorder="1" applyAlignment="1">
      <alignment horizontal="center"/>
    </xf>
    <xf numFmtId="0" fontId="22" fillId="0" borderId="10" xfId="0" applyFont="1" applyBorder="1" applyAlignment="1">
      <alignment horizontal="left"/>
    </xf>
    <xf numFmtId="2" fontId="22" fillId="0" borderId="9" xfId="0" applyNumberFormat="1" applyFont="1" applyBorder="1" applyAlignment="1">
      <alignment horizontal="center"/>
    </xf>
    <xf numFmtId="0" fontId="3" fillId="0" borderId="14" xfId="0" applyFont="1" applyBorder="1"/>
    <xf numFmtId="0" fontId="0" fillId="0" borderId="18" xfId="0" applyBorder="1" applyAlignment="1" applyProtection="1">
      <alignment horizontal="center"/>
      <protection locked="0"/>
    </xf>
    <xf numFmtId="0" fontId="22" fillId="0" borderId="15" xfId="0" applyFont="1" applyBorder="1" applyAlignment="1">
      <alignment horizontal="left"/>
    </xf>
    <xf numFmtId="0" fontId="22" fillId="0" borderId="17" xfId="0" applyFont="1" applyBorder="1" applyAlignment="1">
      <alignment horizontal="left"/>
    </xf>
    <xf numFmtId="2" fontId="22" fillId="0" borderId="16" xfId="0" applyNumberFormat="1" applyFont="1" applyBorder="1" applyAlignment="1">
      <alignment horizontal="center"/>
    </xf>
    <xf numFmtId="0" fontId="5" fillId="0" borderId="14" xfId="0" applyFont="1" applyBorder="1" applyAlignment="1">
      <alignment horizontal="center"/>
    </xf>
    <xf numFmtId="0" fontId="5" fillId="0" borderId="0" xfId="0" applyFont="1" applyAlignment="1">
      <alignment horizontal="left"/>
    </xf>
    <xf numFmtId="0" fontId="3" fillId="11" borderId="70" xfId="0" applyFont="1" applyFill="1" applyBorder="1" applyAlignment="1">
      <alignment horizontal="center"/>
    </xf>
    <xf numFmtId="0" fontId="3" fillId="11" borderId="71" xfId="0" applyFont="1" applyFill="1" applyBorder="1" applyAlignment="1">
      <alignment horizontal="center"/>
    </xf>
    <xf numFmtId="0" fontId="3" fillId="11" borderId="72" xfId="0" applyFont="1" applyFill="1" applyBorder="1" applyAlignment="1">
      <alignment horizontal="center"/>
    </xf>
    <xf numFmtId="0" fontId="5" fillId="0" borderId="14" xfId="0" applyFont="1" applyBorder="1" applyAlignment="1">
      <alignment horizontal="left"/>
    </xf>
    <xf numFmtId="164" fontId="3" fillId="0" borderId="52" xfId="0" applyNumberFormat="1" applyFont="1" applyBorder="1" applyAlignment="1">
      <alignment horizontal="center"/>
    </xf>
    <xf numFmtId="164" fontId="3" fillId="0" borderId="53" xfId="0" applyNumberFormat="1" applyFont="1" applyBorder="1" applyAlignment="1">
      <alignment horizontal="center"/>
    </xf>
    <xf numFmtId="164" fontId="3" fillId="0" borderId="55" xfId="0" applyNumberFormat="1" applyFont="1" applyBorder="1" applyAlignment="1">
      <alignment horizontal="center"/>
    </xf>
    <xf numFmtId="0" fontId="16" fillId="0" borderId="0" xfId="0" applyFont="1" applyAlignment="1">
      <alignment horizontal="left"/>
    </xf>
    <xf numFmtId="164" fontId="3" fillId="0" borderId="33" xfId="0" applyNumberFormat="1" applyFont="1" applyBorder="1" applyAlignment="1">
      <alignment horizontal="center"/>
    </xf>
    <xf numFmtId="2" fontId="3" fillId="0" borderId="2" xfId="0" applyNumberFormat="1" applyFont="1" applyBorder="1" applyAlignment="1">
      <alignment horizontal="center"/>
    </xf>
    <xf numFmtId="0" fontId="0" fillId="0" borderId="3" xfId="0" applyBorder="1"/>
    <xf numFmtId="0" fontId="22" fillId="0" borderId="12" xfId="0" applyFont="1" applyBorder="1"/>
    <xf numFmtId="0" fontId="22" fillId="0" borderId="0" xfId="0" applyFont="1"/>
    <xf numFmtId="49" fontId="22" fillId="0" borderId="0" xfId="0" applyNumberFormat="1" applyFont="1"/>
    <xf numFmtId="2" fontId="0" fillId="0" borderId="45" xfId="0" applyNumberFormat="1" applyBorder="1" applyAlignment="1">
      <alignment horizontal="center"/>
    </xf>
    <xf numFmtId="0" fontId="22" fillId="0" borderId="12" xfId="0" applyFont="1" applyBorder="1" applyAlignment="1">
      <alignment horizontal="left"/>
    </xf>
    <xf numFmtId="49" fontId="0" fillId="0" borderId="51" xfId="0" applyNumberFormat="1" applyBorder="1"/>
    <xf numFmtId="0" fontId="22" fillId="0" borderId="0" xfId="0" applyFont="1" applyAlignment="1">
      <alignment horizontal="left"/>
    </xf>
    <xf numFmtId="0" fontId="22" fillId="0" borderId="15" xfId="0" applyFont="1" applyBorder="1" applyAlignment="1">
      <alignment horizontal="center"/>
    </xf>
    <xf numFmtId="166" fontId="22" fillId="0" borderId="69" xfId="0" applyNumberFormat="1" applyFont="1" applyBorder="1" applyAlignment="1">
      <alignment horizontal="center"/>
    </xf>
    <xf numFmtId="0" fontId="22" fillId="0" borderId="17" xfId="0" applyFont="1" applyBorder="1" applyAlignment="1">
      <alignment horizontal="center"/>
    </xf>
    <xf numFmtId="165" fontId="23" fillId="0" borderId="0" xfId="0" applyNumberFormat="1" applyFont="1"/>
    <xf numFmtId="49" fontId="23" fillId="0" borderId="0" xfId="0" applyNumberFormat="1" applyFont="1"/>
    <xf numFmtId="165" fontId="23" fillId="0" borderId="60" xfId="0" applyNumberFormat="1" applyFont="1" applyBorder="1"/>
    <xf numFmtId="49" fontId="23" fillId="0" borderId="51" xfId="0" applyNumberFormat="1" applyFont="1" applyBorder="1"/>
    <xf numFmtId="0" fontId="24" fillId="0" borderId="64" xfId="0" applyFont="1" applyBorder="1" applyAlignment="1">
      <alignment horizontal="center"/>
    </xf>
    <xf numFmtId="49" fontId="24" fillId="0" borderId="51" xfId="0" applyNumberFormat="1" applyFont="1" applyBorder="1"/>
    <xf numFmtId="0" fontId="5" fillId="0" borderId="18" xfId="0" applyFont="1" applyBorder="1" applyAlignment="1">
      <alignment horizontal="center"/>
    </xf>
    <xf numFmtId="165" fontId="23" fillId="0" borderId="17" xfId="0" applyNumberFormat="1" applyFont="1" applyBorder="1"/>
    <xf numFmtId="0" fontId="24" fillId="0" borderId="69" xfId="0" applyFont="1" applyBorder="1" applyAlignment="1">
      <alignment horizontal="center"/>
    </xf>
    <xf numFmtId="0" fontId="5" fillId="0" borderId="0" xfId="0" applyFont="1" applyAlignment="1">
      <alignment horizontal="center"/>
    </xf>
    <xf numFmtId="0" fontId="9" fillId="0" borderId="6" xfId="0" applyFont="1" applyBorder="1"/>
    <xf numFmtId="165" fontId="9" fillId="0" borderId="6" xfId="0" applyNumberFormat="1" applyFont="1" applyBorder="1"/>
    <xf numFmtId="49" fontId="9" fillId="0" borderId="6" xfId="0" applyNumberFormat="1" applyFont="1" applyBorder="1"/>
    <xf numFmtId="2" fontId="3" fillId="0" borderId="4" xfId="0" applyNumberFormat="1" applyFont="1" applyBorder="1" applyAlignment="1">
      <alignment horizontal="center"/>
    </xf>
    <xf numFmtId="2" fontId="0" fillId="0" borderId="4" xfId="0" applyNumberFormat="1" applyBorder="1" applyAlignment="1">
      <alignment horizontal="center"/>
    </xf>
    <xf numFmtId="2" fontId="0" fillId="0" borderId="12" xfId="0" applyNumberFormat="1" applyBorder="1" applyAlignment="1">
      <alignment horizontal="center"/>
    </xf>
    <xf numFmtId="2" fontId="22" fillId="0" borderId="65" xfId="0" applyNumberFormat="1" applyFont="1" applyBorder="1" applyAlignment="1">
      <alignment horizontal="center"/>
    </xf>
    <xf numFmtId="2" fontId="22" fillId="0" borderId="10" xfId="0" applyNumberFormat="1" applyFont="1" applyBorder="1" applyAlignment="1">
      <alignment horizontal="center"/>
    </xf>
    <xf numFmtId="0" fontId="22" fillId="0" borderId="66" xfId="0" applyFont="1" applyBorder="1"/>
    <xf numFmtId="2" fontId="0" fillId="0" borderId="15" xfId="0" applyNumberFormat="1" applyBorder="1" applyAlignment="1">
      <alignment horizontal="center"/>
    </xf>
    <xf numFmtId="0" fontId="22" fillId="0" borderId="69" xfId="0" applyFont="1" applyBorder="1" applyAlignment="1">
      <alignment horizontal="center"/>
    </xf>
    <xf numFmtId="0" fontId="22" fillId="0" borderId="16" xfId="0" applyFont="1" applyBorder="1" applyAlignment="1">
      <alignment horizontal="center"/>
    </xf>
    <xf numFmtId="0" fontId="0" fillId="0" borderId="53" xfId="0" applyBorder="1" applyAlignment="1">
      <alignment horizontal="center"/>
    </xf>
    <xf numFmtId="0" fontId="22" fillId="0" borderId="51" xfId="0" applyFont="1" applyBorder="1" applyAlignment="1">
      <alignment horizontal="center"/>
    </xf>
    <xf numFmtId="0" fontId="22" fillId="0" borderId="13" xfId="0" applyFont="1" applyBorder="1" applyAlignment="1">
      <alignment horizontal="center"/>
    </xf>
    <xf numFmtId="165" fontId="23" fillId="0" borderId="66" xfId="0" applyNumberFormat="1" applyFont="1" applyBorder="1"/>
    <xf numFmtId="0" fontId="24" fillId="0" borderId="0" xfId="0" applyFont="1" applyAlignment="1">
      <alignment horizontal="center"/>
    </xf>
    <xf numFmtId="0" fontId="25" fillId="0" borderId="13" xfId="0" applyFont="1" applyBorder="1" applyAlignment="1">
      <alignment horizontal="center"/>
    </xf>
    <xf numFmtId="49" fontId="25" fillId="0" borderId="0" xfId="0" applyNumberFormat="1" applyFont="1"/>
    <xf numFmtId="49" fontId="25" fillId="0" borderId="13" xfId="0" applyNumberFormat="1" applyFont="1" applyBorder="1"/>
    <xf numFmtId="165" fontId="23" fillId="0" borderId="68" xfId="0" applyNumberFormat="1" applyFont="1" applyBorder="1"/>
    <xf numFmtId="0" fontId="25" fillId="0" borderId="16" xfId="0" applyFont="1" applyBorder="1" applyAlignment="1">
      <alignment horizontal="center"/>
    </xf>
    <xf numFmtId="165" fontId="0" fillId="0" borderId="0" xfId="0" applyNumberFormat="1" applyAlignment="1" applyProtection="1">
      <alignment horizontal="center"/>
      <protection locked="0"/>
    </xf>
    <xf numFmtId="167" fontId="5" fillId="0" borderId="41" xfId="0" applyNumberFormat="1" applyFont="1" applyBorder="1" applyAlignment="1">
      <alignment horizontal="center"/>
    </xf>
    <xf numFmtId="167" fontId="5" fillId="0" borderId="42" xfId="0" applyNumberFormat="1" applyFont="1" applyBorder="1" applyAlignment="1">
      <alignment horizontal="center"/>
    </xf>
    <xf numFmtId="167" fontId="5" fillId="0" borderId="5" xfId="0" applyNumberFormat="1" applyFont="1" applyBorder="1" applyAlignment="1">
      <alignment horizontal="center"/>
    </xf>
    <xf numFmtId="164" fontId="3" fillId="11" borderId="70" xfId="0" applyNumberFormat="1" applyFont="1" applyFill="1" applyBorder="1" applyAlignment="1">
      <alignment horizontal="center"/>
    </xf>
    <xf numFmtId="0" fontId="10" fillId="0" borderId="4" xfId="0" applyFont="1" applyBorder="1" applyAlignment="1">
      <alignment horizontal="left"/>
    </xf>
    <xf numFmtId="0" fontId="10" fillId="0" borderId="15" xfId="0" applyFont="1" applyBorder="1" applyAlignment="1">
      <alignment horizontal="left"/>
    </xf>
    <xf numFmtId="0" fontId="9" fillId="0" borderId="17" xfId="0" applyFont="1" applyBorder="1" applyAlignment="1">
      <alignment vertical="center"/>
    </xf>
    <xf numFmtId="0" fontId="9" fillId="0" borderId="17" xfId="0" applyFont="1" applyBorder="1" applyAlignment="1">
      <alignment horizontal="center" vertical="center"/>
    </xf>
    <xf numFmtId="2" fontId="3" fillId="0" borderId="26" xfId="0" applyNumberFormat="1" applyFont="1" applyBorder="1" applyAlignment="1">
      <alignment horizontal="center"/>
    </xf>
    <xf numFmtId="165" fontId="3" fillId="3" borderId="51" xfId="0" applyNumberFormat="1" applyFont="1" applyFill="1" applyBorder="1" applyAlignment="1" applyProtection="1">
      <alignment horizontal="center"/>
      <protection locked="0"/>
    </xf>
    <xf numFmtId="0" fontId="0" fillId="0" borderId="65" xfId="0" applyBorder="1" applyAlignment="1">
      <alignment horizontal="center"/>
    </xf>
    <xf numFmtId="166" fontId="22" fillId="0" borderId="9" xfId="0" applyNumberFormat="1" applyFont="1" applyBorder="1" applyAlignment="1">
      <alignment horizontal="center"/>
    </xf>
    <xf numFmtId="2" fontId="22" fillId="0" borderId="17" xfId="0" applyNumberFormat="1" applyFont="1" applyBorder="1" applyAlignment="1">
      <alignment horizontal="center"/>
    </xf>
    <xf numFmtId="0" fontId="22" fillId="0" borderId="68" xfId="0" applyFont="1" applyBorder="1" applyAlignment="1">
      <alignment horizontal="center"/>
    </xf>
    <xf numFmtId="0" fontId="0" fillId="0" borderId="51" xfId="0" applyBorder="1" applyAlignment="1">
      <alignment horizontal="center"/>
    </xf>
    <xf numFmtId="0" fontId="0" fillId="0" borderId="46" xfId="0" applyBorder="1" applyAlignment="1">
      <alignment horizontal="center"/>
    </xf>
    <xf numFmtId="0" fontId="0" fillId="3" borderId="51" xfId="0" applyFill="1" applyBorder="1" applyAlignment="1">
      <alignment horizontal="center"/>
    </xf>
    <xf numFmtId="0" fontId="0" fillId="3" borderId="65" xfId="0" applyFill="1" applyBorder="1" applyAlignment="1">
      <alignment horizontal="center"/>
    </xf>
    <xf numFmtId="165" fontId="23" fillId="0" borderId="73" xfId="0" applyNumberFormat="1" applyFont="1" applyBorder="1"/>
    <xf numFmtId="165" fontId="23" fillId="0" borderId="12" xfId="0" applyNumberFormat="1" applyFont="1" applyBorder="1"/>
    <xf numFmtId="165" fontId="23" fillId="0" borderId="15" xfId="0" applyNumberFormat="1" applyFont="1" applyBorder="1"/>
    <xf numFmtId="2" fontId="3" fillId="0" borderId="1" xfId="0" applyNumberFormat="1" applyFont="1" applyBorder="1" applyAlignment="1">
      <alignment horizontal="center"/>
    </xf>
    <xf numFmtId="0" fontId="3" fillId="0" borderId="66" xfId="0" applyFont="1" applyBorder="1" applyAlignment="1">
      <alignment horizontal="center"/>
    </xf>
    <xf numFmtId="167" fontId="3" fillId="3" borderId="51" xfId="0" applyNumberFormat="1" applyFont="1" applyFill="1" applyBorder="1" applyAlignment="1" applyProtection="1">
      <alignment horizontal="center"/>
      <protection locked="0"/>
    </xf>
    <xf numFmtId="0" fontId="26" fillId="0" borderId="13" xfId="0" applyFont="1" applyBorder="1" applyAlignment="1">
      <alignment horizontal="center"/>
    </xf>
    <xf numFmtId="49" fontId="26" fillId="0" borderId="13" xfId="0" applyNumberFormat="1" applyFont="1" applyBorder="1"/>
    <xf numFmtId="0" fontId="26" fillId="0" borderId="16" xfId="0" applyFont="1" applyBorder="1" applyAlignment="1">
      <alignment horizontal="center"/>
    </xf>
    <xf numFmtId="0" fontId="5" fillId="0" borderId="0" xfId="0" applyFont="1" applyAlignment="1" applyProtection="1">
      <alignment horizontal="center"/>
      <protection locked="0"/>
    </xf>
    <xf numFmtId="49" fontId="27" fillId="0" borderId="0" xfId="0" applyNumberFormat="1" applyFont="1" applyAlignment="1">
      <alignment horizontal="center" vertical="center"/>
    </xf>
    <xf numFmtId="0" fontId="0" fillId="0" borderId="7" xfId="0" applyBorder="1" applyAlignment="1" applyProtection="1">
      <alignment horizontal="center"/>
      <protection locked="0"/>
    </xf>
    <xf numFmtId="49" fontId="23" fillId="0" borderId="64" xfId="0" applyNumberFormat="1" applyFont="1" applyBorder="1"/>
    <xf numFmtId="0" fontId="5" fillId="0" borderId="0" xfId="0" applyFont="1" applyAlignment="1" applyProtection="1">
      <alignment horizontal="left"/>
      <protection locked="0"/>
    </xf>
    <xf numFmtId="0" fontId="16" fillId="0" borderId="0" xfId="0" applyFont="1" applyAlignment="1" applyProtection="1">
      <alignment horizontal="left"/>
      <protection locked="0"/>
    </xf>
    <xf numFmtId="0" fontId="3" fillId="0" borderId="67" xfId="0" applyFont="1" applyBorder="1" applyAlignment="1">
      <alignment horizontal="left"/>
    </xf>
    <xf numFmtId="0" fontId="0" fillId="0" borderId="17" xfId="0" applyBorder="1" applyAlignment="1">
      <alignment horizontal="left"/>
    </xf>
    <xf numFmtId="0" fontId="3" fillId="0" borderId="16" xfId="0" applyFont="1" applyBorder="1" applyAlignment="1">
      <alignment horizontal="center"/>
    </xf>
    <xf numFmtId="0" fontId="3" fillId="0" borderId="68" xfId="0" applyFont="1" applyBorder="1" applyAlignment="1">
      <alignment horizontal="left"/>
    </xf>
    <xf numFmtId="166" fontId="22" fillId="0" borderId="16" xfId="0" applyNumberFormat="1" applyFont="1" applyBorder="1" applyAlignment="1">
      <alignment horizontal="center"/>
    </xf>
    <xf numFmtId="0" fontId="0" fillId="3" borderId="69" xfId="0" applyFill="1" applyBorder="1" applyAlignment="1">
      <alignment horizontal="center"/>
    </xf>
    <xf numFmtId="0" fontId="0" fillId="3" borderId="53" xfId="0" applyFill="1" applyBorder="1" applyAlignment="1">
      <alignment horizontal="center"/>
    </xf>
    <xf numFmtId="0" fontId="0" fillId="3" borderId="55" xfId="0" applyFill="1" applyBorder="1" applyAlignment="1">
      <alignment horizontal="center"/>
    </xf>
    <xf numFmtId="165" fontId="0" fillId="0" borderId="0" xfId="0" applyNumberFormat="1"/>
    <xf numFmtId="49" fontId="0" fillId="0" borderId="0" xfId="0" applyNumberFormat="1"/>
    <xf numFmtId="0" fontId="0" fillId="0" borderId="26" xfId="0" applyBorder="1" applyAlignment="1" applyProtection="1">
      <alignment horizontal="center"/>
      <protection locked="0"/>
    </xf>
    <xf numFmtId="0" fontId="0" fillId="0" borderId="26" xfId="0" applyBorder="1"/>
    <xf numFmtId="0" fontId="0" fillId="0" borderId="6" xfId="0" applyBorder="1" applyAlignment="1">
      <alignment horizontal="left"/>
    </xf>
    <xf numFmtId="165" fontId="0" fillId="2" borderId="21" xfId="0" applyNumberFormat="1" applyFill="1" applyBorder="1"/>
    <xf numFmtId="0" fontId="5" fillId="0" borderId="12" xfId="0" applyFont="1" applyBorder="1" applyAlignment="1">
      <alignment horizontal="center"/>
    </xf>
    <xf numFmtId="0" fontId="0" fillId="0" borderId="12" xfId="0" applyBorder="1" applyAlignment="1">
      <alignment horizontal="left"/>
    </xf>
    <xf numFmtId="49" fontId="0" fillId="0" borderId="64" xfId="0" applyNumberFormat="1" applyBorder="1"/>
    <xf numFmtId="165" fontId="0" fillId="0" borderId="13" xfId="0" applyNumberFormat="1" applyBorder="1"/>
    <xf numFmtId="0" fontId="0" fillId="0" borderId="66" xfId="0" applyBorder="1" applyAlignment="1">
      <alignment horizontal="left"/>
    </xf>
    <xf numFmtId="0" fontId="0" fillId="0" borderId="51" xfId="0" applyBorder="1" applyAlignment="1">
      <alignment horizontal="left"/>
    </xf>
    <xf numFmtId="49" fontId="0" fillId="0" borderId="0" xfId="0" applyNumberFormat="1" applyAlignment="1">
      <alignment horizontal="center"/>
    </xf>
    <xf numFmtId="0" fontId="5" fillId="0" borderId="66" xfId="0" applyFont="1" applyBorder="1" applyAlignment="1">
      <alignment horizontal="left"/>
    </xf>
    <xf numFmtId="1" fontId="0" fillId="0" borderId="66" xfId="0" applyNumberFormat="1" applyBorder="1" applyAlignment="1">
      <alignment horizontal="left"/>
    </xf>
    <xf numFmtId="1" fontId="0" fillId="0" borderId="51" xfId="0" applyNumberFormat="1" applyBorder="1" applyAlignment="1">
      <alignment horizontal="left"/>
    </xf>
    <xf numFmtId="1" fontId="0" fillId="0" borderId="0" xfId="0" applyNumberFormat="1" applyAlignment="1">
      <alignment horizontal="left"/>
    </xf>
    <xf numFmtId="0" fontId="0" fillId="0" borderId="15" xfId="0" applyBorder="1" applyAlignment="1">
      <alignment horizontal="left"/>
    </xf>
    <xf numFmtId="0" fontId="0" fillId="0" borderId="69" xfId="0" applyBorder="1" applyAlignment="1">
      <alignment horizontal="left"/>
    </xf>
    <xf numFmtId="1" fontId="0" fillId="0" borderId="17" xfId="0" applyNumberFormat="1" applyBorder="1" applyAlignment="1">
      <alignment horizontal="left"/>
    </xf>
    <xf numFmtId="1" fontId="0" fillId="0" borderId="69" xfId="0" applyNumberFormat="1" applyBorder="1" applyAlignment="1">
      <alignment horizontal="left"/>
    </xf>
    <xf numFmtId="165" fontId="0" fillId="0" borderId="16" xfId="0" applyNumberFormat="1" applyBorder="1"/>
    <xf numFmtId="0" fontId="0" fillId="0" borderId="4" xfId="0" applyBorder="1" applyAlignment="1">
      <alignment horizontal="center"/>
    </xf>
    <xf numFmtId="0" fontId="9" fillId="14" borderId="4" xfId="0" applyFont="1" applyFill="1" applyBorder="1" applyAlignment="1">
      <alignment horizontal="center"/>
    </xf>
    <xf numFmtId="0" fontId="9" fillId="14" borderId="15" xfId="0" applyFont="1" applyFill="1" applyBorder="1" applyAlignment="1">
      <alignment horizontal="center"/>
    </xf>
    <xf numFmtId="0" fontId="19" fillId="14" borderId="4" xfId="0" applyFont="1" applyFill="1" applyBorder="1" applyAlignment="1">
      <alignment horizontal="right" indent="1"/>
    </xf>
    <xf numFmtId="0" fontId="19" fillId="14" borderId="5" xfId="0" applyFont="1" applyFill="1" applyBorder="1" applyAlignment="1">
      <alignment horizontal="left" indent="1"/>
    </xf>
    <xf numFmtId="0" fontId="19" fillId="14" borderId="15" xfId="0" applyFont="1" applyFill="1" applyBorder="1" applyAlignment="1">
      <alignment horizontal="center"/>
    </xf>
    <xf numFmtId="0" fontId="19" fillId="14" borderId="16" xfId="0" quotePrefix="1" applyFont="1" applyFill="1" applyBorder="1" applyAlignment="1">
      <alignment horizontal="center"/>
    </xf>
    <xf numFmtId="0" fontId="0" fillId="0" borderId="0" xfId="0" applyAlignment="1">
      <alignment horizontal="right"/>
    </xf>
    <xf numFmtId="0" fontId="19" fillId="14" borderId="6" xfId="0" applyFont="1" applyFill="1" applyBorder="1" applyAlignment="1">
      <alignment horizontal="left" indent="1"/>
    </xf>
    <xf numFmtId="0" fontId="1" fillId="14" borderId="2" xfId="0" applyFont="1" applyFill="1" applyBorder="1" applyAlignment="1">
      <alignment horizontal="center"/>
    </xf>
    <xf numFmtId="0" fontId="0" fillId="14" borderId="3" xfId="0" applyFill="1" applyBorder="1" applyAlignment="1">
      <alignment horizontal="left"/>
    </xf>
    <xf numFmtId="0" fontId="1" fillId="14" borderId="1" xfId="0" applyFont="1" applyFill="1" applyBorder="1" applyAlignment="1">
      <alignment horizontal="left"/>
    </xf>
    <xf numFmtId="0" fontId="19" fillId="14" borderId="4" xfId="0" applyFont="1" applyFill="1" applyBorder="1" applyAlignment="1">
      <alignment horizontal="left" indent="1"/>
    </xf>
    <xf numFmtId="0" fontId="19" fillId="14" borderId="15" xfId="0" quotePrefix="1" applyFont="1" applyFill="1" applyBorder="1" applyAlignment="1">
      <alignment horizontal="center"/>
    </xf>
    <xf numFmtId="0" fontId="19" fillId="14" borderId="17" xfId="0" applyFont="1" applyFill="1" applyBorder="1" applyAlignment="1">
      <alignment horizontal="center"/>
    </xf>
    <xf numFmtId="0" fontId="19" fillId="14" borderId="16" xfId="0" quotePrefix="1" applyFont="1" applyFill="1" applyBorder="1" applyAlignment="1">
      <alignment horizontal="left"/>
    </xf>
    <xf numFmtId="0" fontId="0" fillId="0" borderId="7" xfId="0" applyBorder="1"/>
    <xf numFmtId="0" fontId="0" fillId="0" borderId="14" xfId="0" applyBorder="1"/>
    <xf numFmtId="0" fontId="0" fillId="14" borderId="18" xfId="0" applyFill="1" applyBorder="1"/>
    <xf numFmtId="0" fontId="19" fillId="14" borderId="7" xfId="0" applyFont="1" applyFill="1" applyBorder="1" applyAlignment="1">
      <alignment horizontal="center"/>
    </xf>
    <xf numFmtId="0" fontId="0" fillId="3" borderId="16" xfId="0" quotePrefix="1" applyFill="1" applyBorder="1" applyAlignment="1" applyProtection="1">
      <alignment horizontal="left" indent="1"/>
      <protection locked="0"/>
    </xf>
    <xf numFmtId="0" fontId="0" fillId="3" borderId="16" xfId="0" quotePrefix="1" applyFill="1" applyBorder="1" applyAlignment="1" applyProtection="1">
      <alignment horizontal="center"/>
      <protection locked="0"/>
    </xf>
    <xf numFmtId="0" fontId="0" fillId="3" borderId="13" xfId="0" quotePrefix="1" applyFill="1" applyBorder="1" applyAlignment="1" applyProtection="1">
      <alignment horizontal="left" indent="1"/>
      <protection locked="0"/>
    </xf>
    <xf numFmtId="0" fontId="0" fillId="3" borderId="13" xfId="0" quotePrefix="1" applyFill="1" applyBorder="1" applyAlignment="1" applyProtection="1">
      <alignment horizontal="center"/>
      <protection locked="0"/>
    </xf>
    <xf numFmtId="0" fontId="5" fillId="3" borderId="16" xfId="0" quotePrefix="1" applyFont="1" applyFill="1" applyBorder="1" applyAlignment="1" applyProtection="1">
      <alignment horizontal="left" indent="1"/>
      <protection locked="0"/>
    </xf>
    <xf numFmtId="0" fontId="7" fillId="2" borderId="48" xfId="0" applyFont="1" applyFill="1" applyBorder="1" applyAlignment="1">
      <alignment horizontal="left" indent="1"/>
    </xf>
    <xf numFmtId="0" fontId="7" fillId="2" borderId="6" xfId="0" applyFont="1" applyFill="1" applyBorder="1" applyAlignment="1">
      <alignment horizontal="left" indent="1"/>
    </xf>
    <xf numFmtId="0" fontId="3" fillId="2" borderId="6" xfId="0" applyFont="1" applyFill="1" applyBorder="1" applyAlignment="1">
      <alignment horizontal="left"/>
    </xf>
    <xf numFmtId="0" fontId="0" fillId="2" borderId="6" xfId="0" applyFill="1" applyBorder="1" applyAlignment="1">
      <alignment horizontal="left"/>
    </xf>
    <xf numFmtId="0" fontId="0" fillId="11" borderId="50" xfId="0" applyFill="1" applyBorder="1" applyAlignment="1">
      <alignment horizontal="center"/>
    </xf>
    <xf numFmtId="0" fontId="0" fillId="11" borderId="6" xfId="0" applyFill="1" applyBorder="1" applyAlignment="1">
      <alignment horizontal="left"/>
    </xf>
    <xf numFmtId="0" fontId="0" fillId="11" borderId="5" xfId="0" applyFill="1" applyBorder="1" applyAlignment="1">
      <alignment horizontal="left"/>
    </xf>
    <xf numFmtId="0" fontId="3" fillId="2" borderId="0" xfId="0" applyFont="1" applyFill="1" applyAlignment="1">
      <alignment horizontal="center"/>
    </xf>
    <xf numFmtId="0" fontId="18" fillId="12" borderId="5" xfId="0" applyFont="1" applyFill="1" applyBorder="1"/>
    <xf numFmtId="0" fontId="18" fillId="12" borderId="16" xfId="0" applyFont="1" applyFill="1" applyBorder="1"/>
    <xf numFmtId="1" fontId="3" fillId="11" borderId="71" xfId="0" applyNumberFormat="1" applyFont="1" applyFill="1" applyBorder="1" applyAlignment="1">
      <alignment horizontal="center"/>
    </xf>
    <xf numFmtId="0" fontId="7" fillId="0" borderId="6" xfId="0" applyFont="1" applyBorder="1" applyAlignment="1">
      <alignment horizontal="left" vertical="center"/>
    </xf>
    <xf numFmtId="0" fontId="28" fillId="0" borderId="4" xfId="0" applyFont="1" applyBorder="1" applyAlignment="1">
      <alignment horizontal="center"/>
    </xf>
    <xf numFmtId="0" fontId="28" fillId="0" borderId="7" xfId="0" applyFont="1" applyBorder="1" applyAlignment="1">
      <alignment horizontal="center"/>
    </xf>
    <xf numFmtId="0" fontId="3" fillId="0" borderId="19" xfId="0" applyFont="1" applyBorder="1"/>
    <xf numFmtId="0" fontId="0" fillId="0" borderId="20" xfId="0" applyBorder="1"/>
    <xf numFmtId="0" fontId="0" fillId="0" borderId="21" xfId="0" applyBorder="1"/>
    <xf numFmtId="0" fontId="3" fillId="0" borderId="20" xfId="0" applyFont="1" applyBorder="1"/>
    <xf numFmtId="0" fontId="28" fillId="0" borderId="15" xfId="0" applyFont="1" applyBorder="1" applyAlignment="1">
      <alignment horizontal="center"/>
    </xf>
    <xf numFmtId="0" fontId="28" fillId="0" borderId="18" xfId="0" applyFont="1" applyBorder="1" applyAlignment="1">
      <alignment horizontal="center"/>
    </xf>
    <xf numFmtId="0" fontId="0" fillId="0" borderId="17" xfId="0" applyBorder="1" applyAlignment="1">
      <alignment horizontal="right"/>
    </xf>
    <xf numFmtId="0" fontId="0" fillId="0" borderId="16" xfId="0" applyBorder="1" applyAlignment="1">
      <alignment horizontal="right"/>
    </xf>
    <xf numFmtId="0" fontId="0" fillId="15" borderId="7" xfId="0" applyFill="1" applyBorder="1" applyAlignment="1">
      <alignment horizontal="center"/>
    </xf>
    <xf numFmtId="0" fontId="0" fillId="15" borderId="4" xfId="0" applyFill="1" applyBorder="1" applyAlignment="1">
      <alignment horizontal="center"/>
    </xf>
    <xf numFmtId="0" fontId="0" fillId="15" borderId="14" xfId="0" applyFill="1" applyBorder="1" applyAlignment="1">
      <alignment horizontal="center"/>
    </xf>
    <xf numFmtId="0" fontId="0" fillId="15" borderId="12" xfId="0" applyFill="1" applyBorder="1" applyAlignment="1">
      <alignment horizontal="center"/>
    </xf>
    <xf numFmtId="0" fontId="0" fillId="15" borderId="18" xfId="0" applyFill="1" applyBorder="1" applyAlignment="1">
      <alignment horizontal="center"/>
    </xf>
    <xf numFmtId="0" fontId="0" fillId="15" borderId="15" xfId="0" applyFill="1" applyBorder="1" applyAlignment="1">
      <alignment horizontal="center"/>
    </xf>
    <xf numFmtId="0" fontId="3" fillId="11" borderId="6" xfId="0" applyFont="1" applyFill="1" applyBorder="1"/>
    <xf numFmtId="0" fontId="5" fillId="11" borderId="6" xfId="0" applyFont="1" applyFill="1" applyBorder="1" applyAlignment="1">
      <alignment horizontal="center"/>
    </xf>
    <xf numFmtId="0" fontId="0" fillId="11" borderId="6" xfId="0" applyFill="1" applyBorder="1" applyAlignment="1">
      <alignment horizontal="center"/>
    </xf>
    <xf numFmtId="0" fontId="0" fillId="11" borderId="5" xfId="0" applyFill="1" applyBorder="1" applyAlignment="1">
      <alignment horizontal="center"/>
    </xf>
    <xf numFmtId="0" fontId="5" fillId="0" borderId="20" xfId="0" applyFont="1" applyBorder="1" applyAlignment="1">
      <alignment horizontal="center"/>
    </xf>
    <xf numFmtId="0" fontId="0" fillId="11" borderId="17" xfId="0" applyFill="1" applyBorder="1"/>
    <xf numFmtId="0" fontId="5" fillId="11" borderId="17" xfId="0" applyFont="1" applyFill="1" applyBorder="1" applyAlignment="1">
      <alignment horizontal="center"/>
    </xf>
    <xf numFmtId="0" fontId="0" fillId="11" borderId="17" xfId="0" applyFill="1" applyBorder="1" applyAlignment="1">
      <alignment horizontal="center"/>
    </xf>
    <xf numFmtId="0" fontId="0" fillId="11" borderId="16" xfId="0" applyFill="1" applyBorder="1" applyAlignment="1">
      <alignment horizontal="center"/>
    </xf>
    <xf numFmtId="0" fontId="3" fillId="0" borderId="17" xfId="0" applyFont="1" applyBorder="1"/>
    <xf numFmtId="0" fontId="28" fillId="0" borderId="15" xfId="0" applyFont="1" applyBorder="1" applyAlignment="1">
      <alignment horizontal="left"/>
    </xf>
    <xf numFmtId="0" fontId="5" fillId="0" borderId="17" xfId="0" applyFont="1" applyBorder="1" applyAlignment="1">
      <alignment horizontal="center"/>
    </xf>
    <xf numFmtId="0" fontId="0" fillId="11" borderId="6" xfId="0" applyFill="1" applyBorder="1"/>
    <xf numFmtId="164" fontId="0" fillId="15" borderId="7" xfId="0" applyNumberFormat="1" applyFill="1" applyBorder="1" applyAlignment="1">
      <alignment horizontal="center"/>
    </xf>
    <xf numFmtId="0" fontId="0" fillId="11" borderId="0" xfId="0" applyFill="1"/>
    <xf numFmtId="0" fontId="0" fillId="11" borderId="0" xfId="0" applyFill="1" applyAlignment="1">
      <alignment horizontal="center"/>
    </xf>
    <xf numFmtId="0" fontId="0" fillId="11" borderId="13" xfId="0" applyFill="1" applyBorder="1" applyAlignment="1">
      <alignment horizontal="center"/>
    </xf>
    <xf numFmtId="0" fontId="3" fillId="16" borderId="6" xfId="0" applyFont="1" applyFill="1" applyBorder="1"/>
    <xf numFmtId="0" fontId="5" fillId="16" borderId="6" xfId="0" applyFont="1" applyFill="1" applyBorder="1" applyAlignment="1">
      <alignment horizontal="center"/>
    </xf>
    <xf numFmtId="0" fontId="0" fillId="16" borderId="6" xfId="0" applyFill="1" applyBorder="1" applyAlignment="1">
      <alignment horizontal="center"/>
    </xf>
    <xf numFmtId="0" fontId="0" fillId="16" borderId="5" xfId="0" applyFill="1" applyBorder="1" applyAlignment="1">
      <alignment horizontal="center"/>
    </xf>
    <xf numFmtId="0" fontId="3" fillId="3" borderId="6" xfId="0" applyFont="1" applyFill="1" applyBorder="1"/>
    <xf numFmtId="0" fontId="5" fillId="3" borderId="6" xfId="0" applyFont="1" applyFill="1" applyBorder="1" applyAlignment="1">
      <alignment horizontal="center"/>
    </xf>
    <xf numFmtId="0" fontId="0" fillId="3" borderId="6" xfId="0" applyFill="1" applyBorder="1" applyAlignment="1">
      <alignment horizontal="center"/>
    </xf>
    <xf numFmtId="0" fontId="0" fillId="3" borderId="5" xfId="0" applyFill="1" applyBorder="1" applyAlignment="1">
      <alignment horizontal="center"/>
    </xf>
    <xf numFmtId="0" fontId="28" fillId="0" borderId="5" xfId="0" applyFont="1" applyBorder="1" applyAlignment="1">
      <alignment horizontal="center"/>
    </xf>
    <xf numFmtId="0" fontId="0" fillId="0" borderId="20" xfId="0" applyBorder="1" applyAlignment="1">
      <alignment horizontal="center"/>
    </xf>
    <xf numFmtId="0" fontId="0" fillId="16" borderId="17" xfId="0" applyFill="1" applyBorder="1"/>
    <xf numFmtId="0" fontId="5" fillId="16" borderId="17" xfId="0" applyFont="1" applyFill="1" applyBorder="1" applyAlignment="1">
      <alignment horizontal="center"/>
    </xf>
    <xf numFmtId="0" fontId="0" fillId="16" borderId="17" xfId="0" applyFill="1" applyBorder="1" applyAlignment="1">
      <alignment horizontal="center"/>
    </xf>
    <xf numFmtId="0" fontId="0" fillId="16" borderId="16" xfId="0" applyFill="1" applyBorder="1" applyAlignment="1">
      <alignment horizontal="center"/>
    </xf>
    <xf numFmtId="0" fontId="0" fillId="3" borderId="17" xfId="0" applyFill="1" applyBorder="1"/>
    <xf numFmtId="0" fontId="5" fillId="3" borderId="17" xfId="0" applyFont="1" applyFill="1" applyBorder="1" applyAlignment="1">
      <alignment horizontal="center"/>
    </xf>
    <xf numFmtId="0" fontId="0" fillId="3" borderId="17" xfId="0" applyFill="1" applyBorder="1" applyAlignment="1">
      <alignment horizontal="center"/>
    </xf>
    <xf numFmtId="0" fontId="0" fillId="3" borderId="16" xfId="0" applyFill="1" applyBorder="1" applyAlignment="1">
      <alignment horizontal="center"/>
    </xf>
    <xf numFmtId="0" fontId="28" fillId="0" borderId="16" xfId="0" applyFont="1" applyBorder="1" applyAlignment="1">
      <alignment horizontal="center"/>
    </xf>
    <xf numFmtId="0" fontId="0" fillId="16" borderId="6" xfId="0" applyFill="1" applyBorder="1"/>
    <xf numFmtId="0" fontId="0" fillId="3" borderId="6" xfId="0" applyFill="1" applyBorder="1"/>
    <xf numFmtId="0" fontId="0" fillId="16" borderId="0" xfId="0" applyFill="1"/>
    <xf numFmtId="0" fontId="0" fillId="16" borderId="0" xfId="0" applyFill="1" applyAlignment="1">
      <alignment horizontal="center"/>
    </xf>
    <xf numFmtId="0" fontId="0" fillId="16" borderId="13" xfId="0" applyFill="1" applyBorder="1" applyAlignment="1">
      <alignment horizontal="center"/>
    </xf>
    <xf numFmtId="0" fontId="0" fillId="3" borderId="0" xfId="0" applyFill="1"/>
    <xf numFmtId="0" fontId="0" fillId="3" borderId="0" xfId="0" applyFill="1" applyAlignment="1">
      <alignment horizontal="center"/>
    </xf>
    <xf numFmtId="0" fontId="0" fillId="3" borderId="13" xfId="0" applyFill="1" applyBorder="1" applyAlignment="1">
      <alignment horizontal="center"/>
    </xf>
    <xf numFmtId="0" fontId="7" fillId="0" borderId="0" xfId="0" applyFont="1"/>
    <xf numFmtId="0" fontId="29" fillId="0" borderId="0" xfId="0" applyFont="1"/>
    <xf numFmtId="0" fontId="0" fillId="11" borderId="4" xfId="0" applyFill="1" applyBorder="1" applyAlignment="1">
      <alignment horizontal="center"/>
    </xf>
    <xf numFmtId="0" fontId="0" fillId="11" borderId="12" xfId="0" applyFill="1" applyBorder="1" applyAlignment="1">
      <alignment horizontal="center"/>
    </xf>
    <xf numFmtId="0" fontId="0" fillId="11" borderId="15" xfId="0" applyFill="1" applyBorder="1" applyAlignment="1">
      <alignment horizontal="center"/>
    </xf>
    <xf numFmtId="0" fontId="0" fillId="16" borderId="4" xfId="0" applyFill="1" applyBorder="1" applyAlignment="1">
      <alignment horizontal="center"/>
    </xf>
    <xf numFmtId="0" fontId="0" fillId="16" borderId="12" xfId="0" applyFill="1" applyBorder="1" applyAlignment="1">
      <alignment horizontal="center"/>
    </xf>
    <xf numFmtId="0" fontId="0" fillId="16" borderId="15" xfId="0" applyFill="1" applyBorder="1" applyAlignment="1">
      <alignment horizontal="center"/>
    </xf>
    <xf numFmtId="0" fontId="28" fillId="0" borderId="0" xfId="0" applyFont="1" applyAlignment="1">
      <alignment horizontal="center"/>
    </xf>
    <xf numFmtId="0" fontId="0" fillId="3" borderId="4" xfId="0" applyFill="1" applyBorder="1" applyAlignment="1">
      <alignment horizontal="center"/>
    </xf>
    <xf numFmtId="0" fontId="0" fillId="3" borderId="12" xfId="0" applyFill="1" applyBorder="1" applyAlignment="1">
      <alignment horizontal="center"/>
    </xf>
    <xf numFmtId="0" fontId="0" fillId="3" borderId="15" xfId="0" applyFill="1" applyBorder="1" applyAlignment="1">
      <alignment horizontal="center"/>
    </xf>
    <xf numFmtId="0" fontId="0" fillId="0" borderId="0" xfId="0" applyAlignment="1">
      <alignment horizontal="right" indent="1"/>
    </xf>
    <xf numFmtId="0" fontId="7" fillId="0" borderId="0" xfId="0" applyFont="1" applyAlignment="1">
      <alignment horizontal="right" indent="1"/>
    </xf>
    <xf numFmtId="0" fontId="0" fillId="0" borderId="20" xfId="0" applyBorder="1" applyAlignment="1">
      <alignment horizontal="right" indent="1"/>
    </xf>
    <xf numFmtId="0" fontId="0" fillId="0" borderId="17" xfId="0" applyBorder="1" applyAlignment="1">
      <alignment horizontal="right" indent="1"/>
    </xf>
    <xf numFmtId="0" fontId="0" fillId="0" borderId="6" xfId="0" applyBorder="1" applyAlignment="1">
      <alignment horizontal="right" indent="1"/>
    </xf>
    <xf numFmtId="1" fontId="0" fillId="0" borderId="0" xfId="0" applyNumberFormat="1" applyAlignment="1">
      <alignment horizontal="center"/>
    </xf>
    <xf numFmtId="0" fontId="19" fillId="14" borderId="17" xfId="0" quotePrefix="1" applyFont="1" applyFill="1" applyBorder="1" applyAlignment="1">
      <alignment horizontal="left"/>
    </xf>
    <xf numFmtId="0" fontId="0" fillId="0" borderId="10" xfId="0" applyBorder="1" applyAlignment="1">
      <alignment horizontal="left" indent="1"/>
    </xf>
    <xf numFmtId="0" fontId="19" fillId="14" borderId="17" xfId="0" quotePrefix="1" applyFont="1" applyFill="1" applyBorder="1" applyAlignment="1">
      <alignment horizontal="center"/>
    </xf>
    <xf numFmtId="0" fontId="2" fillId="0" borderId="44" xfId="0" applyFont="1" applyBorder="1"/>
    <xf numFmtId="0" fontId="30" fillId="0" borderId="63" xfId="0" applyFont="1" applyBorder="1" applyAlignment="1">
      <alignment horizontal="center"/>
    </xf>
    <xf numFmtId="165" fontId="0" fillId="0" borderId="54" xfId="0" applyNumberFormat="1" applyBorder="1" applyAlignment="1">
      <alignment horizontal="right"/>
    </xf>
    <xf numFmtId="165" fontId="0" fillId="0" borderId="0" xfId="0" applyNumberFormat="1" applyAlignment="1">
      <alignment horizontal="center"/>
    </xf>
    <xf numFmtId="0" fontId="3" fillId="2" borderId="44" xfId="0" applyFont="1" applyFill="1" applyBorder="1" applyAlignment="1">
      <alignment horizontal="center"/>
    </xf>
    <xf numFmtId="0" fontId="3" fillId="2" borderId="63" xfId="0" applyFont="1" applyFill="1" applyBorder="1"/>
    <xf numFmtId="0" fontId="30" fillId="2" borderId="63" xfId="0" applyFont="1" applyFill="1" applyBorder="1" applyAlignment="1">
      <alignment horizontal="center"/>
    </xf>
    <xf numFmtId="165" fontId="3" fillId="2" borderId="54" xfId="0" applyNumberFormat="1" applyFont="1" applyFill="1" applyBorder="1" applyAlignment="1">
      <alignment horizontal="left"/>
    </xf>
    <xf numFmtId="0" fontId="2" fillId="3" borderId="0" xfId="0" applyFont="1" applyFill="1" applyAlignment="1" applyProtection="1">
      <alignment horizontal="center"/>
      <protection locked="0"/>
    </xf>
    <xf numFmtId="0" fontId="30" fillId="2" borderId="61" xfId="0" applyFont="1" applyFill="1" applyBorder="1" applyAlignment="1">
      <alignment horizontal="center"/>
    </xf>
    <xf numFmtId="0" fontId="3" fillId="2" borderId="61" xfId="0" applyFont="1" applyFill="1" applyBorder="1" applyAlignment="1">
      <alignment horizontal="center"/>
    </xf>
    <xf numFmtId="0" fontId="3" fillId="13" borderId="4" xfId="0" applyFont="1" applyFill="1" applyBorder="1" applyAlignment="1">
      <alignment horizontal="center"/>
    </xf>
    <xf numFmtId="0" fontId="3" fillId="0" borderId="62" xfId="0" applyFont="1" applyBorder="1" applyAlignment="1">
      <alignment horizontal="center"/>
    </xf>
    <xf numFmtId="0" fontId="30" fillId="0" borderId="10" xfId="0" applyFont="1" applyBorder="1" applyAlignment="1">
      <alignment horizontal="center"/>
    </xf>
    <xf numFmtId="0" fontId="3" fillId="0" borderId="65" xfId="0" applyFont="1" applyBorder="1" applyAlignment="1">
      <alignment horizontal="center"/>
    </xf>
    <xf numFmtId="0" fontId="3" fillId="13" borderId="15" xfId="0" applyFont="1" applyFill="1" applyBorder="1" applyAlignment="1">
      <alignment horizontal="center"/>
    </xf>
    <xf numFmtId="0" fontId="0" fillId="0" borderId="62" xfId="0" applyBorder="1" applyAlignment="1">
      <alignment horizontal="center"/>
    </xf>
    <xf numFmtId="0" fontId="31" fillId="0" borderId="0" xfId="0" applyFont="1"/>
    <xf numFmtId="0" fontId="13" fillId="0" borderId="0" xfId="0" applyFont="1"/>
    <xf numFmtId="164" fontId="0" fillId="0" borderId="0" xfId="0" applyNumberFormat="1" applyAlignment="1">
      <alignment horizontal="center"/>
    </xf>
    <xf numFmtId="0" fontId="30" fillId="0" borderId="0" xfId="0" applyFont="1" applyAlignment="1">
      <alignment horizontal="center"/>
    </xf>
    <xf numFmtId="164" fontId="0" fillId="0" borderId="0" xfId="0" applyNumberFormat="1" applyAlignment="1">
      <alignment horizontal="left" indent="1"/>
    </xf>
    <xf numFmtId="164" fontId="0" fillId="0" borderId="60" xfId="0" applyNumberFormat="1" applyBorder="1" applyAlignment="1">
      <alignment horizontal="left" indent="1"/>
    </xf>
    <xf numFmtId="0" fontId="0" fillId="0" borderId="61" xfId="0" applyBorder="1" applyAlignment="1">
      <alignment horizontal="left" indent="1"/>
    </xf>
    <xf numFmtId="0" fontId="28" fillId="0" borderId="61" xfId="0" applyFont="1" applyBorder="1" applyAlignment="1">
      <alignment horizontal="center"/>
    </xf>
    <xf numFmtId="165" fontId="0" fillId="0" borderId="60" xfId="0" applyNumberFormat="1" applyBorder="1" applyAlignment="1">
      <alignment horizontal="center"/>
    </xf>
    <xf numFmtId="165" fontId="0" fillId="0" borderId="64" xfId="0" applyNumberFormat="1" applyBorder="1" applyAlignment="1">
      <alignment horizontal="center"/>
    </xf>
    <xf numFmtId="164" fontId="0" fillId="0" borderId="61" xfId="0" applyNumberFormat="1" applyBorder="1" applyAlignment="1">
      <alignment horizontal="center"/>
    </xf>
    <xf numFmtId="164" fontId="0" fillId="0" borderId="64" xfId="0" applyNumberFormat="1" applyBorder="1" applyAlignment="1">
      <alignment horizontal="center"/>
    </xf>
    <xf numFmtId="164" fontId="0" fillId="0" borderId="60" xfId="0" applyNumberFormat="1" applyBorder="1" applyAlignment="1">
      <alignment horizontal="center"/>
    </xf>
    <xf numFmtId="164" fontId="0" fillId="10" borderId="0" xfId="0" applyNumberFormat="1" applyFill="1" applyAlignment="1" applyProtection="1">
      <alignment horizontal="center"/>
      <protection locked="0"/>
    </xf>
    <xf numFmtId="164" fontId="32" fillId="0" borderId="66" xfId="0" applyNumberFormat="1" applyFont="1" applyBorder="1"/>
    <xf numFmtId="0" fontId="0" fillId="0" borderId="51" xfId="0" applyBorder="1"/>
    <xf numFmtId="165" fontId="0" fillId="0" borderId="66" xfId="0" applyNumberFormat="1" applyBorder="1" applyAlignment="1">
      <alignment horizontal="right" indent="1"/>
    </xf>
    <xf numFmtId="165" fontId="0" fillId="0" borderId="51" xfId="0" applyNumberFormat="1" applyBorder="1" applyAlignment="1">
      <alignment horizontal="right" indent="1"/>
    </xf>
    <xf numFmtId="164" fontId="0" fillId="0" borderId="51" xfId="0" applyNumberFormat="1" applyBorder="1" applyAlignment="1">
      <alignment horizontal="center"/>
    </xf>
    <xf numFmtId="164" fontId="0" fillId="0" borderId="66" xfId="0" applyNumberFormat="1" applyBorder="1" applyAlignment="1">
      <alignment horizontal="center"/>
    </xf>
    <xf numFmtId="164" fontId="0" fillId="0" borderId="66" xfId="0" applyNumberFormat="1" applyBorder="1"/>
    <xf numFmtId="164" fontId="32" fillId="0" borderId="10" xfId="0" applyNumberFormat="1" applyFont="1" applyBorder="1"/>
    <xf numFmtId="165" fontId="0" fillId="0" borderId="62" xfId="0" applyNumberFormat="1" applyBorder="1" applyAlignment="1">
      <alignment horizontal="center"/>
    </xf>
    <xf numFmtId="165" fontId="0" fillId="0" borderId="65" xfId="0" applyNumberFormat="1" applyBorder="1" applyAlignment="1">
      <alignment horizontal="center"/>
    </xf>
    <xf numFmtId="164" fontId="0" fillId="0" borderId="10" xfId="0" applyNumberFormat="1" applyBorder="1" applyAlignment="1">
      <alignment horizontal="center"/>
    </xf>
    <xf numFmtId="164" fontId="0" fillId="0" borderId="65" xfId="0" applyNumberFormat="1" applyBorder="1" applyAlignment="1">
      <alignment horizontal="center"/>
    </xf>
    <xf numFmtId="164" fontId="0" fillId="0" borderId="62" xfId="0" applyNumberFormat="1" applyBorder="1" applyAlignment="1">
      <alignment horizontal="center"/>
    </xf>
    <xf numFmtId="0" fontId="3" fillId="0" borderId="0" xfId="0" applyFont="1" applyAlignment="1">
      <alignment horizontal="right"/>
    </xf>
    <xf numFmtId="164" fontId="3" fillId="0" borderId="0" xfId="0" applyNumberFormat="1" applyFont="1" applyAlignment="1">
      <alignment horizontal="center"/>
    </xf>
    <xf numFmtId="0" fontId="13" fillId="0" borderId="0" xfId="0" applyFont="1" applyAlignment="1">
      <alignment horizontal="left"/>
    </xf>
    <xf numFmtId="0" fontId="3" fillId="0" borderId="51" xfId="0" applyFont="1" applyBorder="1" applyAlignment="1">
      <alignment horizontal="center"/>
    </xf>
    <xf numFmtId="164" fontId="0" fillId="0" borderId="66" xfId="0" applyNumberFormat="1" applyBorder="1" applyAlignment="1">
      <alignment horizontal="left" indent="1"/>
    </xf>
    <xf numFmtId="165" fontId="0" fillId="0" borderId="66" xfId="0" applyNumberFormat="1" applyBorder="1" applyAlignment="1">
      <alignment horizontal="center"/>
    </xf>
    <xf numFmtId="165" fontId="0" fillId="0" borderId="51" xfId="0" applyNumberFormat="1" applyBorder="1" applyAlignment="1">
      <alignment horizontal="center"/>
    </xf>
    <xf numFmtId="165" fontId="0" fillId="0" borderId="10" xfId="0" applyNumberFormat="1" applyBorder="1" applyAlignment="1">
      <alignment horizontal="center"/>
    </xf>
    <xf numFmtId="164" fontId="0" fillId="0" borderId="10" xfId="0" applyNumberFormat="1" applyBorder="1" applyAlignment="1">
      <alignment horizontal="left" indent="1"/>
    </xf>
    <xf numFmtId="164" fontId="0" fillId="0" borderId="62" xfId="0" applyNumberFormat="1" applyBorder="1" applyAlignment="1">
      <alignment horizontal="left" indent="1"/>
    </xf>
    <xf numFmtId="0" fontId="28" fillId="0" borderId="10" xfId="0" applyFont="1" applyBorder="1" applyAlignment="1">
      <alignment horizontal="center"/>
    </xf>
    <xf numFmtId="0" fontId="0" fillId="0" borderId="65" xfId="0" applyBorder="1"/>
    <xf numFmtId="164" fontId="0" fillId="0" borderId="51" xfId="0" applyNumberFormat="1" applyBorder="1" applyAlignment="1">
      <alignment horizontal="left" indent="1"/>
    </xf>
    <xf numFmtId="164" fontId="0" fillId="0" borderId="65" xfId="0" applyNumberFormat="1" applyBorder="1" applyAlignment="1">
      <alignment horizontal="left" indent="1"/>
    </xf>
    <xf numFmtId="0" fontId="5" fillId="0" borderId="10" xfId="0" applyFont="1" applyBorder="1" applyAlignment="1">
      <alignment horizontal="center"/>
    </xf>
    <xf numFmtId="0" fontId="3" fillId="0" borderId="0" xfId="0" applyFont="1" applyAlignment="1">
      <alignment horizontal="left" indent="1"/>
    </xf>
    <xf numFmtId="164" fontId="3" fillId="0" borderId="62" xfId="0" applyNumberFormat="1" applyFont="1" applyBorder="1" applyAlignment="1">
      <alignment horizontal="center"/>
    </xf>
    <xf numFmtId="0" fontId="31" fillId="0" borderId="0" xfId="0" applyFont="1" applyAlignment="1">
      <alignment horizontal="left"/>
    </xf>
    <xf numFmtId="0" fontId="0" fillId="0" borderId="64" xfId="0" applyBorder="1" applyAlignment="1">
      <alignment horizontal="center"/>
    </xf>
    <xf numFmtId="0" fontId="3" fillId="2" borderId="28" xfId="0" applyFont="1" applyFill="1" applyBorder="1" applyAlignment="1">
      <alignment horizontal="left" indent="1"/>
    </xf>
    <xf numFmtId="0" fontId="13" fillId="0" borderId="60" xfId="0" applyFont="1" applyBorder="1" applyAlignment="1">
      <alignment horizontal="left"/>
    </xf>
    <xf numFmtId="0" fontId="13" fillId="0" borderId="66" xfId="0" applyFont="1" applyBorder="1" applyAlignment="1">
      <alignment horizontal="left"/>
    </xf>
    <xf numFmtId="0" fontId="13" fillId="0" borderId="62" xfId="0" applyFont="1" applyBorder="1" applyAlignment="1">
      <alignment horizontal="left"/>
    </xf>
    <xf numFmtId="164" fontId="3" fillId="2" borderId="28" xfId="0" applyNumberFormat="1" applyFont="1" applyFill="1" applyBorder="1" applyAlignment="1">
      <alignment horizontal="left" indent="1"/>
    </xf>
    <xf numFmtId="164" fontId="3" fillId="0" borderId="0" xfId="0" applyNumberFormat="1" applyFont="1" applyAlignment="1">
      <alignment horizontal="right"/>
    </xf>
    <xf numFmtId="0" fontId="33" fillId="0" borderId="0" xfId="0" applyFont="1" applyAlignment="1">
      <alignment horizontal="left"/>
    </xf>
    <xf numFmtId="164" fontId="32" fillId="0" borderId="66" xfId="0" applyNumberFormat="1" applyFont="1" applyBorder="1" applyAlignment="1">
      <alignment horizontal="center"/>
    </xf>
    <xf numFmtId="164" fontId="32" fillId="0" borderId="62" xfId="0" applyNumberFormat="1" applyFont="1" applyBorder="1" applyAlignment="1">
      <alignment horizontal="center"/>
    </xf>
    <xf numFmtId="164" fontId="32" fillId="0" borderId="10" xfId="0" applyNumberFormat="1" applyFont="1" applyBorder="1" applyAlignment="1">
      <alignment horizontal="center"/>
    </xf>
    <xf numFmtId="164" fontId="0" fillId="10" borderId="10" xfId="0" applyNumberFormat="1" applyFill="1" applyBorder="1" applyAlignment="1" applyProtection="1">
      <alignment horizontal="center"/>
      <protection locked="0"/>
    </xf>
    <xf numFmtId="164" fontId="3" fillId="2" borderId="33" xfId="0" applyNumberFormat="1" applyFont="1" applyFill="1" applyBorder="1" applyAlignment="1">
      <alignment horizontal="left" indent="1"/>
    </xf>
    <xf numFmtId="0" fontId="0" fillId="0" borderId="67" xfId="0" applyBorder="1"/>
    <xf numFmtId="0" fontId="0" fillId="0" borderId="66" xfId="0" applyBorder="1"/>
    <xf numFmtId="164" fontId="32" fillId="0" borderId="0" xfId="0" applyNumberFormat="1" applyFont="1"/>
    <xf numFmtId="0" fontId="5" fillId="0" borderId="12" xfId="0" applyFont="1" applyBorder="1" applyAlignment="1">
      <alignment horizontal="left"/>
    </xf>
    <xf numFmtId="0" fontId="1" fillId="0" borderId="6" xfId="0" applyFont="1" applyBorder="1"/>
    <xf numFmtId="0" fontId="1" fillId="0" borderId="5" xfId="0" applyFont="1" applyBorder="1"/>
    <xf numFmtId="0" fontId="1" fillId="0" borderId="8" xfId="0" applyFont="1" applyBorder="1"/>
    <xf numFmtId="0" fontId="1" fillId="0" borderId="10"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left" indent="2"/>
    </xf>
    <xf numFmtId="0" fontId="0" fillId="0" borderId="5" xfId="0" applyBorder="1" applyAlignment="1">
      <alignment horizontal="left" indent="1"/>
    </xf>
    <xf numFmtId="0" fontId="0" fillId="0" borderId="16" xfId="0" applyBorder="1" applyAlignment="1">
      <alignment horizontal="left" indent="1"/>
    </xf>
    <xf numFmtId="0" fontId="1" fillId="0" borderId="0" xfId="0" applyFont="1" applyAlignment="1">
      <alignment horizontal="left" indent="1"/>
    </xf>
    <xf numFmtId="0" fontId="3" fillId="0" borderId="61" xfId="0" applyFont="1" applyBorder="1" applyAlignment="1">
      <alignment horizontal="center"/>
    </xf>
    <xf numFmtId="0" fontId="30" fillId="0" borderId="61" xfId="0" applyFont="1" applyBorder="1" applyAlignment="1">
      <alignment horizontal="center"/>
    </xf>
    <xf numFmtId="164" fontId="32" fillId="0" borderId="60" xfId="0" applyNumberFormat="1" applyFont="1" applyBorder="1"/>
    <xf numFmtId="164" fontId="32" fillId="0" borderId="61" xfId="0" applyNumberFormat="1" applyFont="1" applyBorder="1"/>
    <xf numFmtId="164" fontId="32" fillId="0" borderId="0" xfId="0" applyNumberFormat="1" applyFont="1" applyAlignment="1">
      <alignment horizontal="center"/>
    </xf>
    <xf numFmtId="165" fontId="0" fillId="0" borderId="0" xfId="0" applyNumberFormat="1" applyAlignment="1">
      <alignment horizontal="right" indent="1"/>
    </xf>
    <xf numFmtId="0" fontId="0" fillId="0" borderId="60" xfId="0" applyBorder="1" applyAlignment="1">
      <alignment horizontal="center"/>
    </xf>
    <xf numFmtId="0" fontId="2" fillId="2" borderId="1" xfId="0" applyFont="1" applyFill="1" applyBorder="1" applyAlignment="1">
      <alignment horizontal="left" indent="2"/>
    </xf>
    <xf numFmtId="0" fontId="34" fillId="0" borderId="0" xfId="0" applyFont="1"/>
    <xf numFmtId="0" fontId="35" fillId="0" borderId="0" xfId="0" applyFont="1"/>
    <xf numFmtId="0" fontId="3" fillId="17" borderId="74" xfId="0" applyFont="1" applyFill="1" applyBorder="1" applyAlignment="1">
      <alignment horizontal="center"/>
    </xf>
    <xf numFmtId="0" fontId="3" fillId="17" borderId="75" xfId="0" applyFont="1" applyFill="1" applyBorder="1" applyAlignment="1">
      <alignment horizontal="center"/>
    </xf>
    <xf numFmtId="0" fontId="3" fillId="17" borderId="76" xfId="0" applyFont="1" applyFill="1" applyBorder="1" applyAlignment="1">
      <alignment horizontal="center"/>
    </xf>
    <xf numFmtId="0" fontId="3" fillId="17" borderId="77" xfId="0" applyFont="1" applyFill="1" applyBorder="1" applyAlignment="1">
      <alignment horizontal="center"/>
    </xf>
    <xf numFmtId="0" fontId="4" fillId="0" borderId="0" xfId="0" applyFont="1"/>
    <xf numFmtId="0" fontId="9" fillId="0" borderId="0" xfId="0" applyFont="1"/>
    <xf numFmtId="0" fontId="5" fillId="0" borderId="0" xfId="0" applyFont="1" applyAlignment="1">
      <alignment horizontal="right"/>
    </xf>
    <xf numFmtId="0" fontId="0" fillId="0" borderId="10" xfId="0" applyBorder="1"/>
    <xf numFmtId="0" fontId="0" fillId="0" borderId="78" xfId="0" applyBorder="1"/>
    <xf numFmtId="0" fontId="9" fillId="0" borderId="5" xfId="0" applyFont="1" applyBorder="1" applyAlignment="1">
      <alignment horizontal="left" vertical="center" indent="1"/>
    </xf>
    <xf numFmtId="2" fontId="16" fillId="2" borderId="4" xfId="0" applyNumberFormat="1" applyFont="1" applyFill="1" applyBorder="1" applyAlignment="1">
      <alignment horizontal="left"/>
    </xf>
    <xf numFmtId="2" fontId="3" fillId="2" borderId="6" xfId="0" applyNumberFormat="1" applyFont="1" applyFill="1" applyBorder="1" applyAlignment="1">
      <alignment horizontal="center"/>
    </xf>
    <xf numFmtId="0" fontId="3" fillId="2" borderId="5" xfId="0" applyFont="1" applyFill="1" applyBorder="1" applyAlignment="1">
      <alignment horizontal="left"/>
    </xf>
    <xf numFmtId="165" fontId="9" fillId="0" borderId="13" xfId="0" applyNumberFormat="1" applyFont="1" applyBorder="1" applyAlignment="1">
      <alignment horizontal="left" vertical="center" indent="1"/>
    </xf>
    <xf numFmtId="2" fontId="3" fillId="2" borderId="15" xfId="0" applyNumberFormat="1" applyFont="1" applyFill="1" applyBorder="1" applyAlignment="1">
      <alignment horizontal="center"/>
    </xf>
    <xf numFmtId="2" fontId="3" fillId="2" borderId="17" xfId="0" applyNumberFormat="1" applyFont="1" applyFill="1" applyBorder="1" applyAlignment="1">
      <alignment horizontal="center"/>
    </xf>
    <xf numFmtId="0" fontId="3" fillId="2" borderId="16" xfId="0" applyFont="1" applyFill="1" applyBorder="1" applyAlignment="1">
      <alignment horizontal="center"/>
    </xf>
    <xf numFmtId="0" fontId="5" fillId="0" borderId="17" xfId="0" applyFont="1" applyBorder="1" applyAlignment="1">
      <alignment horizontal="left"/>
    </xf>
    <xf numFmtId="0" fontId="3" fillId="3" borderId="1" xfId="0" applyFont="1" applyFill="1" applyBorder="1" applyAlignment="1" applyProtection="1">
      <alignment horizontal="center"/>
      <protection locked="0"/>
    </xf>
    <xf numFmtId="0" fontId="0" fillId="0" borderId="2" xfId="0" applyBorder="1" applyAlignment="1">
      <alignment horizontal="left"/>
    </xf>
    <xf numFmtId="0" fontId="3" fillId="0" borderId="24" xfId="0" applyFont="1" applyBorder="1" applyAlignment="1">
      <alignment horizontal="center"/>
    </xf>
    <xf numFmtId="0" fontId="9" fillId="0" borderId="4" xfId="0" applyFont="1" applyBorder="1" applyAlignment="1">
      <alignment horizontal="left" vertical="center" indent="1"/>
    </xf>
    <xf numFmtId="49" fontId="9" fillId="0" borderId="12" xfId="0" applyNumberFormat="1" applyFont="1" applyBorder="1" applyAlignment="1">
      <alignment horizontal="left" vertical="center" indent="1"/>
    </xf>
    <xf numFmtId="49" fontId="9" fillId="0" borderId="15" xfId="0" applyNumberFormat="1" applyFont="1" applyBorder="1" applyAlignment="1">
      <alignment horizontal="left" vertical="center" indent="1"/>
    </xf>
    <xf numFmtId="15" fontId="9" fillId="0" borderId="16" xfId="0" applyNumberFormat="1" applyFont="1" applyBorder="1" applyAlignment="1">
      <alignment horizontal="left" vertical="center" indent="1"/>
    </xf>
    <xf numFmtId="165" fontId="3" fillId="9" borderId="15" xfId="0" applyNumberFormat="1" applyFont="1" applyFill="1" applyBorder="1" applyAlignment="1">
      <alignment horizontal="left" vertical="center"/>
    </xf>
    <xf numFmtId="0" fontId="0" fillId="0" borderId="2" xfId="0" applyBorder="1"/>
    <xf numFmtId="0" fontId="3" fillId="0" borderId="24" xfId="0" applyFont="1" applyBorder="1" applyAlignment="1">
      <alignment horizontal="left" indent="1"/>
    </xf>
    <xf numFmtId="0" fontId="0" fillId="18" borderId="4" xfId="0" applyFill="1" applyBorder="1" applyAlignment="1">
      <alignment horizontal="center"/>
    </xf>
    <xf numFmtId="0" fontId="2" fillId="18" borderId="6" xfId="0" applyFont="1" applyFill="1" applyBorder="1" applyAlignment="1">
      <alignment horizontal="left"/>
    </xf>
    <xf numFmtId="0" fontId="0" fillId="18" borderId="6" xfId="0" applyFill="1" applyBorder="1" applyAlignment="1">
      <alignment horizontal="left" indent="1"/>
    </xf>
    <xf numFmtId="0" fontId="0" fillId="18" borderId="5" xfId="0" applyFill="1" applyBorder="1" applyAlignment="1">
      <alignment horizontal="left" indent="1"/>
    </xf>
    <xf numFmtId="0" fontId="0" fillId="18" borderId="12" xfId="0" applyFill="1" applyBorder="1" applyAlignment="1">
      <alignment horizontal="center"/>
    </xf>
    <xf numFmtId="0" fontId="2" fillId="18" borderId="0" xfId="0" applyFont="1" applyFill="1" applyAlignment="1">
      <alignment horizontal="left"/>
    </xf>
    <xf numFmtId="0" fontId="0" fillId="18" borderId="0" xfId="0" applyFill="1" applyAlignment="1">
      <alignment horizontal="left" indent="1"/>
    </xf>
    <xf numFmtId="0" fontId="7" fillId="18" borderId="13" xfId="0" applyFont="1" applyFill="1" applyBorder="1" applyAlignment="1">
      <alignment horizontal="center"/>
    </xf>
    <xf numFmtId="0" fontId="3" fillId="18" borderId="0" xfId="0" applyFont="1" applyFill="1" applyAlignment="1">
      <alignment horizontal="left"/>
    </xf>
    <xf numFmtId="0" fontId="0" fillId="18" borderId="0" xfId="0" applyFill="1"/>
    <xf numFmtId="0" fontId="0" fillId="18" borderId="13" xfId="0" applyFill="1" applyBorder="1" applyAlignment="1">
      <alignment horizontal="center"/>
    </xf>
    <xf numFmtId="0" fontId="0" fillId="18" borderId="15" xfId="0" applyFill="1" applyBorder="1" applyAlignment="1">
      <alignment horizontal="center"/>
    </xf>
    <xf numFmtId="0" fontId="0" fillId="18" borderId="17" xfId="0" applyFill="1" applyBorder="1" applyAlignment="1">
      <alignment horizontal="center"/>
    </xf>
    <xf numFmtId="0" fontId="0" fillId="18" borderId="17" xfId="0" applyFill="1" applyBorder="1" applyAlignment="1">
      <alignment horizontal="left" indent="1"/>
    </xf>
    <xf numFmtId="0" fontId="0" fillId="18" borderId="16" xfId="0" applyFill="1" applyBorder="1" applyAlignment="1">
      <alignment horizontal="left" indent="1"/>
    </xf>
    <xf numFmtId="0" fontId="2" fillId="18" borderId="6" xfId="0" applyFont="1" applyFill="1" applyBorder="1" applyAlignment="1">
      <alignment horizontal="center"/>
    </xf>
    <xf numFmtId="0" fontId="0" fillId="18" borderId="6" xfId="0" applyFill="1" applyBorder="1" applyAlignment="1">
      <alignment horizontal="center"/>
    </xf>
    <xf numFmtId="0" fontId="2" fillId="18" borderId="5" xfId="0" applyFont="1" applyFill="1" applyBorder="1" applyAlignment="1" applyProtection="1">
      <alignment horizontal="left"/>
      <protection locked="0"/>
    </xf>
    <xf numFmtId="0" fontId="2" fillId="18" borderId="12" xfId="0" applyFont="1" applyFill="1" applyBorder="1" applyAlignment="1" applyProtection="1">
      <alignment horizontal="center"/>
      <protection locked="0"/>
    </xf>
    <xf numFmtId="0" fontId="0" fillId="18" borderId="0" xfId="0" applyFill="1" applyAlignment="1" applyProtection="1">
      <alignment horizontal="center"/>
      <protection locked="0"/>
    </xf>
    <xf numFmtId="0" fontId="2" fillId="18" borderId="13" xfId="0" applyFont="1" applyFill="1" applyBorder="1" applyAlignment="1" applyProtection="1">
      <alignment horizontal="left"/>
      <protection locked="0"/>
    </xf>
    <xf numFmtId="0" fontId="0" fillId="18" borderId="13" xfId="0" applyFill="1" applyBorder="1"/>
    <xf numFmtId="0" fontId="0" fillId="18" borderId="17" xfId="0" applyFill="1" applyBorder="1"/>
    <xf numFmtId="0" fontId="0" fillId="18" borderId="16" xfId="0" applyFill="1" applyBorder="1"/>
    <xf numFmtId="0" fontId="10" fillId="9" borderId="27" xfId="0" applyFont="1" applyFill="1" applyBorder="1" applyAlignment="1" applyProtection="1">
      <alignment horizontal="center"/>
      <protection locked="0"/>
    </xf>
    <xf numFmtId="0" fontId="10" fillId="9" borderId="28" xfId="0" applyFont="1" applyFill="1" applyBorder="1" applyAlignment="1" applyProtection="1">
      <alignment horizontal="center"/>
      <protection locked="0"/>
    </xf>
    <xf numFmtId="2" fontId="9" fillId="0" borderId="0" xfId="0" applyNumberFormat="1" applyFont="1" applyAlignment="1" applyProtection="1">
      <alignment horizontal="left"/>
      <protection locked="0"/>
    </xf>
    <xf numFmtId="2" fontId="10" fillId="0" borderId="28" xfId="0" quotePrefix="1" applyNumberFormat="1" applyFont="1" applyBorder="1" applyAlignment="1" applyProtection="1">
      <alignment horizontal="center"/>
      <protection locked="0"/>
    </xf>
    <xf numFmtId="1" fontId="0" fillId="0" borderId="0" xfId="0" applyNumberFormat="1" applyAlignment="1">
      <alignment horizontal="left" indent="1"/>
    </xf>
    <xf numFmtId="0" fontId="0" fillId="9" borderId="42" xfId="0" applyFill="1" applyBorder="1" applyAlignment="1" applyProtection="1">
      <alignment horizontal="center"/>
      <protection locked="0"/>
    </xf>
    <xf numFmtId="0" fontId="0" fillId="9" borderId="28" xfId="0" applyFill="1" applyBorder="1" applyAlignment="1" applyProtection="1">
      <alignment horizontal="center"/>
      <protection locked="0"/>
    </xf>
    <xf numFmtId="0" fontId="0" fillId="9" borderId="35" xfId="0" quotePrefix="1" applyFill="1" applyBorder="1" applyAlignment="1" applyProtection="1">
      <alignment horizontal="center"/>
      <protection locked="0"/>
    </xf>
    <xf numFmtId="0" fontId="9" fillId="2" borderId="50" xfId="0" applyFont="1" applyFill="1" applyBorder="1" applyAlignment="1" applyProtection="1">
      <alignment horizontal="center"/>
      <protection locked="0"/>
    </xf>
    <xf numFmtId="0" fontId="9" fillId="2" borderId="53" xfId="0" applyFont="1" applyFill="1" applyBorder="1" applyAlignment="1" applyProtection="1">
      <alignment horizontal="center"/>
      <protection locked="0"/>
    </xf>
    <xf numFmtId="0" fontId="0" fillId="9" borderId="28" xfId="0" quotePrefix="1" applyFill="1" applyBorder="1" applyAlignment="1" applyProtection="1">
      <alignment horizontal="center"/>
      <protection locked="0"/>
    </xf>
    <xf numFmtId="0" fontId="0" fillId="9" borderId="35" xfId="0" applyFill="1" applyBorder="1" applyAlignment="1" applyProtection="1">
      <alignment horizontal="center"/>
      <protection locked="0"/>
    </xf>
    <xf numFmtId="0" fontId="15" fillId="0" borderId="0" xfId="0" applyFont="1"/>
    <xf numFmtId="49" fontId="9" fillId="0" borderId="0" xfId="0" applyNumberFormat="1" applyFont="1" applyAlignment="1">
      <alignment horizontal="center" vertical="center"/>
    </xf>
    <xf numFmtId="165" fontId="7" fillId="0" borderId="0" xfId="0" applyNumberFormat="1" applyFont="1" applyAlignment="1">
      <alignment horizontal="left" vertical="center"/>
    </xf>
    <xf numFmtId="0" fontId="0" fillId="6" borderId="7" xfId="0" applyFill="1" applyBorder="1"/>
    <xf numFmtId="0" fontId="9" fillId="4" borderId="4" xfId="0" applyFont="1" applyFill="1" applyBorder="1" applyAlignment="1">
      <alignment horizontal="center" vertical="center"/>
    </xf>
    <xf numFmtId="0" fontId="9" fillId="6" borderId="4" xfId="0" applyFont="1" applyFill="1" applyBorder="1"/>
    <xf numFmtId="0" fontId="9" fillId="6" borderId="6" xfId="0" applyFont="1" applyFill="1" applyBorder="1" applyAlignment="1">
      <alignment horizontal="left" indent="1"/>
    </xf>
    <xf numFmtId="0" fontId="9" fillId="6" borderId="5" xfId="0" applyFont="1" applyFill="1" applyBorder="1" applyAlignment="1">
      <alignment horizontal="right"/>
    </xf>
    <xf numFmtId="0" fontId="3" fillId="6" borderId="18" xfId="0" applyFont="1" applyFill="1" applyBorder="1" applyAlignment="1">
      <alignment horizontal="center"/>
    </xf>
    <xf numFmtId="0" fontId="11" fillId="4" borderId="15" xfId="0" applyFont="1" applyFill="1" applyBorder="1" applyAlignment="1">
      <alignment horizontal="left" vertical="top" indent="2"/>
    </xf>
    <xf numFmtId="0" fontId="9" fillId="6" borderId="15" xfId="0" applyFont="1" applyFill="1" applyBorder="1"/>
    <xf numFmtId="0" fontId="9" fillId="6" borderId="17" xfId="0" applyFont="1" applyFill="1" applyBorder="1"/>
    <xf numFmtId="0" fontId="9" fillId="6" borderId="17" xfId="0" applyFont="1" applyFill="1" applyBorder="1" applyAlignment="1">
      <alignment horizontal="left" indent="1"/>
    </xf>
    <xf numFmtId="0" fontId="9" fillId="6" borderId="17" xfId="0" applyFont="1" applyFill="1" applyBorder="1" applyAlignment="1">
      <alignment horizontal="center"/>
    </xf>
    <xf numFmtId="0" fontId="9" fillId="6" borderId="16" xfId="0" applyFont="1" applyFill="1" applyBorder="1" applyAlignment="1">
      <alignment horizontal="right"/>
    </xf>
    <xf numFmtId="0" fontId="9" fillId="6" borderId="16" xfId="0" applyFont="1" applyFill="1" applyBorder="1" applyAlignment="1">
      <alignment horizontal="center"/>
    </xf>
    <xf numFmtId="0" fontId="0" fillId="0" borderId="12" xfId="0" applyBorder="1" applyAlignment="1">
      <alignment horizontal="left" indent="1"/>
    </xf>
    <xf numFmtId="0" fontId="0" fillId="0" borderId="13" xfId="0" applyBorder="1" applyAlignment="1">
      <alignment horizontal="right"/>
    </xf>
    <xf numFmtId="0" fontId="0" fillId="0" borderId="51" xfId="0" applyBorder="1" applyAlignment="1">
      <alignment horizontal="right"/>
    </xf>
    <xf numFmtId="0" fontId="10" fillId="0" borderId="44" xfId="0" applyFont="1" applyBorder="1" applyAlignment="1">
      <alignment horizontal="left" indent="1"/>
    </xf>
    <xf numFmtId="0" fontId="10" fillId="0" borderId="27" xfId="0" applyFont="1" applyBorder="1" applyAlignment="1">
      <alignment horizontal="left" indent="1"/>
    </xf>
    <xf numFmtId="0" fontId="0" fillId="0" borderId="29" xfId="0" applyBorder="1" applyAlignment="1">
      <alignment horizontal="right"/>
    </xf>
    <xf numFmtId="0" fontId="0" fillId="0" borderId="54" xfId="0" applyBorder="1" applyAlignment="1">
      <alignment horizontal="right"/>
    </xf>
    <xf numFmtId="0" fontId="0" fillId="0" borderId="28" xfId="0" applyBorder="1" applyAlignment="1">
      <alignment horizontal="right"/>
    </xf>
    <xf numFmtId="0" fontId="14" fillId="0" borderId="44" xfId="0" applyFont="1" applyBorder="1" applyAlignment="1">
      <alignment horizontal="left" indent="1"/>
    </xf>
    <xf numFmtId="0" fontId="14" fillId="0" borderId="27" xfId="0" applyFont="1" applyBorder="1" applyAlignment="1">
      <alignment horizontal="left" indent="1"/>
    </xf>
    <xf numFmtId="2" fontId="10" fillId="0" borderId="44" xfId="0" applyNumberFormat="1" applyFont="1" applyBorder="1" applyAlignment="1">
      <alignment horizontal="left" indent="1"/>
    </xf>
    <xf numFmtId="1" fontId="10" fillId="0" borderId="27" xfId="0" applyNumberFormat="1" applyFont="1" applyBorder="1" applyAlignment="1">
      <alignment horizontal="center"/>
    </xf>
    <xf numFmtId="2" fontId="0" fillId="0" borderId="28" xfId="0" applyNumberFormat="1" applyBorder="1" applyAlignment="1">
      <alignment horizontal="right" indent="1"/>
    </xf>
    <xf numFmtId="0" fontId="5" fillId="0" borderId="28" xfId="0" applyFont="1" applyBorder="1"/>
    <xf numFmtId="9" fontId="0" fillId="0" borderId="29" xfId="3" applyFont="1" applyBorder="1" applyAlignment="1">
      <alignment horizontal="right" indent="1"/>
    </xf>
    <xf numFmtId="2" fontId="0" fillId="0" borderId="54" xfId="0" applyNumberFormat="1" applyBorder="1"/>
    <xf numFmtId="2" fontId="0" fillId="0" borderId="28" xfId="0" applyNumberFormat="1" applyBorder="1"/>
    <xf numFmtId="2" fontId="0" fillId="0" borderId="29" xfId="0" applyNumberFormat="1" applyBorder="1"/>
    <xf numFmtId="1" fontId="0" fillId="0" borderId="51" xfId="0" applyNumberFormat="1" applyBorder="1" applyAlignment="1">
      <alignment horizontal="right" indent="1"/>
    </xf>
    <xf numFmtId="0" fontId="0" fillId="0" borderId="28" xfId="0" applyBorder="1" applyAlignment="1">
      <alignment horizontal="right" indent="1"/>
    </xf>
    <xf numFmtId="166" fontId="0" fillId="0" borderId="54" xfId="0" applyNumberFormat="1" applyBorder="1"/>
    <xf numFmtId="166" fontId="0" fillId="0" borderId="28" xfId="0" applyNumberFormat="1" applyBorder="1"/>
    <xf numFmtId="166" fontId="0" fillId="0" borderId="29" xfId="0" applyNumberFormat="1" applyBorder="1"/>
    <xf numFmtId="0" fontId="3" fillId="0" borderId="28" xfId="0" applyFont="1" applyBorder="1"/>
    <xf numFmtId="9" fontId="3" fillId="0" borderId="29" xfId="3" applyFont="1" applyBorder="1" applyAlignment="1">
      <alignment horizontal="right" indent="1"/>
    </xf>
    <xf numFmtId="9" fontId="0" fillId="0" borderId="29" xfId="3" applyFont="1" applyBorder="1" applyAlignment="1">
      <alignment horizontal="right"/>
    </xf>
    <xf numFmtId="2" fontId="3" fillId="0" borderId="54" xfId="0" applyNumberFormat="1" applyFont="1" applyBorder="1" applyAlignment="1">
      <alignment horizontal="right" indent="1"/>
    </xf>
    <xf numFmtId="2" fontId="3" fillId="0" borderId="28" xfId="0" applyNumberFormat="1" applyFont="1" applyBorder="1" applyAlignment="1">
      <alignment horizontal="right" indent="1"/>
    </xf>
    <xf numFmtId="2" fontId="3" fillId="0" borderId="29" xfId="0" applyNumberFormat="1" applyFont="1" applyBorder="1" applyAlignment="1">
      <alignment horizontal="right" indent="1"/>
    </xf>
    <xf numFmtId="2" fontId="0" fillId="0" borderId="54" xfId="0" applyNumberFormat="1" applyBorder="1" applyAlignment="1">
      <alignment horizontal="right"/>
    </xf>
    <xf numFmtId="2" fontId="0" fillId="0" borderId="28" xfId="0" applyNumberFormat="1" applyBorder="1" applyAlignment="1">
      <alignment horizontal="right"/>
    </xf>
    <xf numFmtId="2" fontId="0" fillId="0" borderId="29" xfId="0" applyNumberFormat="1" applyBorder="1" applyAlignment="1">
      <alignment horizontal="right"/>
    </xf>
    <xf numFmtId="166" fontId="0" fillId="0" borderId="54" xfId="0" applyNumberFormat="1" applyBorder="1" applyAlignment="1">
      <alignment horizontal="right"/>
    </xf>
    <xf numFmtId="166" fontId="0" fillId="0" borderId="28" xfId="0" applyNumberFormat="1" applyBorder="1" applyAlignment="1">
      <alignment horizontal="right"/>
    </xf>
    <xf numFmtId="166" fontId="0" fillId="0" borderId="29" xfId="0" applyNumberFormat="1" applyBorder="1" applyAlignment="1">
      <alignment horizontal="right"/>
    </xf>
    <xf numFmtId="2" fontId="10" fillId="0" borderId="35" xfId="0" applyNumberFormat="1" applyFont="1" applyBorder="1" applyAlignment="1">
      <alignment horizontal="center"/>
    </xf>
    <xf numFmtId="2" fontId="10" fillId="0" borderId="59" xfId="0" applyNumberFormat="1" applyFont="1" applyBorder="1" applyAlignment="1">
      <alignment horizontal="left" indent="1"/>
    </xf>
    <xf numFmtId="2" fontId="10" fillId="0" borderId="34" xfId="0" applyNumberFormat="1" applyFont="1" applyBorder="1" applyAlignment="1">
      <alignment horizontal="left" indent="1"/>
    </xf>
    <xf numFmtId="0" fontId="0" fillId="0" borderId="35" xfId="0" applyBorder="1"/>
    <xf numFmtId="0" fontId="3" fillId="0" borderId="35" xfId="0" applyFont="1" applyBorder="1"/>
    <xf numFmtId="9" fontId="3" fillId="0" borderId="36" xfId="3" applyFont="1" applyBorder="1" applyAlignment="1">
      <alignment horizontal="right" indent="1"/>
    </xf>
    <xf numFmtId="0" fontId="0" fillId="0" borderId="58" xfId="0" applyBorder="1" applyAlignment="1">
      <alignment horizontal="right"/>
    </xf>
    <xf numFmtId="0" fontId="0" fillId="0" borderId="35" xfId="0" applyBorder="1" applyAlignment="1">
      <alignment horizontal="right"/>
    </xf>
    <xf numFmtId="0" fontId="0" fillId="0" borderId="36" xfId="0" applyBorder="1" applyAlignment="1">
      <alignment horizontal="right"/>
    </xf>
    <xf numFmtId="1" fontId="0" fillId="0" borderId="65" xfId="0" applyNumberFormat="1" applyBorder="1" applyAlignment="1">
      <alignment horizontal="right" indent="1"/>
    </xf>
    <xf numFmtId="9" fontId="0" fillId="0" borderId="0" xfId="3" applyFont="1" applyAlignment="1">
      <alignment horizontal="right"/>
    </xf>
    <xf numFmtId="1" fontId="0" fillId="0" borderId="0" xfId="0" applyNumberFormat="1" applyAlignment="1">
      <alignment horizontal="right" indent="1"/>
    </xf>
    <xf numFmtId="9" fontId="9" fillId="6" borderId="5" xfId="3" applyFont="1" applyFill="1" applyBorder="1" applyAlignment="1">
      <alignment horizontal="center"/>
    </xf>
    <xf numFmtId="9" fontId="9" fillId="6" borderId="16" xfId="3" applyFont="1" applyFill="1" applyBorder="1" applyAlignment="1">
      <alignment horizontal="right"/>
    </xf>
    <xf numFmtId="0" fontId="9" fillId="6" borderId="0" xfId="0" applyFont="1" applyFill="1" applyAlignment="1">
      <alignment horizontal="center"/>
    </xf>
    <xf numFmtId="0" fontId="9" fillId="6" borderId="13" xfId="0" applyFont="1" applyFill="1" applyBorder="1" applyAlignment="1">
      <alignment horizontal="center"/>
    </xf>
    <xf numFmtId="0" fontId="9" fillId="6" borderId="13" xfId="0" applyFont="1" applyFill="1" applyBorder="1" applyAlignment="1">
      <alignment horizontal="right"/>
    </xf>
    <xf numFmtId="9" fontId="0" fillId="0" borderId="13" xfId="3" applyFont="1" applyBorder="1" applyAlignment="1">
      <alignment horizontal="right"/>
    </xf>
    <xf numFmtId="0" fontId="0" fillId="0" borderId="61" xfId="0" applyBorder="1" applyAlignment="1">
      <alignment horizontal="right"/>
    </xf>
    <xf numFmtId="0" fontId="0" fillId="0" borderId="23" xfId="0" applyBorder="1" applyAlignment="1">
      <alignment horizontal="right"/>
    </xf>
    <xf numFmtId="1" fontId="0" fillId="0" borderId="64" xfId="0" applyNumberFormat="1" applyBorder="1" applyAlignment="1">
      <alignment horizontal="right" indent="1"/>
    </xf>
    <xf numFmtId="0" fontId="0" fillId="0" borderId="59" xfId="0" applyBorder="1"/>
    <xf numFmtId="0" fontId="0" fillId="0" borderId="34" xfId="0" applyBorder="1"/>
    <xf numFmtId="2" fontId="3" fillId="0" borderId="35" xfId="0" applyNumberFormat="1" applyFont="1" applyBorder="1" applyAlignment="1">
      <alignment horizontal="right" indent="1"/>
    </xf>
    <xf numFmtId="2" fontId="3" fillId="0" borderId="36" xfId="0" applyNumberFormat="1" applyFont="1" applyBorder="1" applyAlignment="1">
      <alignment horizontal="right" indent="1"/>
    </xf>
    <xf numFmtId="166" fontId="22" fillId="0" borderId="10" xfId="0" applyNumberFormat="1" applyFont="1" applyBorder="1" applyAlignment="1">
      <alignment horizontal="center"/>
    </xf>
    <xf numFmtId="0" fontId="0" fillId="0" borderId="45" xfId="0" applyBorder="1" applyAlignment="1">
      <alignment horizontal="center"/>
    </xf>
    <xf numFmtId="0" fontId="37" fillId="0" borderId="45" xfId="0" applyFont="1" applyBorder="1" applyAlignment="1">
      <alignment horizontal="center"/>
    </xf>
    <xf numFmtId="0" fontId="37" fillId="0" borderId="0" xfId="0" applyFont="1" applyAlignment="1" applyProtection="1">
      <alignment horizontal="center"/>
      <protection locked="0"/>
    </xf>
    <xf numFmtId="49" fontId="9" fillId="0" borderId="0" xfId="0" applyNumberFormat="1" applyFont="1" applyAlignment="1">
      <alignment horizontal="center"/>
    </xf>
    <xf numFmtId="0" fontId="9" fillId="0" borderId="0" xfId="0" applyFont="1" applyAlignment="1">
      <alignment horizontal="center"/>
    </xf>
    <xf numFmtId="0" fontId="3" fillId="0" borderId="4" xfId="0" applyFont="1" applyBorder="1" applyAlignment="1">
      <alignment horizontal="left"/>
    </xf>
    <xf numFmtId="0" fontId="2" fillId="0" borderId="0" xfId="0" applyFont="1" applyAlignment="1">
      <alignment horizontal="center"/>
    </xf>
    <xf numFmtId="0" fontId="39" fillId="0" borderId="0" xfId="0" applyFont="1"/>
    <xf numFmtId="0" fontId="3" fillId="0" borderId="41" xfId="0" applyFont="1" applyBorder="1" applyAlignment="1">
      <alignment horizontal="center"/>
    </xf>
    <xf numFmtId="0" fontId="3" fillId="0" borderId="42" xfId="0" applyFont="1" applyBorder="1" applyAlignment="1">
      <alignment horizontal="center"/>
    </xf>
    <xf numFmtId="0" fontId="3" fillId="0" borderId="42" xfId="0" applyFont="1" applyBorder="1" applyAlignment="1">
      <alignment horizontal="left" indent="1"/>
    </xf>
    <xf numFmtId="0" fontId="3" fillId="0" borderId="56" xfId="0" applyFont="1" applyBorder="1" applyAlignment="1">
      <alignment horizontal="left" indent="1"/>
    </xf>
    <xf numFmtId="0" fontId="3" fillId="0" borderId="43" xfId="0" applyFont="1" applyBorder="1" applyAlignment="1">
      <alignment horizontal="left" indent="1"/>
    </xf>
    <xf numFmtId="0" fontId="3" fillId="0" borderId="22" xfId="0" applyFont="1" applyBorder="1" applyAlignment="1">
      <alignment horizontal="left"/>
    </xf>
    <xf numFmtId="0" fontId="0" fillId="0" borderId="73" xfId="0" applyBorder="1" applyAlignment="1">
      <alignment horizontal="center"/>
    </xf>
    <xf numFmtId="0" fontId="0" fillId="0" borderId="31" xfId="0" applyBorder="1" applyAlignment="1">
      <alignment horizontal="center"/>
    </xf>
    <xf numFmtId="0" fontId="0" fillId="0" borderId="31" xfId="0" applyBorder="1" applyAlignment="1">
      <alignment horizontal="left" indent="1"/>
    </xf>
    <xf numFmtId="0" fontId="0" fillId="0" borderId="64" xfId="0" applyBorder="1" applyAlignment="1">
      <alignment horizontal="left" indent="1"/>
    </xf>
    <xf numFmtId="0" fontId="5" fillId="3" borderId="12" xfId="0" applyFont="1" applyFill="1" applyBorder="1" applyAlignment="1" applyProtection="1">
      <alignment horizontal="center"/>
      <protection locked="0"/>
    </xf>
    <xf numFmtId="2" fontId="5" fillId="0" borderId="46" xfId="0" applyNumberFormat="1" applyFont="1" applyBorder="1" applyAlignment="1">
      <alignment horizontal="center"/>
    </xf>
    <xf numFmtId="2" fontId="5" fillId="0" borderId="46" xfId="0" applyNumberFormat="1" applyFont="1" applyBorder="1" applyAlignment="1">
      <alignment horizontal="left"/>
    </xf>
    <xf numFmtId="2" fontId="5" fillId="3" borderId="51" xfId="0" applyNumberFormat="1" applyFont="1" applyFill="1" applyBorder="1" applyAlignment="1" applyProtection="1">
      <alignment horizontal="center"/>
      <protection locked="0"/>
    </xf>
    <xf numFmtId="2" fontId="5" fillId="0" borderId="13" xfId="0" applyNumberFormat="1" applyFont="1" applyBorder="1" applyAlignment="1">
      <alignment horizontal="left"/>
    </xf>
    <xf numFmtId="2" fontId="5" fillId="0" borderId="0" xfId="0" applyNumberFormat="1" applyFont="1" applyAlignment="1">
      <alignment horizontal="left"/>
    </xf>
    <xf numFmtId="2" fontId="9" fillId="0" borderId="13" xfId="0" applyNumberFormat="1" applyFont="1" applyBorder="1" applyAlignment="1">
      <alignment horizontal="center"/>
    </xf>
    <xf numFmtId="0" fontId="5" fillId="3" borderId="45" xfId="0" applyFont="1" applyFill="1" applyBorder="1" applyAlignment="1" applyProtection="1">
      <alignment horizontal="center"/>
      <protection locked="0"/>
    </xf>
    <xf numFmtId="2" fontId="5" fillId="0" borderId="51" xfId="0" applyNumberFormat="1" applyFont="1" applyBorder="1" applyAlignment="1">
      <alignment horizontal="center"/>
    </xf>
    <xf numFmtId="2" fontId="5" fillId="0" borderId="51" xfId="0" applyNumberFormat="1" applyFont="1" applyBorder="1" applyAlignment="1">
      <alignment horizontal="left"/>
    </xf>
    <xf numFmtId="0" fontId="10" fillId="0" borderId="12" xfId="0" applyFont="1" applyBorder="1" applyAlignment="1">
      <alignment horizontal="center"/>
    </xf>
    <xf numFmtId="0" fontId="10" fillId="0" borderId="13" xfId="0" applyFont="1" applyBorder="1" applyAlignment="1">
      <alignment horizontal="center"/>
    </xf>
    <xf numFmtId="0" fontId="10" fillId="0" borderId="15" xfId="0" applyFont="1" applyBorder="1" applyAlignment="1">
      <alignment horizontal="center"/>
    </xf>
    <xf numFmtId="0" fontId="10" fillId="0" borderId="16" xfId="0" applyFont="1" applyBorder="1" applyAlignment="1">
      <alignment horizontal="center"/>
    </xf>
    <xf numFmtId="0" fontId="5" fillId="3" borderId="8" xfId="0" applyFont="1" applyFill="1" applyBorder="1" applyAlignment="1" applyProtection="1">
      <alignment horizontal="center"/>
      <protection locked="0"/>
    </xf>
    <xf numFmtId="2" fontId="5" fillId="0" borderId="33" xfId="0" applyNumberFormat="1" applyFont="1" applyBorder="1" applyAlignment="1">
      <alignment horizontal="center"/>
    </xf>
    <xf numFmtId="2" fontId="5" fillId="0" borderId="33" xfId="0" applyNumberFormat="1" applyFont="1" applyBorder="1" applyAlignment="1">
      <alignment horizontal="left"/>
    </xf>
    <xf numFmtId="2" fontId="5" fillId="0" borderId="9" xfId="0" applyNumberFormat="1" applyFont="1" applyBorder="1" applyAlignment="1">
      <alignment horizontal="left"/>
    </xf>
    <xf numFmtId="0" fontId="0" fillId="0" borderId="11" xfId="0" applyBorder="1" applyAlignment="1">
      <alignment horizontal="center"/>
    </xf>
    <xf numFmtId="2" fontId="5" fillId="3" borderId="10" xfId="0" applyNumberFormat="1" applyFont="1" applyFill="1" applyBorder="1" applyAlignment="1" applyProtection="1">
      <alignment horizontal="center"/>
      <protection locked="0"/>
    </xf>
    <xf numFmtId="2" fontId="5" fillId="0" borderId="40" xfId="0" applyNumberFormat="1" applyFont="1" applyBorder="1" applyAlignment="1">
      <alignment horizontal="left"/>
    </xf>
    <xf numFmtId="2" fontId="5" fillId="3" borderId="0" xfId="0" applyNumberFormat="1" applyFont="1" applyFill="1" applyAlignment="1" applyProtection="1">
      <alignment horizontal="center"/>
      <protection locked="0"/>
    </xf>
    <xf numFmtId="2" fontId="5" fillId="0" borderId="47" xfId="0" applyNumberFormat="1" applyFont="1" applyBorder="1" applyAlignment="1">
      <alignment horizontal="left"/>
    </xf>
    <xf numFmtId="2" fontId="5" fillId="3" borderId="0" xfId="0" applyNumberFormat="1" applyFont="1" applyFill="1" applyAlignment="1" applyProtection="1">
      <alignment horizontal="left"/>
      <protection locked="0"/>
    </xf>
    <xf numFmtId="0" fontId="13" fillId="0" borderId="6" xfId="0" applyFont="1" applyBorder="1"/>
    <xf numFmtId="0" fontId="10" fillId="0" borderId="12" xfId="0" applyFont="1" applyBorder="1" applyAlignment="1">
      <alignment horizontal="left" indent="5"/>
    </xf>
    <xf numFmtId="2" fontId="5" fillId="0" borderId="12" xfId="0" applyNumberFormat="1" applyFont="1" applyBorder="1" applyAlignment="1">
      <alignment horizontal="center"/>
    </xf>
    <xf numFmtId="2" fontId="5" fillId="0" borderId="0" xfId="0" applyNumberFormat="1" applyFont="1" applyAlignment="1">
      <alignment horizontal="center"/>
    </xf>
    <xf numFmtId="0" fontId="5" fillId="0" borderId="15" xfId="0" applyFont="1" applyBorder="1"/>
    <xf numFmtId="0" fontId="5" fillId="0" borderId="17" xfId="0" applyFont="1" applyBorder="1"/>
    <xf numFmtId="0" fontId="5" fillId="0" borderId="16" xfId="0" applyFont="1" applyBorder="1" applyAlignment="1">
      <alignment horizontal="right"/>
    </xf>
    <xf numFmtId="0" fontId="3" fillId="0" borderId="6" xfId="0" applyFont="1" applyBorder="1" applyAlignment="1">
      <alignment horizontal="right"/>
    </xf>
    <xf numFmtId="0" fontId="3" fillId="10" borderId="0" xfId="0" applyFont="1" applyFill="1" applyAlignment="1" applyProtection="1">
      <alignment horizontal="center"/>
      <protection locked="0"/>
    </xf>
    <xf numFmtId="0" fontId="9" fillId="0" borderId="15" xfId="0" applyFont="1" applyBorder="1" applyAlignment="1">
      <alignment horizontal="left" indent="2"/>
    </xf>
    <xf numFmtId="0" fontId="12" fillId="0" borderId="17" xfId="0" applyFont="1" applyBorder="1"/>
    <xf numFmtId="0" fontId="12" fillId="0" borderId="16" xfId="0" applyFont="1" applyBorder="1"/>
    <xf numFmtId="0" fontId="12" fillId="0" borderId="15" xfId="0" applyFont="1" applyBorder="1"/>
    <xf numFmtId="0" fontId="7" fillId="3" borderId="17" xfId="0" applyFont="1" applyFill="1" applyBorder="1" applyAlignment="1" applyProtection="1">
      <alignment horizontal="center"/>
      <protection locked="0"/>
    </xf>
    <xf numFmtId="0" fontId="7" fillId="2" borderId="16" xfId="0" applyFont="1" applyFill="1" applyBorder="1" applyAlignment="1">
      <alignment horizontal="left" indent="1"/>
    </xf>
    <xf numFmtId="2" fontId="3" fillId="0" borderId="6" xfId="0" applyNumberFormat="1" applyFont="1" applyBorder="1" applyAlignment="1">
      <alignment horizontal="left"/>
    </xf>
    <xf numFmtId="2" fontId="3" fillId="0" borderId="6" xfId="0" applyNumberFormat="1" applyFont="1" applyBorder="1"/>
    <xf numFmtId="2" fontId="3" fillId="0" borderId="5" xfId="0" applyNumberFormat="1" applyFont="1" applyBorder="1" applyAlignment="1">
      <alignment horizontal="left"/>
    </xf>
    <xf numFmtId="0" fontId="3" fillId="0" borderId="6" xfId="0" applyFont="1" applyBorder="1" applyAlignment="1">
      <alignment horizontal="left"/>
    </xf>
    <xf numFmtId="1" fontId="0" fillId="6" borderId="7" xfId="0" applyNumberFormat="1" applyFill="1" applyBorder="1" applyAlignment="1">
      <alignment horizontal="left"/>
    </xf>
    <xf numFmtId="0" fontId="0" fillId="0" borderId="47" xfId="0" applyBorder="1"/>
    <xf numFmtId="0" fontId="3" fillId="0" borderId="15" xfId="0" applyFont="1" applyBorder="1"/>
    <xf numFmtId="2" fontId="3" fillId="0" borderId="0" xfId="0" applyNumberFormat="1" applyFont="1" applyAlignment="1">
      <alignment horizontal="left"/>
    </xf>
    <xf numFmtId="2" fontId="3" fillId="2" borderId="45" xfId="0" applyNumberFormat="1" applyFont="1" applyFill="1" applyBorder="1" applyAlignment="1">
      <alignment horizontal="center"/>
    </xf>
    <xf numFmtId="0" fontId="3" fillId="2" borderId="0" xfId="0" applyFont="1" applyFill="1" applyAlignment="1">
      <alignment horizontal="left" indent="1"/>
    </xf>
    <xf numFmtId="1" fontId="10" fillId="6" borderId="14" xfId="0" applyNumberFormat="1" applyFont="1" applyFill="1" applyBorder="1" applyAlignment="1">
      <alignment horizontal="center"/>
    </xf>
    <xf numFmtId="0" fontId="0" fillId="3" borderId="12" xfId="0" applyFill="1" applyBorder="1" applyAlignment="1" applyProtection="1">
      <alignment horizontal="center"/>
      <protection locked="0"/>
    </xf>
    <xf numFmtId="2" fontId="0" fillId="0" borderId="46" xfId="0" applyNumberFormat="1" applyBorder="1" applyAlignment="1">
      <alignment horizontal="center"/>
    </xf>
    <xf numFmtId="2" fontId="0" fillId="0" borderId="46" xfId="0" applyNumberFormat="1" applyBorder="1" applyAlignment="1">
      <alignment horizontal="left"/>
    </xf>
    <xf numFmtId="2" fontId="0" fillId="0" borderId="47" xfId="0" applyNumberFormat="1" applyBorder="1" applyAlignment="1">
      <alignment horizontal="left"/>
    </xf>
    <xf numFmtId="0" fontId="16" fillId="0" borderId="1" xfId="0" applyFont="1" applyBorder="1"/>
    <xf numFmtId="0" fontId="16" fillId="0" borderId="38" xfId="0" applyFont="1" applyBorder="1"/>
    <xf numFmtId="0" fontId="16" fillId="0" borderId="2" xfId="0" applyFont="1" applyBorder="1"/>
    <xf numFmtId="0" fontId="16" fillId="0" borderId="68" xfId="0" applyFont="1" applyBorder="1" applyAlignment="1">
      <alignment horizontal="center"/>
    </xf>
    <xf numFmtId="0" fontId="16" fillId="0" borderId="39" xfId="0" applyFont="1" applyBorder="1"/>
    <xf numFmtId="0" fontId="16" fillId="0" borderId="25" xfId="0" applyFont="1" applyBorder="1"/>
    <xf numFmtId="0" fontId="16" fillId="0" borderId="38" xfId="0" applyFont="1" applyBorder="1" applyAlignment="1">
      <alignment horizontal="center"/>
    </xf>
    <xf numFmtId="0" fontId="16" fillId="0" borderId="3" xfId="0" applyFont="1" applyBorder="1" applyAlignment="1">
      <alignment horizontal="center"/>
    </xf>
    <xf numFmtId="2" fontId="3" fillId="2" borderId="52" xfId="0" applyNumberFormat="1" applyFont="1" applyFill="1" applyBorder="1" applyAlignment="1">
      <alignment horizontal="center"/>
    </xf>
    <xf numFmtId="0" fontId="3" fillId="2" borderId="17" xfId="0" applyFont="1" applyFill="1" applyBorder="1" applyAlignment="1">
      <alignment horizontal="left" indent="1"/>
    </xf>
    <xf numFmtId="1" fontId="10" fillId="6" borderId="18" xfId="0" applyNumberFormat="1" applyFont="1" applyFill="1" applyBorder="1"/>
    <xf numFmtId="0" fontId="0" fillId="0" borderId="19" xfId="0" quotePrefix="1" applyBorder="1" applyAlignment="1">
      <alignment horizontal="center"/>
    </xf>
    <xf numFmtId="0" fontId="0" fillId="0" borderId="42" xfId="0" applyBorder="1" applyAlignment="1">
      <alignment horizontal="center"/>
    </xf>
    <xf numFmtId="0" fontId="0" fillId="0" borderId="20" xfId="0" applyBorder="1" applyAlignment="1">
      <alignment horizontal="left"/>
    </xf>
    <xf numFmtId="0" fontId="0" fillId="0" borderId="56" xfId="0" applyBorder="1"/>
    <xf numFmtId="0" fontId="0" fillId="0" borderId="57" xfId="0" applyBorder="1"/>
    <xf numFmtId="0" fontId="5" fillId="0" borderId="42" xfId="0" applyFont="1" applyBorder="1" applyAlignment="1">
      <alignment horizontal="center"/>
    </xf>
    <xf numFmtId="0" fontId="0" fillId="0" borderId="42" xfId="0" applyBorder="1"/>
    <xf numFmtId="0" fontId="0" fillId="0" borderId="21" xfId="0" applyBorder="1" applyAlignment="1">
      <alignment horizontal="center"/>
    </xf>
    <xf numFmtId="0" fontId="0" fillId="11" borderId="0" xfId="0" applyFill="1" applyAlignment="1">
      <alignment horizontal="left" indent="1"/>
    </xf>
    <xf numFmtId="0" fontId="0" fillId="0" borderId="8" xfId="0" quotePrefix="1" applyBorder="1" applyAlignment="1">
      <alignment horizontal="center"/>
    </xf>
    <xf numFmtId="0" fontId="0" fillId="0" borderId="10" xfId="0" applyBorder="1" applyAlignment="1">
      <alignment horizontal="left"/>
    </xf>
    <xf numFmtId="0" fontId="0" fillId="0" borderId="62" xfId="0" applyBorder="1"/>
    <xf numFmtId="0" fontId="5" fillId="0" borderId="33" xfId="0" applyFont="1" applyBorder="1" applyAlignment="1">
      <alignment horizontal="center"/>
    </xf>
    <xf numFmtId="0" fontId="0" fillId="0" borderId="33" xfId="0" applyBorder="1"/>
    <xf numFmtId="0" fontId="0" fillId="0" borderId="9" xfId="0" applyBorder="1" applyAlignment="1">
      <alignment horizontal="center"/>
    </xf>
    <xf numFmtId="0" fontId="5" fillId="0" borderId="46" xfId="0" applyFont="1" applyBorder="1" applyAlignment="1">
      <alignment horizontal="center"/>
    </xf>
    <xf numFmtId="0" fontId="35" fillId="0" borderId="22" xfId="0" applyFont="1" applyBorder="1" applyAlignment="1">
      <alignment horizontal="center"/>
    </xf>
    <xf numFmtId="0" fontId="35" fillId="0" borderId="11" xfId="0" applyFont="1" applyBorder="1" applyAlignment="1">
      <alignment horizontal="center"/>
    </xf>
    <xf numFmtId="0" fontId="35" fillId="0" borderId="18" xfId="0" applyFont="1" applyBorder="1" applyAlignment="1">
      <alignment horizontal="center"/>
    </xf>
    <xf numFmtId="0" fontId="0" fillId="11" borderId="17" xfId="0" applyFill="1" applyBorder="1" applyAlignment="1">
      <alignment horizontal="left" indent="1"/>
    </xf>
    <xf numFmtId="0" fontId="0" fillId="0" borderId="79" xfId="0" quotePrefix="1" applyBorder="1" applyAlignment="1">
      <alignment horizontal="center"/>
    </xf>
    <xf numFmtId="0" fontId="0" fillId="0" borderId="63" xfId="0" applyBorder="1" applyAlignment="1">
      <alignment horizontal="left"/>
    </xf>
    <xf numFmtId="0" fontId="0" fillId="0" borderId="63" xfId="0" applyBorder="1"/>
    <xf numFmtId="0" fontId="0" fillId="0" borderId="44" xfId="0" applyBorder="1"/>
    <xf numFmtId="0" fontId="0" fillId="0" borderId="54" xfId="0" applyBorder="1"/>
    <xf numFmtId="0" fontId="0" fillId="0" borderId="80" xfId="0" applyBorder="1" applyAlignment="1">
      <alignment horizontal="center"/>
    </xf>
    <xf numFmtId="0" fontId="0" fillId="0" borderId="15" xfId="0" quotePrefix="1" applyBorder="1" applyAlignment="1">
      <alignment horizontal="center"/>
    </xf>
    <xf numFmtId="0" fontId="0" fillId="0" borderId="68" xfId="0" applyBorder="1"/>
    <xf numFmtId="0" fontId="0" fillId="0" borderId="69" xfId="0" applyBorder="1"/>
    <xf numFmtId="0" fontId="5" fillId="0" borderId="53" xfId="0" applyFont="1" applyBorder="1" applyAlignment="1">
      <alignment horizontal="center"/>
    </xf>
    <xf numFmtId="0" fontId="0" fillId="0" borderId="53" xfId="0" applyBorder="1"/>
    <xf numFmtId="0" fontId="16" fillId="0" borderId="18" xfId="0" applyFont="1" applyBorder="1"/>
    <xf numFmtId="0" fontId="16" fillId="0" borderId="15" xfId="0" applyFont="1" applyBorder="1" applyAlignment="1">
      <alignment horizontal="center"/>
    </xf>
    <xf numFmtId="0" fontId="16" fillId="0" borderId="53" xfId="0" applyFont="1" applyBorder="1" applyAlignment="1">
      <alignment horizontal="center"/>
    </xf>
    <xf numFmtId="0" fontId="3" fillId="0" borderId="16" xfId="0" applyFont="1" applyBorder="1"/>
    <xf numFmtId="0" fontId="0" fillId="0" borderId="22" xfId="0" applyBorder="1"/>
    <xf numFmtId="0" fontId="0" fillId="0" borderId="19" xfId="0" quotePrefix="1" applyBorder="1"/>
    <xf numFmtId="0" fontId="0" fillId="0" borderId="11" xfId="0" applyBorder="1"/>
    <xf numFmtId="0" fontId="0" fillId="0" borderId="8" xfId="0" quotePrefix="1" applyBorder="1"/>
    <xf numFmtId="0" fontId="0" fillId="0" borderId="9" xfId="0" applyBorder="1"/>
    <xf numFmtId="0" fontId="0" fillId="0" borderId="10" xfId="0" quotePrefix="1" applyBorder="1"/>
    <xf numFmtId="0" fontId="0" fillId="3" borderId="15" xfId="0" applyFill="1" applyBorder="1" applyAlignment="1" applyProtection="1">
      <alignment horizontal="center"/>
      <protection locked="0"/>
    </xf>
    <xf numFmtId="2" fontId="0" fillId="0" borderId="53" xfId="0" applyNumberFormat="1" applyBorder="1" applyAlignment="1">
      <alignment horizontal="center"/>
    </xf>
    <xf numFmtId="2" fontId="0" fillId="0" borderId="53" xfId="0" applyNumberFormat="1" applyBorder="1" applyAlignment="1">
      <alignment horizontal="left"/>
    </xf>
    <xf numFmtId="2" fontId="0" fillId="0" borderId="55" xfId="0" applyNumberFormat="1" applyBorder="1" applyAlignment="1">
      <alignment horizontal="left"/>
    </xf>
    <xf numFmtId="0" fontId="0" fillId="0" borderId="12" xfId="0" quotePrefix="1" applyBorder="1"/>
    <xf numFmtId="0" fontId="3" fillId="0" borderId="1" xfId="0" applyFont="1" applyBorder="1"/>
    <xf numFmtId="0" fontId="3" fillId="0" borderId="6" xfId="0" applyFont="1" applyBorder="1" applyAlignment="1">
      <alignment horizontal="left" indent="1"/>
    </xf>
    <xf numFmtId="0" fontId="3" fillId="0" borderId="5" xfId="0" applyFont="1" applyBorder="1" applyAlignment="1">
      <alignment horizontal="left" indent="1"/>
    </xf>
    <xf numFmtId="0" fontId="12" fillId="0" borderId="17" xfId="0" applyFont="1" applyBorder="1" applyAlignment="1">
      <alignment horizontal="center"/>
    </xf>
    <xf numFmtId="0" fontId="12" fillId="0" borderId="16" xfId="0" applyFont="1" applyBorder="1" applyAlignment="1">
      <alignment horizontal="center"/>
    </xf>
    <xf numFmtId="2" fontId="3" fillId="2" borderId="55" xfId="0" applyNumberFormat="1" applyFont="1" applyFill="1" applyBorder="1" applyAlignment="1">
      <alignment horizontal="left" indent="1"/>
    </xf>
    <xf numFmtId="0" fontId="12" fillId="0" borderId="0" xfId="0" applyFont="1" applyAlignment="1">
      <alignment horizontal="left"/>
    </xf>
    <xf numFmtId="0" fontId="3" fillId="0" borderId="56" xfId="0" applyFont="1" applyBorder="1" applyAlignment="1">
      <alignment horizontal="center"/>
    </xf>
    <xf numFmtId="2" fontId="3" fillId="0" borderId="6" xfId="0" applyNumberFormat="1" applyFont="1" applyBorder="1" applyAlignment="1">
      <alignment horizontal="right"/>
    </xf>
    <xf numFmtId="0" fontId="10" fillId="0" borderId="17" xfId="0" applyFont="1" applyBorder="1"/>
    <xf numFmtId="0" fontId="3" fillId="0" borderId="17" xfId="0" applyFont="1" applyBorder="1" applyAlignment="1">
      <alignment horizontal="right"/>
    </xf>
    <xf numFmtId="2" fontId="3" fillId="0" borderId="17" xfId="0" applyNumberFormat="1" applyFont="1" applyBorder="1" applyAlignment="1">
      <alignment horizontal="center"/>
    </xf>
    <xf numFmtId="0" fontId="3" fillId="0" borderId="50" xfId="0" applyFont="1" applyBorder="1" applyAlignment="1">
      <alignment horizontal="center"/>
    </xf>
    <xf numFmtId="0" fontId="16" fillId="0" borderId="53" xfId="0" applyFont="1" applyBorder="1"/>
    <xf numFmtId="0" fontId="16" fillId="0" borderId="16" xfId="0" applyFont="1" applyBorder="1" applyAlignment="1">
      <alignment horizontal="center"/>
    </xf>
    <xf numFmtId="0" fontId="0" fillId="0" borderId="81" xfId="0" quotePrefix="1" applyBorder="1" applyAlignment="1">
      <alignment horizontal="center"/>
    </xf>
    <xf numFmtId="0" fontId="0" fillId="0" borderId="82" xfId="0" applyBorder="1" applyAlignment="1">
      <alignment horizontal="center"/>
    </xf>
    <xf numFmtId="0" fontId="16" fillId="0" borderId="12" xfId="0" applyFont="1" applyBorder="1"/>
    <xf numFmtId="0" fontId="3" fillId="0" borderId="0" xfId="0" applyFont="1" applyAlignment="1">
      <alignment horizontal="left" indent="2"/>
    </xf>
    <xf numFmtId="0" fontId="16" fillId="0" borderId="24" xfId="0" applyFont="1" applyBorder="1" applyAlignment="1">
      <alignment horizontal="center"/>
    </xf>
    <xf numFmtId="0" fontId="16" fillId="0" borderId="2" xfId="0" applyFont="1" applyBorder="1" applyAlignment="1">
      <alignment horizontal="center"/>
    </xf>
    <xf numFmtId="0" fontId="0" fillId="0" borderId="25" xfId="0" applyBorder="1"/>
    <xf numFmtId="0" fontId="3" fillId="0" borderId="2" xfId="0" applyFont="1" applyBorder="1" applyAlignment="1">
      <alignment horizontal="left" indent="2"/>
    </xf>
    <xf numFmtId="0" fontId="0" fillId="0" borderId="56" xfId="0" applyBorder="1" applyAlignment="1">
      <alignment horizontal="center"/>
    </xf>
    <xf numFmtId="0" fontId="0" fillId="0" borderId="66" xfId="0" applyBorder="1" applyAlignment="1">
      <alignment horizontal="center"/>
    </xf>
    <xf numFmtId="0" fontId="0" fillId="0" borderId="0" xfId="0" quotePrefix="1"/>
    <xf numFmtId="0" fontId="3" fillId="0" borderId="2" xfId="0" applyFont="1" applyBorder="1"/>
    <xf numFmtId="0" fontId="10" fillId="9" borderId="12" xfId="0" applyFont="1" applyFill="1" applyBorder="1" applyAlignment="1" applyProtection="1">
      <alignment horizontal="center"/>
      <protection locked="0"/>
    </xf>
    <xf numFmtId="0" fontId="5" fillId="0" borderId="7" xfId="0" applyFont="1" applyBorder="1" applyAlignment="1">
      <alignment horizontal="center"/>
    </xf>
    <xf numFmtId="1" fontId="0" fillId="0" borderId="13" xfId="0" applyNumberFormat="1" applyBorder="1" applyAlignment="1">
      <alignment horizontal="center"/>
    </xf>
    <xf numFmtId="0" fontId="3" fillId="4" borderId="2" xfId="0" applyFont="1" applyFill="1" applyBorder="1" applyAlignment="1" applyProtection="1">
      <alignment horizontal="center"/>
      <protection locked="0"/>
    </xf>
    <xf numFmtId="0" fontId="3" fillId="4" borderId="3" xfId="0" applyFont="1" applyFill="1" applyBorder="1" applyAlignment="1" applyProtection="1">
      <alignment horizontal="center"/>
      <protection locked="0"/>
    </xf>
    <xf numFmtId="0" fontId="9" fillId="0" borderId="6" xfId="0" applyFont="1" applyBorder="1" applyAlignment="1">
      <alignment horizontal="center"/>
    </xf>
    <xf numFmtId="0" fontId="3" fillId="0" borderId="5" xfId="0" quotePrefix="1" applyFont="1" applyBorder="1" applyAlignment="1">
      <alignment horizontal="center"/>
    </xf>
    <xf numFmtId="0" fontId="9" fillId="0" borderId="1" xfId="0" applyFont="1" applyBorder="1"/>
    <xf numFmtId="0" fontId="9" fillId="0" borderId="2" xfId="0" applyFont="1" applyBorder="1"/>
    <xf numFmtId="0" fontId="10" fillId="0" borderId="2" xfId="0" applyFont="1" applyBorder="1"/>
    <xf numFmtId="0" fontId="9" fillId="0" borderId="0" xfId="0" applyFont="1" applyAlignment="1">
      <alignment horizontal="left"/>
    </xf>
    <xf numFmtId="0" fontId="10" fillId="0" borderId="13" xfId="0" applyFont="1" applyBorder="1"/>
    <xf numFmtId="0" fontId="9" fillId="0" borderId="3" xfId="0" applyFont="1" applyBorder="1"/>
    <xf numFmtId="0" fontId="9" fillId="0" borderId="37" xfId="0" applyFont="1" applyBorder="1" applyAlignment="1">
      <alignment horizontal="center"/>
    </xf>
    <xf numFmtId="0" fontId="9" fillId="0" borderId="38" xfId="0" applyFont="1" applyBorder="1" applyAlignment="1">
      <alignment horizontal="center"/>
    </xf>
    <xf numFmtId="0" fontId="9" fillId="0" borderId="39" xfId="0" applyFont="1" applyBorder="1" applyAlignment="1">
      <alignment horizontal="center"/>
    </xf>
    <xf numFmtId="0" fontId="9" fillId="0" borderId="33" xfId="0" applyFont="1" applyBorder="1" applyAlignment="1">
      <alignment horizontal="center"/>
    </xf>
    <xf numFmtId="0" fontId="9" fillId="0" borderId="33" xfId="0" applyFont="1" applyBorder="1"/>
    <xf numFmtId="0" fontId="10" fillId="0" borderId="17" xfId="0" applyFont="1" applyBorder="1" applyAlignment="1">
      <alignment horizontal="center"/>
    </xf>
    <xf numFmtId="2" fontId="5" fillId="5" borderId="28" xfId="0" applyNumberFormat="1" applyFont="1" applyFill="1" applyBorder="1" applyAlignment="1">
      <alignment horizontal="center"/>
    </xf>
    <xf numFmtId="1" fontId="5" fillId="5" borderId="28" xfId="0" applyNumberFormat="1" applyFont="1" applyFill="1" applyBorder="1" applyAlignment="1">
      <alignment horizontal="left"/>
    </xf>
    <xf numFmtId="0" fontId="0" fillId="5" borderId="28" xfId="0" applyFill="1" applyBorder="1" applyAlignment="1">
      <alignment horizontal="center"/>
    </xf>
    <xf numFmtId="1" fontId="0" fillId="0" borderId="0" xfId="0" applyNumberFormat="1"/>
    <xf numFmtId="1" fontId="5" fillId="0" borderId="33" xfId="0" applyNumberFormat="1" applyFont="1" applyBorder="1" applyAlignment="1">
      <alignment horizontal="center"/>
    </xf>
    <xf numFmtId="2" fontId="3" fillId="0" borderId="33" xfId="0" applyNumberFormat="1" applyFont="1" applyBorder="1" applyAlignment="1">
      <alignment horizontal="center"/>
    </xf>
    <xf numFmtId="1" fontId="5" fillId="0" borderId="33" xfId="0" applyNumberFormat="1" applyFont="1" applyBorder="1" applyAlignment="1">
      <alignment horizontal="right"/>
    </xf>
    <xf numFmtId="1" fontId="5" fillId="0" borderId="33" xfId="0" applyNumberFormat="1" applyFont="1" applyBorder="1" applyAlignment="1">
      <alignment horizontal="left" indent="1"/>
    </xf>
    <xf numFmtId="0" fontId="28" fillId="0" borderId="33" xfId="0" applyFont="1" applyBorder="1" applyAlignment="1">
      <alignment horizontal="left"/>
    </xf>
    <xf numFmtId="1" fontId="5" fillId="0" borderId="0" xfId="0" applyNumberFormat="1" applyFont="1" applyAlignment="1">
      <alignment horizontal="left"/>
    </xf>
    <xf numFmtId="2" fontId="3" fillId="0" borderId="53" xfId="0" applyNumberFormat="1" applyFont="1" applyBorder="1" applyAlignment="1">
      <alignment horizontal="center"/>
    </xf>
    <xf numFmtId="1" fontId="5" fillId="0" borderId="53" xfId="0" applyNumberFormat="1" applyFont="1" applyBorder="1" applyAlignment="1">
      <alignment horizontal="right"/>
    </xf>
    <xf numFmtId="1" fontId="5" fillId="0" borderId="53" xfId="0" applyNumberFormat="1" applyFont="1" applyBorder="1" applyAlignment="1">
      <alignment horizontal="left" indent="1"/>
    </xf>
    <xf numFmtId="0" fontId="28" fillId="0" borderId="53" xfId="0" applyFont="1" applyBorder="1" applyAlignment="1">
      <alignment horizontal="left"/>
    </xf>
    <xf numFmtId="1" fontId="3" fillId="0" borderId="33" xfId="0" applyNumberFormat="1" applyFont="1" applyBorder="1" applyAlignment="1">
      <alignment horizontal="center"/>
    </xf>
    <xf numFmtId="1" fontId="5" fillId="0" borderId="33" xfId="0" applyNumberFormat="1" applyFont="1" applyBorder="1" applyAlignment="1">
      <alignment horizontal="left"/>
    </xf>
    <xf numFmtId="0" fontId="0" fillId="0" borderId="33" xfId="0" applyBorder="1" applyAlignment="1">
      <alignment horizontal="left"/>
    </xf>
    <xf numFmtId="0" fontId="0" fillId="0" borderId="28" xfId="0" applyBorder="1" applyAlignment="1">
      <alignment horizontal="left"/>
    </xf>
    <xf numFmtId="0" fontId="3" fillId="4" borderId="2" xfId="0" quotePrefix="1" applyFont="1" applyFill="1" applyBorder="1" applyAlignment="1" applyProtection="1">
      <alignment horizontal="center"/>
      <protection locked="0"/>
    </xf>
    <xf numFmtId="0" fontId="3" fillId="4" borderId="0" xfId="0" applyFont="1" applyFill="1"/>
    <xf numFmtId="0" fontId="0" fillId="4" borderId="0" xfId="0" applyFill="1"/>
    <xf numFmtId="0" fontId="3" fillId="0" borderId="3" xfId="0" applyFont="1" applyBorder="1"/>
    <xf numFmtId="0" fontId="37" fillId="0" borderId="45" xfId="0" applyFont="1" applyBorder="1" applyAlignment="1">
      <alignment horizontal="left"/>
    </xf>
    <xf numFmtId="0" fontId="37" fillId="0" borderId="0" xfId="0" applyFont="1"/>
    <xf numFmtId="168" fontId="0" fillId="0" borderId="66" xfId="0" applyNumberFormat="1" applyBorder="1" applyAlignment="1">
      <alignment horizontal="right" indent="1"/>
    </xf>
    <xf numFmtId="168" fontId="0" fillId="0" borderId="51" xfId="0" applyNumberFormat="1" applyBorder="1" applyAlignment="1">
      <alignment horizontal="right" indent="1"/>
    </xf>
    <xf numFmtId="166" fontId="0" fillId="0" borderId="28" xfId="0" applyNumberFormat="1" applyBorder="1" applyAlignment="1">
      <alignment horizontal="right" indent="1"/>
    </xf>
    <xf numFmtId="0" fontId="1" fillId="0" borderId="15" xfId="0" applyFont="1" applyBorder="1"/>
    <xf numFmtId="0" fontId="1" fillId="0" borderId="17" xfId="0" applyFont="1" applyBorder="1"/>
    <xf numFmtId="0" fontId="1" fillId="0" borderId="16" xfId="0" applyFont="1" applyBorder="1"/>
    <xf numFmtId="0" fontId="1" fillId="0" borderId="4" xfId="0" applyFont="1" applyBorder="1"/>
    <xf numFmtId="0" fontId="1" fillId="0" borderId="6" xfId="0" applyFont="1" applyBorder="1" applyAlignment="1">
      <alignment horizontal="center"/>
    </xf>
    <xf numFmtId="0" fontId="1" fillId="0" borderId="17" xfId="0" applyFont="1" applyBorder="1" applyAlignment="1">
      <alignment horizontal="center"/>
    </xf>
    <xf numFmtId="0" fontId="1" fillId="14" borderId="4" xfId="0" applyFont="1" applyFill="1" applyBorder="1" applyAlignment="1">
      <alignment horizontal="center"/>
    </xf>
    <xf numFmtId="0" fontId="1" fillId="14" borderId="6" xfId="0" applyFont="1" applyFill="1" applyBorder="1" applyAlignment="1">
      <alignment horizontal="center"/>
    </xf>
    <xf numFmtId="0" fontId="1" fillId="14" borderId="5" xfId="0" applyFont="1" applyFill="1" applyBorder="1" applyAlignment="1">
      <alignment horizontal="center"/>
    </xf>
    <xf numFmtId="0" fontId="1" fillId="14" borderId="15" xfId="0" applyFont="1" applyFill="1" applyBorder="1" applyAlignment="1">
      <alignment horizontal="center"/>
    </xf>
    <xf numFmtId="0" fontId="1" fillId="14" borderId="17" xfId="0" applyFont="1" applyFill="1" applyBorder="1" applyAlignment="1">
      <alignment horizontal="center"/>
    </xf>
    <xf numFmtId="0" fontId="1" fillId="14" borderId="16" xfId="0" applyFont="1" applyFill="1" applyBorder="1" applyAlignment="1">
      <alignment horizontal="center"/>
    </xf>
    <xf numFmtId="0" fontId="1" fillId="0" borderId="15" xfId="0" applyFont="1" applyBorder="1" applyAlignment="1">
      <alignment horizontal="center"/>
    </xf>
    <xf numFmtId="0" fontId="1" fillId="0" borderId="16" xfId="0" applyFont="1" applyBorder="1" applyAlignment="1">
      <alignment horizontal="center"/>
    </xf>
    <xf numFmtId="0" fontId="7" fillId="2" borderId="45" xfId="0" applyFont="1" applyFill="1" applyBorder="1" applyAlignment="1">
      <alignment horizontal="center"/>
    </xf>
    <xf numFmtId="0" fontId="7" fillId="2" borderId="52" xfId="0" applyFont="1" applyFill="1" applyBorder="1" applyAlignment="1">
      <alignment horizontal="center"/>
    </xf>
    <xf numFmtId="2" fontId="0" fillId="0" borderId="33" xfId="0" applyNumberFormat="1" applyBorder="1" applyAlignment="1">
      <alignment horizontal="left"/>
    </xf>
    <xf numFmtId="1" fontId="0" fillId="0" borderId="10" xfId="0" applyNumberFormat="1" applyBorder="1"/>
    <xf numFmtId="0" fontId="3" fillId="3" borderId="3" xfId="0" applyFont="1" applyFill="1" applyBorder="1" applyAlignment="1" applyProtection="1">
      <alignment horizontal="center"/>
      <protection locked="0"/>
    </xf>
    <xf numFmtId="2" fontId="5" fillId="3" borderId="51" xfId="0" applyNumberFormat="1" applyFont="1" applyFill="1" applyBorder="1" applyAlignment="1" applyProtection="1">
      <alignment horizontal="left"/>
      <protection locked="0"/>
    </xf>
    <xf numFmtId="2" fontId="5" fillId="3" borderId="65" xfId="0" applyNumberFormat="1" applyFont="1" applyFill="1" applyBorder="1" applyAlignment="1" applyProtection="1">
      <alignment horizontal="center"/>
      <protection locked="0"/>
    </xf>
    <xf numFmtId="1" fontId="5" fillId="0" borderId="0" xfId="0" applyNumberFormat="1" applyFont="1" applyAlignment="1" applyProtection="1">
      <alignment horizontal="center"/>
      <protection locked="0"/>
    </xf>
    <xf numFmtId="1" fontId="5" fillId="0" borderId="10" xfId="0" applyNumberFormat="1" applyFont="1" applyBorder="1" applyAlignment="1" applyProtection="1">
      <alignment horizontal="center"/>
      <protection locked="0"/>
    </xf>
    <xf numFmtId="1" fontId="9" fillId="2" borderId="20" xfId="0" applyNumberFormat="1" applyFont="1" applyFill="1" applyBorder="1" applyAlignment="1">
      <alignment horizontal="left"/>
    </xf>
    <xf numFmtId="1" fontId="9" fillId="2" borderId="19" xfId="0" applyNumberFormat="1" applyFont="1" applyFill="1" applyBorder="1" applyAlignment="1">
      <alignment horizontal="left"/>
    </xf>
    <xf numFmtId="1" fontId="9" fillId="2" borderId="6" xfId="0" applyNumberFormat="1" applyFont="1" applyFill="1" applyBorder="1" applyAlignment="1">
      <alignment horizontal="left"/>
    </xf>
    <xf numFmtId="165" fontId="0" fillId="2" borderId="21" xfId="0" applyNumberFormat="1" applyFill="1" applyBorder="1" applyAlignment="1">
      <alignment horizontal="left"/>
    </xf>
    <xf numFmtId="1" fontId="9" fillId="2" borderId="57" xfId="0" applyNumberFormat="1" applyFont="1" applyFill="1" applyBorder="1" applyAlignment="1">
      <alignment horizontal="left"/>
    </xf>
    <xf numFmtId="0" fontId="0" fillId="11" borderId="46" xfId="0" applyFill="1" applyBorder="1" applyAlignment="1">
      <alignment horizontal="left"/>
    </xf>
    <xf numFmtId="0" fontId="40" fillId="0" borderId="42" xfId="0" applyFont="1" applyBorder="1" applyAlignment="1">
      <alignment horizontal="left"/>
    </xf>
    <xf numFmtId="0" fontId="40" fillId="0" borderId="33" xfId="0" applyFont="1" applyBorder="1" applyAlignment="1">
      <alignment horizontal="left"/>
    </xf>
    <xf numFmtId="0" fontId="40" fillId="0" borderId="53" xfId="0" applyFont="1" applyBorder="1" applyAlignment="1">
      <alignment horizontal="left"/>
    </xf>
    <xf numFmtId="0" fontId="7" fillId="0" borderId="0" xfId="0" applyFont="1" applyAlignment="1">
      <alignment horizontal="center" wrapText="1"/>
    </xf>
    <xf numFmtId="0" fontId="12" fillId="0" borderId="0" xfId="0" applyFont="1" applyAlignment="1">
      <alignment horizontal="center" wrapText="1"/>
    </xf>
    <xf numFmtId="0" fontId="13" fillId="0" borderId="0" xfId="0" applyFont="1" applyAlignment="1">
      <alignment horizontal="center" wrapText="1"/>
    </xf>
    <xf numFmtId="0" fontId="12" fillId="0" borderId="0" xfId="0" applyFont="1" applyAlignment="1">
      <alignment horizontal="justify" wrapText="1"/>
    </xf>
    <xf numFmtId="0" fontId="13" fillId="0" borderId="0" xfId="0" applyFont="1" applyAlignment="1">
      <alignment horizontal="justify" wrapText="1"/>
    </xf>
    <xf numFmtId="0" fontId="7" fillId="0" borderId="0" xfId="0" applyFont="1" applyAlignment="1">
      <alignment horizontal="justify" wrapText="1"/>
    </xf>
    <xf numFmtId="0" fontId="12" fillId="0" borderId="0" xfId="0" applyFont="1" applyAlignment="1">
      <alignment wrapText="1"/>
    </xf>
    <xf numFmtId="0" fontId="13" fillId="0" borderId="0" xfId="0" applyFont="1" applyAlignment="1">
      <alignment wrapText="1"/>
    </xf>
    <xf numFmtId="0" fontId="12" fillId="0" borderId="0" xfId="0" applyFont="1" applyAlignment="1">
      <alignment horizontal="left" wrapText="1"/>
    </xf>
    <xf numFmtId="0" fontId="3" fillId="0" borderId="17" xfId="0" applyFont="1" applyBorder="1" applyAlignment="1">
      <alignment horizontal="left" indent="1"/>
    </xf>
    <xf numFmtId="0" fontId="1" fillId="0" borderId="0" xfId="0" applyFont="1" applyAlignment="1">
      <alignment horizontal="left"/>
    </xf>
    <xf numFmtId="1" fontId="5" fillId="9" borderId="33" xfId="0" applyNumberFormat="1" applyFont="1" applyFill="1" applyBorder="1" applyAlignment="1" applyProtection="1">
      <alignment horizontal="center"/>
      <protection locked="0"/>
    </xf>
    <xf numFmtId="0" fontId="10" fillId="9" borderId="35" xfId="0" applyFont="1" applyFill="1" applyBorder="1" applyAlignment="1" applyProtection="1">
      <alignment horizontal="center"/>
      <protection locked="0"/>
    </xf>
    <xf numFmtId="0" fontId="2" fillId="9" borderId="0" xfId="0" quotePrefix="1" applyFont="1" applyFill="1" applyAlignment="1" applyProtection="1">
      <alignment horizontal="center"/>
      <protection locked="0"/>
    </xf>
    <xf numFmtId="0" fontId="2" fillId="0" borderId="0" xfId="0" applyFont="1" applyAlignment="1">
      <alignment horizontal="left"/>
    </xf>
    <xf numFmtId="2" fontId="0" fillId="0" borderId="0" xfId="0" applyNumberFormat="1" applyAlignment="1">
      <alignment horizontal="left"/>
    </xf>
    <xf numFmtId="0" fontId="3" fillId="0" borderId="61" xfId="0" applyFont="1" applyBorder="1" applyAlignment="1">
      <alignment horizontal="left" indent="1"/>
    </xf>
    <xf numFmtId="0" fontId="3" fillId="0" borderId="64" xfId="0" applyFont="1" applyBorder="1" applyAlignment="1">
      <alignment horizontal="left" indent="1"/>
    </xf>
    <xf numFmtId="0" fontId="0" fillId="3" borderId="66" xfId="0" applyFill="1" applyBorder="1" applyAlignment="1" applyProtection="1">
      <alignment horizontal="center"/>
      <protection locked="0"/>
    </xf>
    <xf numFmtId="2" fontId="0" fillId="0" borderId="51" xfId="0" applyNumberFormat="1" applyBorder="1" applyAlignment="1">
      <alignment horizontal="left"/>
    </xf>
    <xf numFmtId="0" fontId="0" fillId="3" borderId="62" xfId="0" applyFill="1" applyBorder="1" applyAlignment="1" applyProtection="1">
      <alignment horizontal="center"/>
      <protection locked="0"/>
    </xf>
    <xf numFmtId="2" fontId="0" fillId="0" borderId="10" xfId="0" applyNumberFormat="1" applyBorder="1" applyAlignment="1">
      <alignment horizontal="center"/>
    </xf>
    <xf numFmtId="2" fontId="0" fillId="0" borderId="10" xfId="0" applyNumberFormat="1" applyBorder="1" applyAlignment="1">
      <alignment horizontal="left"/>
    </xf>
    <xf numFmtId="2" fontId="0" fillId="0" borderId="65" xfId="0" applyNumberFormat="1" applyBorder="1" applyAlignment="1">
      <alignment horizontal="left"/>
    </xf>
    <xf numFmtId="2" fontId="0" fillId="0" borderId="0" xfId="0" applyNumberFormat="1" applyAlignment="1" applyProtection="1">
      <alignment horizontal="center"/>
      <protection locked="0"/>
    </xf>
    <xf numFmtId="2" fontId="0" fillId="0" borderId="10" xfId="0" applyNumberFormat="1" applyBorder="1" applyAlignment="1" applyProtection="1">
      <alignment horizontal="center"/>
      <protection locked="0"/>
    </xf>
    <xf numFmtId="2" fontId="0" fillId="0" borderId="17" xfId="0" applyNumberFormat="1" applyBorder="1" applyAlignment="1" applyProtection="1">
      <alignment horizontal="center"/>
      <protection locked="0"/>
    </xf>
    <xf numFmtId="0" fontId="15" fillId="10" borderId="28" xfId="0" applyFont="1" applyFill="1" applyBorder="1" applyAlignment="1" applyProtection="1">
      <alignment horizontal="left"/>
      <protection locked="0"/>
    </xf>
    <xf numFmtId="2" fontId="0" fillId="0" borderId="52" xfId="0" applyNumberFormat="1" applyBorder="1" applyAlignment="1">
      <alignment horizontal="center"/>
    </xf>
    <xf numFmtId="0" fontId="0" fillId="0" borderId="47" xfId="0" applyBorder="1" applyAlignment="1">
      <alignment horizontal="center"/>
    </xf>
    <xf numFmtId="0" fontId="3" fillId="2" borderId="33" xfId="0" applyFont="1" applyFill="1" applyBorder="1" applyAlignment="1">
      <alignment horizontal="left" indent="1"/>
    </xf>
    <xf numFmtId="0" fontId="35" fillId="0" borderId="0" xfId="0" applyFont="1" applyAlignment="1">
      <alignment horizontal="right"/>
    </xf>
    <xf numFmtId="0" fontId="16" fillId="0" borderId="1" xfId="0" applyFont="1" applyBorder="1" applyAlignment="1">
      <alignment horizontal="right"/>
    </xf>
    <xf numFmtId="0" fontId="16" fillId="0" borderId="2" xfId="0" applyFont="1" applyBorder="1" applyAlignment="1">
      <alignment horizontal="right"/>
    </xf>
    <xf numFmtId="0" fontId="3" fillId="0" borderId="2" xfId="0" applyFont="1" applyBorder="1" applyAlignment="1">
      <alignment horizontal="left" indent="1"/>
    </xf>
    <xf numFmtId="0" fontId="15" fillId="10" borderId="28" xfId="0" applyFont="1" applyFill="1" applyBorder="1" applyAlignment="1" applyProtection="1">
      <alignment horizontal="left" indent="1"/>
      <protection locked="0"/>
    </xf>
    <xf numFmtId="0" fontId="10" fillId="9" borderId="12" xfId="0" quotePrefix="1" applyFont="1" applyFill="1" applyBorder="1" applyAlignment="1" applyProtection="1">
      <alignment horizontal="center"/>
      <protection locked="0"/>
    </xf>
    <xf numFmtId="0" fontId="10" fillId="0" borderId="83" xfId="0" quotePrefix="1" applyFont="1" applyBorder="1" applyAlignment="1" applyProtection="1">
      <alignment horizontal="center"/>
      <protection locked="0"/>
    </xf>
    <xf numFmtId="0" fontId="10" fillId="0" borderId="41" xfId="0" applyFont="1" applyBorder="1" applyAlignment="1" applyProtection="1">
      <alignment horizontal="center"/>
      <protection locked="0"/>
    </xf>
    <xf numFmtId="2" fontId="10" fillId="0" borderId="42" xfId="0" applyNumberFormat="1" applyFont="1" applyBorder="1" applyAlignment="1" applyProtection="1">
      <alignment horizontal="center"/>
      <protection locked="0"/>
    </xf>
    <xf numFmtId="0" fontId="10" fillId="0" borderId="42" xfId="0" applyFont="1" applyBorder="1" applyAlignment="1" applyProtection="1">
      <alignment horizontal="left" indent="1"/>
      <protection locked="0"/>
    </xf>
    <xf numFmtId="0" fontId="10" fillId="0" borderId="40" xfId="0" quotePrefix="1" applyFont="1" applyBorder="1" applyAlignment="1" applyProtection="1">
      <alignment horizontal="center"/>
      <protection locked="0"/>
    </xf>
    <xf numFmtId="0" fontId="10" fillId="0" borderId="43" xfId="0" quotePrefix="1" applyFont="1" applyBorder="1" applyAlignment="1" applyProtection="1">
      <alignment horizontal="center"/>
      <protection locked="0"/>
    </xf>
    <xf numFmtId="0" fontId="10" fillId="0" borderId="12" xfId="0" applyFont="1" applyBorder="1" applyAlignment="1" applyProtection="1">
      <alignment horizontal="center"/>
      <protection locked="0"/>
    </xf>
    <xf numFmtId="0" fontId="10" fillId="0" borderId="13" xfId="0" quotePrefix="1" applyFont="1" applyBorder="1" applyAlignment="1" applyProtection="1">
      <alignment horizontal="center"/>
      <protection locked="0"/>
    </xf>
    <xf numFmtId="0" fontId="10" fillId="0" borderId="15" xfId="0" applyFont="1" applyBorder="1" applyAlignment="1" applyProtection="1">
      <alignment horizontal="center"/>
      <protection locked="0"/>
    </xf>
    <xf numFmtId="2" fontId="10" fillId="19" borderId="28" xfId="0" quotePrefix="1" applyNumberFormat="1" applyFont="1" applyFill="1" applyBorder="1" applyAlignment="1" applyProtection="1">
      <alignment horizontal="center"/>
      <protection locked="0"/>
    </xf>
    <xf numFmtId="2" fontId="9" fillId="19" borderId="28" xfId="0" quotePrefix="1" applyNumberFormat="1" applyFont="1" applyFill="1" applyBorder="1" applyAlignment="1" applyProtection="1">
      <alignment horizontal="center"/>
      <protection locked="0"/>
    </xf>
    <xf numFmtId="0" fontId="10" fillId="19" borderId="9" xfId="0" quotePrefix="1" applyFont="1" applyFill="1" applyBorder="1" applyAlignment="1" applyProtection="1">
      <alignment horizontal="center"/>
      <protection locked="0"/>
    </xf>
    <xf numFmtId="2" fontId="10" fillId="19" borderId="35" xfId="0" quotePrefix="1" applyNumberFormat="1" applyFont="1" applyFill="1" applyBorder="1" applyAlignment="1" applyProtection="1">
      <alignment horizontal="center"/>
      <protection locked="0"/>
    </xf>
    <xf numFmtId="0" fontId="10" fillId="19" borderId="16" xfId="0" quotePrefix="1" applyFont="1" applyFill="1" applyBorder="1" applyAlignment="1" applyProtection="1">
      <alignment horizontal="center"/>
      <protection locked="0"/>
    </xf>
    <xf numFmtId="0" fontId="10" fillId="19" borderId="29" xfId="0" applyFont="1" applyFill="1" applyBorder="1" applyAlignment="1" applyProtection="1">
      <alignment horizontal="left" indent="1"/>
      <protection locked="0"/>
    </xf>
    <xf numFmtId="0" fontId="10" fillId="0" borderId="83" xfId="0" quotePrefix="1" applyFont="1" applyBorder="1" applyAlignment="1" applyProtection="1">
      <alignment horizontal="left" indent="1"/>
      <protection locked="0"/>
    </xf>
    <xf numFmtId="0" fontId="10" fillId="0" borderId="40" xfId="0" applyFont="1" applyBorder="1" applyAlignment="1" applyProtection="1">
      <alignment horizontal="left" indent="1"/>
      <protection locked="0"/>
    </xf>
    <xf numFmtId="0" fontId="10" fillId="0" borderId="43" xfId="0" applyFont="1" applyBorder="1" applyAlignment="1" applyProtection="1">
      <alignment horizontal="left" indent="1"/>
      <protection locked="0"/>
    </xf>
    <xf numFmtId="0" fontId="10" fillId="0" borderId="43" xfId="0" quotePrefix="1" applyFont="1" applyBorder="1" applyAlignment="1" applyProtection="1">
      <alignment horizontal="left" indent="1"/>
      <protection locked="0"/>
    </xf>
    <xf numFmtId="0" fontId="10" fillId="0" borderId="83" xfId="0" applyFont="1" applyBorder="1" applyAlignment="1" applyProtection="1">
      <alignment horizontal="left" indent="1"/>
      <protection locked="0"/>
    </xf>
    <xf numFmtId="0" fontId="0" fillId="3" borderId="0" xfId="0" quotePrefix="1" applyFill="1" applyAlignment="1" applyProtection="1">
      <alignment horizontal="center"/>
      <protection locked="0"/>
    </xf>
    <xf numFmtId="0" fontId="0" fillId="3" borderId="0" xfId="0" applyFill="1" applyAlignment="1" applyProtection="1">
      <alignment horizontal="center"/>
      <protection locked="0"/>
    </xf>
    <xf numFmtId="0" fontId="5" fillId="3" borderId="0" xfId="0" applyFont="1" applyFill="1" applyAlignment="1" applyProtection="1">
      <alignment horizontal="center"/>
      <protection locked="0"/>
    </xf>
    <xf numFmtId="0" fontId="0" fillId="3" borderId="17" xfId="0" quotePrefix="1" applyFill="1" applyBorder="1" applyAlignment="1" applyProtection="1">
      <alignment horizontal="center"/>
      <protection locked="0"/>
    </xf>
    <xf numFmtId="0" fontId="4" fillId="0" borderId="7" xfId="0" applyFont="1" applyBorder="1" applyAlignment="1">
      <alignment horizontal="left" indent="1"/>
    </xf>
    <xf numFmtId="0" fontId="3" fillId="0" borderId="11" xfId="0" applyFont="1" applyBorder="1" applyAlignment="1">
      <alignment horizontal="left" indent="1"/>
    </xf>
    <xf numFmtId="0" fontId="5" fillId="3" borderId="14" xfId="0" applyFont="1" applyFill="1" applyBorder="1" applyAlignment="1" applyProtection="1">
      <alignment horizontal="left" indent="1"/>
      <protection locked="0"/>
    </xf>
    <xf numFmtId="0" fontId="0" fillId="3" borderId="14" xfId="0" applyFill="1" applyBorder="1" applyAlignment="1" applyProtection="1">
      <alignment horizontal="left" indent="1"/>
      <protection locked="0"/>
    </xf>
    <xf numFmtId="0" fontId="0" fillId="3" borderId="14" xfId="0" quotePrefix="1" applyFill="1" applyBorder="1" applyAlignment="1" applyProtection="1">
      <alignment horizontal="left" indent="1"/>
      <protection locked="0"/>
    </xf>
    <xf numFmtId="0" fontId="0" fillId="3" borderId="18" xfId="0" quotePrefix="1" applyFill="1" applyBorder="1" applyAlignment="1" applyProtection="1">
      <alignment horizontal="left" indent="1"/>
      <protection locked="0"/>
    </xf>
    <xf numFmtId="0" fontId="10" fillId="0" borderId="56" xfId="0" applyFont="1" applyBorder="1" applyAlignment="1" applyProtection="1">
      <alignment horizontal="left" indent="1"/>
      <protection locked="0"/>
    </xf>
    <xf numFmtId="0" fontId="10" fillId="0" borderId="21" xfId="0" quotePrefix="1" applyFont="1" applyBorder="1" applyAlignment="1" applyProtection="1">
      <alignment horizontal="center"/>
      <protection locked="0"/>
    </xf>
    <xf numFmtId="0" fontId="0" fillId="0" borderId="13" xfId="0" applyBorder="1" applyAlignment="1">
      <alignment horizontal="left" indent="2"/>
    </xf>
    <xf numFmtId="0" fontId="0" fillId="0" borderId="16" xfId="0" applyBorder="1" applyAlignment="1">
      <alignment horizontal="left" indent="2"/>
    </xf>
    <xf numFmtId="0" fontId="9" fillId="0" borderId="2" xfId="0" applyFont="1" applyBorder="1" applyAlignment="1" applyProtection="1">
      <alignment horizontal="left" indent="1"/>
      <protection locked="0"/>
    </xf>
    <xf numFmtId="0" fontId="1" fillId="0" borderId="2" xfId="0" applyFont="1" applyBorder="1" applyAlignment="1">
      <alignment horizontal="center"/>
    </xf>
    <xf numFmtId="0" fontId="9" fillId="0" borderId="2" xfId="0" quotePrefix="1" applyFont="1" applyBorder="1" applyAlignment="1" applyProtection="1">
      <alignment horizontal="center"/>
      <protection locked="0"/>
    </xf>
    <xf numFmtId="2" fontId="9" fillId="0" borderId="2" xfId="0" applyNumberFormat="1" applyFont="1" applyBorder="1" applyAlignment="1" applyProtection="1">
      <alignment horizontal="center"/>
      <protection locked="0"/>
    </xf>
    <xf numFmtId="0" fontId="1" fillId="0" borderId="3" xfId="0" applyFont="1" applyBorder="1" applyAlignment="1">
      <alignment horizontal="left" indent="1"/>
    </xf>
    <xf numFmtId="0" fontId="0" fillId="0" borderId="49" xfId="0" applyBorder="1" applyAlignment="1">
      <alignment horizontal="center"/>
    </xf>
    <xf numFmtId="0" fontId="0" fillId="0" borderId="69" xfId="0" applyBorder="1" applyAlignment="1">
      <alignment horizontal="center"/>
    </xf>
    <xf numFmtId="0" fontId="43" fillId="20" borderId="51" xfId="0" applyFont="1" applyFill="1" applyBorder="1" applyAlignment="1">
      <alignment horizontal="center"/>
    </xf>
    <xf numFmtId="0" fontId="10" fillId="0" borderId="49" xfId="0" applyFont="1" applyBorder="1" applyAlignment="1" applyProtection="1">
      <alignment horizontal="left" indent="1"/>
      <protection locked="0"/>
    </xf>
    <xf numFmtId="0" fontId="10" fillId="0" borderId="51" xfId="0" applyFont="1" applyBorder="1" applyAlignment="1" applyProtection="1">
      <alignment horizontal="left" indent="1"/>
      <protection locked="0"/>
    </xf>
    <xf numFmtId="0" fontId="10" fillId="0" borderId="69" xfId="0" applyFont="1" applyBorder="1" applyAlignment="1" applyProtection="1">
      <alignment horizontal="left" indent="1"/>
      <protection locked="0"/>
    </xf>
    <xf numFmtId="0" fontId="10" fillId="0" borderId="48" xfId="0" applyFont="1" applyBorder="1" applyAlignment="1" applyProtection="1">
      <alignment horizontal="left" indent="1"/>
      <protection locked="0"/>
    </xf>
    <xf numFmtId="0" fontId="10" fillId="0" borderId="45" xfId="0" applyFont="1" applyBorder="1" applyAlignment="1" applyProtection="1">
      <alignment horizontal="left" indent="1"/>
      <protection locked="0"/>
    </xf>
    <xf numFmtId="0" fontId="10" fillId="0" borderId="52" xfId="0" applyFont="1" applyBorder="1" applyAlignment="1" applyProtection="1">
      <alignment horizontal="left" indent="1"/>
      <protection locked="0"/>
    </xf>
    <xf numFmtId="0" fontId="3" fillId="2" borderId="2" xfId="0" applyFont="1" applyFill="1" applyBorder="1" applyAlignment="1">
      <alignment horizontal="center"/>
    </xf>
    <xf numFmtId="0" fontId="3" fillId="2" borderId="3" xfId="0" applyFont="1" applyFill="1" applyBorder="1" applyAlignment="1">
      <alignment horizontal="center"/>
    </xf>
    <xf numFmtId="0" fontId="9" fillId="0" borderId="1" xfId="0" applyFont="1" applyBorder="1" applyAlignment="1" applyProtection="1">
      <alignment horizontal="left" indent="1"/>
      <protection locked="0"/>
    </xf>
    <xf numFmtId="0" fontId="19" fillId="14" borderId="6" xfId="0" applyFont="1" applyFill="1" applyBorder="1" applyAlignment="1">
      <alignment horizontal="center"/>
    </xf>
    <xf numFmtId="165" fontId="3" fillId="2" borderId="26" xfId="0" applyNumberFormat="1" applyFont="1" applyFill="1" applyBorder="1" applyAlignment="1">
      <alignment horizontal="center"/>
    </xf>
    <xf numFmtId="165" fontId="3" fillId="0" borderId="26" xfId="0" applyNumberFormat="1" applyFont="1" applyBorder="1" applyAlignment="1">
      <alignment horizontal="center"/>
    </xf>
    <xf numFmtId="0" fontId="3" fillId="0" borderId="60" xfId="0" applyFont="1" applyBorder="1" applyAlignment="1">
      <alignment horizontal="center"/>
    </xf>
    <xf numFmtId="0" fontId="3" fillId="0" borderId="64" xfId="0" applyFont="1" applyBorder="1" applyAlignment="1">
      <alignment horizontal="center"/>
    </xf>
    <xf numFmtId="0" fontId="3" fillId="2" borderId="60" xfId="0" applyFont="1" applyFill="1" applyBorder="1" applyAlignment="1">
      <alignment horizontal="center"/>
    </xf>
    <xf numFmtId="0" fontId="3" fillId="2" borderId="64" xfId="0" applyFont="1" applyFill="1" applyBorder="1" applyAlignment="1">
      <alignment horizontal="center"/>
    </xf>
    <xf numFmtId="0" fontId="9" fillId="6" borderId="6" xfId="0" applyFont="1" applyFill="1" applyBorder="1" applyAlignment="1">
      <alignment horizontal="center"/>
    </xf>
    <xf numFmtId="0" fontId="9" fillId="6" borderId="5" xfId="0" applyFont="1" applyFill="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6" xfId="0" applyFont="1" applyBorder="1" applyAlignment="1">
      <alignment horizontal="center"/>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3" fillId="3" borderId="73" xfId="0" applyFont="1" applyFill="1" applyBorder="1" applyAlignment="1" applyProtection="1">
      <alignment horizontal="left" indent="1"/>
      <protection locked="0"/>
    </xf>
    <xf numFmtId="0" fontId="10" fillId="6" borderId="27" xfId="0" applyFont="1" applyFill="1" applyBorder="1" applyAlignment="1" applyProtection="1">
      <alignment horizontal="center"/>
      <protection locked="0"/>
    </xf>
    <xf numFmtId="2" fontId="10" fillId="6" borderId="28" xfId="0" applyNumberFormat="1" applyFont="1" applyFill="1" applyBorder="1" applyAlignment="1" applyProtection="1">
      <alignment horizontal="center"/>
      <protection locked="0"/>
    </xf>
    <xf numFmtId="0" fontId="10" fillId="6" borderId="28" xfId="0" applyFont="1" applyFill="1" applyBorder="1" applyAlignment="1" applyProtection="1">
      <alignment horizontal="left" indent="1"/>
      <protection locked="0"/>
    </xf>
    <xf numFmtId="0" fontId="10" fillId="6" borderId="29" xfId="0" quotePrefix="1" applyFont="1" applyFill="1" applyBorder="1" applyAlignment="1" applyProtection="1">
      <alignment horizontal="center"/>
      <protection locked="0"/>
    </xf>
    <xf numFmtId="2" fontId="10" fillId="0" borderId="29" xfId="0" quotePrefix="1" applyNumberFormat="1" applyFont="1" applyBorder="1" applyAlignment="1" applyProtection="1">
      <alignment horizontal="center"/>
      <protection locked="0"/>
    </xf>
    <xf numFmtId="2" fontId="10" fillId="0" borderId="43" xfId="0" quotePrefix="1" applyNumberFormat="1" applyFont="1" applyBorder="1" applyAlignment="1" applyProtection="1">
      <alignment horizontal="center"/>
      <protection locked="0"/>
    </xf>
    <xf numFmtId="2" fontId="10" fillId="0" borderId="36" xfId="0" quotePrefix="1" applyNumberFormat="1" applyFont="1" applyBorder="1" applyAlignment="1" applyProtection="1">
      <alignment horizontal="center"/>
      <protection locked="0"/>
    </xf>
    <xf numFmtId="165" fontId="3" fillId="0" borderId="45" xfId="0" applyNumberFormat="1" applyFont="1" applyBorder="1" applyAlignment="1" applyProtection="1">
      <alignment horizontal="center"/>
      <protection locked="0"/>
    </xf>
    <xf numFmtId="165" fontId="3" fillId="0" borderId="46" xfId="0" applyNumberFormat="1" applyFont="1" applyBorder="1" applyAlignment="1" applyProtection="1">
      <alignment horizontal="center"/>
      <protection locked="0"/>
    </xf>
    <xf numFmtId="165" fontId="3" fillId="0" borderId="47" xfId="0" applyNumberFormat="1" applyFont="1" applyBorder="1" applyAlignment="1" applyProtection="1">
      <alignment horizontal="center"/>
      <protection locked="0"/>
    </xf>
    <xf numFmtId="0" fontId="0" fillId="3" borderId="14" xfId="0" quotePrefix="1" applyFill="1" applyBorder="1" applyAlignment="1" applyProtection="1">
      <alignment horizontal="center"/>
      <protection locked="0"/>
    </xf>
    <xf numFmtId="0" fontId="5" fillId="0" borderId="44" xfId="0" applyFont="1" applyBorder="1" applyProtection="1">
      <protection locked="0"/>
    </xf>
    <xf numFmtId="0" fontId="0" fillId="0" borderId="44" xfId="0" applyBorder="1" applyProtection="1">
      <protection locked="0"/>
    </xf>
    <xf numFmtId="2" fontId="10" fillId="0" borderId="40" xfId="0" quotePrefix="1" applyNumberFormat="1" applyFont="1" applyBorder="1" applyAlignment="1" applyProtection="1">
      <alignment horizontal="center"/>
      <protection locked="0"/>
    </xf>
    <xf numFmtId="0" fontId="44" fillId="21" borderId="69" xfId="0" applyFont="1" applyFill="1" applyBorder="1" applyAlignment="1">
      <alignment horizontal="center"/>
    </xf>
    <xf numFmtId="0" fontId="44" fillId="6" borderId="51" xfId="0" applyFont="1" applyFill="1" applyBorder="1" applyAlignment="1">
      <alignment horizontal="center"/>
    </xf>
    <xf numFmtId="0" fontId="0" fillId="22" borderId="49" xfId="0" applyFill="1" applyBorder="1" applyAlignment="1">
      <alignment horizontal="center"/>
    </xf>
    <xf numFmtId="0" fontId="5" fillId="0" borderId="28" xfId="4" applyFont="1" applyBorder="1" applyProtection="1">
      <protection locked="0"/>
    </xf>
    <xf numFmtId="0" fontId="5" fillId="0" borderId="29" xfId="4" applyFont="1" applyBorder="1" applyProtection="1">
      <protection locked="0"/>
    </xf>
    <xf numFmtId="0" fontId="45" fillId="2" borderId="28" xfId="4" applyFill="1" applyBorder="1" applyAlignment="1">
      <alignment horizontal="center"/>
    </xf>
    <xf numFmtId="0" fontId="45" fillId="0" borderId="28" xfId="4" applyBorder="1" applyAlignment="1" applyProtection="1">
      <alignment horizontal="center"/>
      <protection locked="0"/>
    </xf>
    <xf numFmtId="0" fontId="45" fillId="0" borderId="29" xfId="4" applyBorder="1" applyProtection="1">
      <protection locked="0"/>
    </xf>
    <xf numFmtId="0" fontId="45" fillId="6" borderId="28" xfId="4" applyFill="1" applyBorder="1" applyAlignment="1" applyProtection="1">
      <alignment horizontal="center"/>
      <protection locked="0"/>
    </xf>
    <xf numFmtId="0" fontId="5" fillId="0" borderId="28" xfId="4" applyFont="1" applyBorder="1" applyAlignment="1">
      <alignment horizontal="center"/>
    </xf>
    <xf numFmtId="0" fontId="63" fillId="0" borderId="93" xfId="0" applyFont="1" applyBorder="1" applyAlignment="1" applyProtection="1">
      <alignment wrapText="1"/>
      <protection locked="0"/>
    </xf>
    <xf numFmtId="0" fontId="63" fillId="0" borderId="94" xfId="0" applyFont="1" applyBorder="1" applyAlignment="1" applyProtection="1">
      <alignment horizontal="center" wrapText="1"/>
      <protection locked="0"/>
    </xf>
    <xf numFmtId="0" fontId="63" fillId="0" borderId="94" xfId="0" applyFont="1" applyBorder="1" applyAlignment="1" applyProtection="1">
      <alignment wrapText="1"/>
      <protection locked="0"/>
    </xf>
    <xf numFmtId="0" fontId="63" fillId="0" borderId="95" xfId="0" applyFont="1" applyBorder="1" applyAlignment="1" applyProtection="1">
      <alignment wrapText="1"/>
      <protection locked="0"/>
    </xf>
    <xf numFmtId="0" fontId="63" fillId="0" borderId="96" xfId="0" applyFont="1" applyBorder="1" applyAlignment="1" applyProtection="1">
      <alignment horizontal="center" wrapText="1"/>
      <protection locked="0"/>
    </xf>
    <xf numFmtId="0" fontId="63" fillId="0" borderId="96" xfId="0" applyFont="1" applyBorder="1" applyAlignment="1" applyProtection="1">
      <alignment wrapText="1"/>
      <protection locked="0"/>
    </xf>
    <xf numFmtId="0" fontId="63" fillId="0" borderId="28" xfId="0" applyFont="1" applyBorder="1" applyProtection="1">
      <protection locked="0"/>
    </xf>
    <xf numFmtId="0" fontId="63" fillId="0" borderId="29" xfId="0" applyFont="1" applyBorder="1" applyProtection="1">
      <protection locked="0"/>
    </xf>
    <xf numFmtId="0" fontId="63" fillId="45" borderId="93" xfId="0" applyFont="1" applyFill="1" applyBorder="1" applyAlignment="1" applyProtection="1">
      <alignment horizontal="center" wrapText="1"/>
      <protection locked="0"/>
    </xf>
    <xf numFmtId="0" fontId="63" fillId="0" borderId="93" xfId="0" applyFont="1" applyBorder="1" applyAlignment="1">
      <alignment wrapText="1"/>
    </xf>
    <xf numFmtId="0" fontId="63" fillId="0" borderId="95" xfId="0" applyFont="1" applyBorder="1" applyAlignment="1">
      <alignment wrapText="1"/>
    </xf>
    <xf numFmtId="0" fontId="63" fillId="0" borderId="97" xfId="0" applyFont="1" applyBorder="1" applyAlignment="1">
      <alignment wrapText="1"/>
    </xf>
    <xf numFmtId="0" fontId="63" fillId="45" borderId="93" xfId="0" applyFont="1" applyFill="1" applyBorder="1" applyAlignment="1">
      <alignment horizontal="center" wrapText="1"/>
    </xf>
    <xf numFmtId="0" fontId="63" fillId="0" borderId="94" xfId="0" applyFont="1" applyBorder="1" applyAlignment="1">
      <alignment wrapText="1"/>
    </xf>
    <xf numFmtId="0" fontId="63" fillId="45" borderId="95" xfId="0" applyFont="1" applyFill="1" applyBorder="1" applyAlignment="1">
      <alignment wrapText="1"/>
    </xf>
    <xf numFmtId="0" fontId="63" fillId="0" borderId="96" xfId="0" applyFont="1" applyBorder="1" applyAlignment="1">
      <alignment wrapText="1"/>
    </xf>
    <xf numFmtId="0" fontId="63" fillId="45" borderId="95" xfId="0" applyFont="1" applyFill="1" applyBorder="1" applyAlignment="1">
      <alignment horizontal="center" wrapText="1"/>
    </xf>
    <xf numFmtId="0" fontId="5" fillId="0" borderId="28" xfId="2" applyBorder="1" applyProtection="1">
      <protection locked="0"/>
    </xf>
    <xf numFmtId="0" fontId="5" fillId="0" borderId="29" xfId="2" applyBorder="1" applyProtection="1">
      <protection locked="0"/>
    </xf>
    <xf numFmtId="0" fontId="5" fillId="6" borderId="27" xfId="2" applyFill="1" applyBorder="1" applyAlignment="1" applyProtection="1">
      <alignment horizontal="center"/>
      <protection locked="0"/>
    </xf>
    <xf numFmtId="0" fontId="5" fillId="6" borderId="28" xfId="2" applyFill="1" applyBorder="1" applyAlignment="1" applyProtection="1">
      <alignment horizontal="center"/>
      <protection locked="0"/>
    </xf>
    <xf numFmtId="0" fontId="5" fillId="0" borderId="0" xfId="2" applyAlignment="1" applyProtection="1">
      <alignment horizontal="center"/>
      <protection locked="0"/>
    </xf>
    <xf numFmtId="0" fontId="5" fillId="0" borderId="0" xfId="2" applyProtection="1">
      <protection locked="0"/>
    </xf>
    <xf numFmtId="0" fontId="5" fillId="2" borderId="27" xfId="2" applyFill="1" applyBorder="1" applyAlignment="1" applyProtection="1">
      <alignment horizontal="center"/>
      <protection locked="0"/>
    </xf>
    <xf numFmtId="0" fontId="5" fillId="2" borderId="28" xfId="2" applyFill="1" applyBorder="1" applyAlignment="1" applyProtection="1">
      <alignment horizontal="center"/>
      <protection locked="0"/>
    </xf>
    <xf numFmtId="0" fontId="5" fillId="3" borderId="27" xfId="2" applyFill="1" applyBorder="1" applyAlignment="1" applyProtection="1">
      <alignment horizontal="center"/>
      <protection locked="0"/>
    </xf>
    <xf numFmtId="0" fontId="5" fillId="2" borderId="28" xfId="2" applyFill="1" applyBorder="1" applyAlignment="1">
      <alignment horizontal="center"/>
    </xf>
    <xf numFmtId="0" fontId="5" fillId="2" borderId="27" xfId="2" applyFill="1" applyBorder="1" applyAlignment="1">
      <alignment horizontal="center"/>
    </xf>
    <xf numFmtId="0" fontId="3" fillId="2" borderId="24" xfId="0" applyFont="1" applyFill="1" applyBorder="1" applyAlignment="1">
      <alignment horizontal="center"/>
    </xf>
    <xf numFmtId="0" fontId="3" fillId="2" borderId="25"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9" fillId="0" borderId="1" xfId="0" applyFont="1" applyBorder="1" applyAlignment="1" applyProtection="1">
      <alignment horizontal="left" indent="1"/>
      <protection locked="0"/>
    </xf>
    <xf numFmtId="0" fontId="9" fillId="0" borderId="3" xfId="0" applyFont="1" applyBorder="1" applyAlignment="1" applyProtection="1">
      <alignment horizontal="left" indent="1"/>
      <protection locked="0"/>
    </xf>
    <xf numFmtId="0" fontId="19" fillId="14" borderId="6" xfId="0" applyFont="1" applyFill="1" applyBorder="1" applyAlignment="1">
      <alignment horizontal="center"/>
    </xf>
    <xf numFmtId="0" fontId="19" fillId="14" borderId="5" xfId="0" applyFont="1" applyFill="1" applyBorder="1" applyAlignment="1">
      <alignment horizontal="center"/>
    </xf>
    <xf numFmtId="49" fontId="5" fillId="13" borderId="1" xfId="0" applyNumberFormat="1" applyFont="1" applyFill="1" applyBorder="1" applyAlignment="1">
      <alignment horizontal="center"/>
    </xf>
    <xf numFmtId="49" fontId="0" fillId="13" borderId="2" xfId="0" applyNumberFormat="1" applyFill="1" applyBorder="1" applyAlignment="1">
      <alignment horizontal="center"/>
    </xf>
    <xf numFmtId="49" fontId="0" fillId="13" borderId="3" xfId="0" applyNumberFormat="1" applyFill="1" applyBorder="1" applyAlignment="1">
      <alignment horizontal="center"/>
    </xf>
    <xf numFmtId="165" fontId="3" fillId="0" borderId="7" xfId="0" applyNumberFormat="1" applyFont="1" applyBorder="1" applyAlignment="1">
      <alignment horizontal="center" textRotation="90" wrapText="1"/>
    </xf>
    <xf numFmtId="165" fontId="3" fillId="0" borderId="14" xfId="0" applyNumberFormat="1" applyFont="1" applyBorder="1" applyAlignment="1">
      <alignment horizontal="center" textRotation="90" wrapText="1"/>
    </xf>
    <xf numFmtId="0" fontId="3" fillId="0" borderId="26" xfId="0" applyFont="1" applyBorder="1" applyAlignment="1">
      <alignment horizontal="center"/>
    </xf>
    <xf numFmtId="165" fontId="3" fillId="0" borderId="26" xfId="0" applyNumberFormat="1" applyFont="1" applyBorder="1" applyAlignment="1">
      <alignment horizontal="center"/>
    </xf>
    <xf numFmtId="165" fontId="3" fillId="0" borderId="7" xfId="0" applyNumberFormat="1" applyFont="1" applyBorder="1" applyAlignment="1" applyProtection="1">
      <alignment horizontal="center" textRotation="90" wrapText="1"/>
      <protection locked="0"/>
    </xf>
    <xf numFmtId="165" fontId="3" fillId="0" borderId="14" xfId="0" applyNumberFormat="1" applyFont="1" applyBorder="1" applyAlignment="1" applyProtection="1">
      <alignment horizontal="center" textRotation="90" wrapText="1"/>
      <protection locked="0"/>
    </xf>
    <xf numFmtId="165" fontId="3" fillId="0" borderId="1" xfId="0" applyNumberFormat="1" applyFont="1" applyBorder="1" applyAlignment="1">
      <alignment horizontal="center"/>
    </xf>
    <xf numFmtId="165" fontId="3" fillId="2" borderId="7" xfId="0" applyNumberFormat="1" applyFont="1" applyFill="1" applyBorder="1" applyAlignment="1">
      <alignment horizontal="center" textRotation="90" wrapText="1"/>
    </xf>
    <xf numFmtId="165" fontId="3" fillId="2" borderId="14" xfId="0" applyNumberFormat="1" applyFont="1" applyFill="1" applyBorder="1" applyAlignment="1">
      <alignment horizontal="center" textRotation="90" wrapText="1"/>
    </xf>
    <xf numFmtId="0" fontId="3" fillId="2" borderId="26" xfId="0" applyFont="1" applyFill="1" applyBorder="1" applyAlignment="1">
      <alignment horizontal="center"/>
    </xf>
    <xf numFmtId="165" fontId="3" fillId="2" borderId="26" xfId="0" applyNumberFormat="1" applyFont="1" applyFill="1" applyBorder="1" applyAlignment="1">
      <alignment horizontal="center"/>
    </xf>
    <xf numFmtId="0" fontId="9" fillId="0" borderId="44" xfId="0" applyFont="1" applyBorder="1" applyAlignment="1">
      <alignment horizontal="center"/>
    </xf>
    <xf numFmtId="0" fontId="9" fillId="0" borderId="63" xfId="0" applyFont="1" applyBorder="1" applyAlignment="1">
      <alignment horizontal="center"/>
    </xf>
    <xf numFmtId="0" fontId="9" fillId="0" borderId="54" xfId="0" applyFont="1" applyBorder="1" applyAlignment="1">
      <alignment horizontal="center"/>
    </xf>
    <xf numFmtId="0" fontId="28" fillId="0" borderId="4" xfId="0" applyFont="1" applyBorder="1" applyAlignment="1">
      <alignment horizontal="center" textRotation="90" wrapText="1"/>
    </xf>
    <xf numFmtId="0" fontId="28" fillId="0" borderId="15" xfId="0" applyFont="1" applyBorder="1" applyAlignment="1">
      <alignment horizontal="center" textRotation="90" wrapText="1"/>
    </xf>
    <xf numFmtId="0" fontId="28" fillId="16" borderId="4" xfId="0" applyFont="1" applyFill="1" applyBorder="1" applyAlignment="1">
      <alignment horizontal="center" textRotation="90" wrapText="1"/>
    </xf>
    <xf numFmtId="0" fontId="28" fillId="16" borderId="15" xfId="0" applyFont="1" applyFill="1" applyBorder="1" applyAlignment="1">
      <alignment horizontal="center" textRotation="90" wrapText="1"/>
    </xf>
    <xf numFmtId="0" fontId="28" fillId="3" borderId="4" xfId="0" applyFont="1" applyFill="1" applyBorder="1" applyAlignment="1">
      <alignment horizontal="center" textRotation="90" wrapText="1"/>
    </xf>
    <xf numFmtId="0" fontId="28" fillId="3" borderId="15" xfId="0" applyFont="1" applyFill="1" applyBorder="1" applyAlignment="1">
      <alignment horizontal="center" textRotation="90" wrapText="1"/>
    </xf>
    <xf numFmtId="0" fontId="28" fillId="11" borderId="4" xfId="0" applyFont="1" applyFill="1" applyBorder="1" applyAlignment="1">
      <alignment horizontal="center" textRotation="90" wrapText="1"/>
    </xf>
    <xf numFmtId="0" fontId="28" fillId="11" borderId="15" xfId="0" applyFont="1" applyFill="1" applyBorder="1" applyAlignment="1">
      <alignment horizontal="center" textRotation="90" wrapText="1"/>
    </xf>
    <xf numFmtId="165" fontId="3" fillId="2" borderId="61" xfId="0" applyNumberFormat="1" applyFont="1" applyFill="1" applyBorder="1" applyAlignment="1">
      <alignment horizontal="center"/>
    </xf>
    <xf numFmtId="165" fontId="3" fillId="2" borderId="64" xfId="0" applyNumberFormat="1" applyFont="1" applyFill="1" applyBorder="1" applyAlignment="1">
      <alignment horizontal="center"/>
    </xf>
    <xf numFmtId="0" fontId="3" fillId="2" borderId="60" xfId="0" applyFont="1" applyFill="1" applyBorder="1" applyAlignment="1">
      <alignment horizontal="center"/>
    </xf>
    <xf numFmtId="0" fontId="3" fillId="2" borderId="64" xfId="0" applyFont="1" applyFill="1" applyBorder="1" applyAlignment="1">
      <alignment horizontal="center"/>
    </xf>
    <xf numFmtId="165" fontId="3" fillId="0" borderId="60" xfId="0" applyNumberFormat="1" applyFont="1" applyBorder="1" applyAlignment="1">
      <alignment horizontal="center"/>
    </xf>
    <xf numFmtId="165" fontId="3" fillId="0" borderId="64" xfId="0" applyNumberFormat="1" applyFont="1" applyBorder="1" applyAlignment="1">
      <alignment horizontal="center"/>
    </xf>
    <xf numFmtId="0" fontId="3" fillId="0" borderId="60" xfId="0" applyFont="1" applyBorder="1" applyAlignment="1">
      <alignment horizontal="center"/>
    </xf>
    <xf numFmtId="0" fontId="3" fillId="0" borderId="64" xfId="0" applyFont="1" applyBorder="1" applyAlignment="1">
      <alignment horizontal="center"/>
    </xf>
    <xf numFmtId="165" fontId="3" fillId="2" borderId="7" xfId="0" applyNumberFormat="1" applyFont="1" applyFill="1" applyBorder="1" applyAlignment="1">
      <alignment horizontal="center" textRotation="46" wrapText="1"/>
    </xf>
    <xf numFmtId="165" fontId="3" fillId="2" borderId="14" xfId="0" applyNumberFormat="1" applyFont="1" applyFill="1" applyBorder="1" applyAlignment="1">
      <alignment horizontal="center" textRotation="46" wrapText="1"/>
    </xf>
    <xf numFmtId="0" fontId="9" fillId="6" borderId="6" xfId="0" applyFont="1" applyFill="1" applyBorder="1" applyAlignment="1">
      <alignment horizontal="center"/>
    </xf>
    <xf numFmtId="0" fontId="9" fillId="6" borderId="5" xfId="0" applyFont="1" applyFill="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6" xfId="0" applyFont="1" applyBorder="1" applyAlignment="1">
      <alignment horizontal="center"/>
    </xf>
    <xf numFmtId="0" fontId="3" fillId="0" borderId="1" xfId="0" applyFont="1" applyBorder="1" applyAlignment="1">
      <alignment horizontal="right"/>
    </xf>
    <xf numFmtId="0" fontId="3" fillId="0" borderId="2" xfId="0" applyFont="1" applyBorder="1" applyAlignment="1">
      <alignment horizontal="right"/>
    </xf>
    <xf numFmtId="0" fontId="9" fillId="0" borderId="1" xfId="0" applyFont="1" applyBorder="1" applyAlignment="1">
      <alignment horizontal="center"/>
    </xf>
    <xf numFmtId="0" fontId="9" fillId="0" borderId="2" xfId="0" applyFont="1" applyBorder="1" applyAlignment="1">
      <alignment horizontal="center"/>
    </xf>
    <xf numFmtId="0" fontId="9" fillId="0" borderId="3" xfId="0" applyFont="1" applyBorder="1" applyAlignment="1">
      <alignment horizontal="center"/>
    </xf>
    <xf numFmtId="0" fontId="7" fillId="0" borderId="12" xfId="0" applyFont="1" applyBorder="1" applyAlignment="1">
      <alignment horizontal="center"/>
    </xf>
    <xf numFmtId="0" fontId="7" fillId="0" borderId="13" xfId="0" applyFont="1" applyBorder="1" applyAlignment="1">
      <alignment horizontal="center"/>
    </xf>
  </cellXfs>
  <cellStyles count="46">
    <cellStyle name="20% - Accent1 2" xfId="5" xr:uid="{B5D6C3BF-C781-4718-8B93-9FA516EA09B4}"/>
    <cellStyle name="20% - Accent2 2" xfId="6" xr:uid="{FBEB9975-CABD-4EAA-A632-22C8A78FE86F}"/>
    <cellStyle name="20% - Accent3 2" xfId="7" xr:uid="{001776C7-AC66-4E05-BC51-2D111E5DE4F3}"/>
    <cellStyle name="20% - Accent4 2" xfId="8" xr:uid="{62BB783F-D513-43CB-8A71-F61CA1FED122}"/>
    <cellStyle name="20% - Accent5 2" xfId="9" xr:uid="{AE0915CF-CFEF-4735-9802-E2F8AAA3D0B0}"/>
    <cellStyle name="20% - Accent6 2" xfId="10" xr:uid="{9865B89D-D0E6-41F0-A161-DBE16E18E263}"/>
    <cellStyle name="40% - Accent1 2" xfId="11" xr:uid="{D24293EA-6F66-43C0-897E-6D0504D35073}"/>
    <cellStyle name="40% - Accent2 2" xfId="12" xr:uid="{64AA3EE0-845F-402A-89B0-F78C224DC4C3}"/>
    <cellStyle name="40% - Accent3 2" xfId="13" xr:uid="{8B68EEB6-A359-4E8D-B304-CD6DA2D0D1DD}"/>
    <cellStyle name="40% - Accent4 2" xfId="14" xr:uid="{DB722328-D2AC-4FDB-8415-BB45D687A9A2}"/>
    <cellStyle name="40% - Accent5 2" xfId="15" xr:uid="{FA7B425D-5CE5-426A-97B5-4DF5DD3060DA}"/>
    <cellStyle name="40% - Accent6 2" xfId="16" xr:uid="{D609B528-A28B-4B24-9940-2566FAF57FB7}"/>
    <cellStyle name="60% - Accent1 2" xfId="17" xr:uid="{C97F05CF-EA7E-4BB8-9238-406FE7D7B99B}"/>
    <cellStyle name="60% - Accent2 2" xfId="18" xr:uid="{DBC87604-6591-46C0-8884-37E2A20A1806}"/>
    <cellStyle name="60% - Accent3 2" xfId="19" xr:uid="{245E0FBA-61AF-45FB-8B3B-2C4171D4ABD0}"/>
    <cellStyle name="60% - Accent4 2" xfId="20" xr:uid="{490B3667-FBA4-4B9B-B507-6C419D646645}"/>
    <cellStyle name="60% - Accent5 2" xfId="21" xr:uid="{7884D898-7693-42A1-9972-CCE0281064E7}"/>
    <cellStyle name="60% - Accent6 2" xfId="22" xr:uid="{29CB8088-DB1F-43CD-BD10-2B0EB2081E7E}"/>
    <cellStyle name="Accent1 2" xfId="23" xr:uid="{B5F4218B-973F-4A41-B67D-3ADFD987B091}"/>
    <cellStyle name="Accent2 2" xfId="24" xr:uid="{9258573A-450B-482C-937A-CE602D9F2CB4}"/>
    <cellStyle name="Accent3 2" xfId="25" xr:uid="{50AD59EB-0EF9-4F80-8A20-CFA1A8BE5C59}"/>
    <cellStyle name="Accent4 2" xfId="26" xr:uid="{BAEA019D-D457-42F9-BF91-464421546214}"/>
    <cellStyle name="Accent5 2" xfId="27" xr:uid="{F4CDFF8E-82E9-4035-925B-4616CDB740D9}"/>
    <cellStyle name="Accent6 2" xfId="28" xr:uid="{F27B2486-9A70-4364-A890-930612852FE3}"/>
    <cellStyle name="Bad 2" xfId="29" xr:uid="{6D4DF9F5-6D05-4522-ADE4-4848542DC8C4}"/>
    <cellStyle name="Calculation 2" xfId="30" xr:uid="{DDE56C00-61B7-4696-83AB-A31E8CA9AA78}"/>
    <cellStyle name="Check Cell 2" xfId="31" xr:uid="{953AE627-4E5C-4F16-A155-C6DFCA2D3680}"/>
    <cellStyle name="Explanatory Text 2" xfId="32" xr:uid="{0F62B18B-71E1-47AB-B7D1-8A6823C11F3C}"/>
    <cellStyle name="Good 2" xfId="33" xr:uid="{12367E47-02F8-40E3-93B3-37040AEEC96E}"/>
    <cellStyle name="Heading 1 2" xfId="34" xr:uid="{481000EE-4DE1-4BC5-B0BA-C80C147BB414}"/>
    <cellStyle name="Heading 2 2" xfId="35" xr:uid="{683F7838-3985-43F2-B882-99D4E4D617C2}"/>
    <cellStyle name="Heading 3 2" xfId="36" xr:uid="{DB77D645-705E-4DAF-B045-311B00AC2F96}"/>
    <cellStyle name="Heading 4 2" xfId="37" xr:uid="{DF7DBD2B-0AD5-47D8-B756-C8E20ADC37FB}"/>
    <cellStyle name="Input 2" xfId="38" xr:uid="{724EDAD5-7832-4067-A330-440549B48806}"/>
    <cellStyle name="Linked Cell 2" xfId="39" xr:uid="{FFE63C57-2E14-45EA-BB7E-B5995A58F95D}"/>
    <cellStyle name="Neutral 2" xfId="40" xr:uid="{DD3BF258-65F3-4DFD-8C41-91D61BC006B9}"/>
    <cellStyle name="Normal" xfId="0" builtinId="0"/>
    <cellStyle name="Normal 2" xfId="4" xr:uid="{2EE529BF-B684-4D6F-BCF6-183B6917C685}"/>
    <cellStyle name="Normal 3" xfId="2" xr:uid="{16A76921-613B-4FD7-8BC5-0BC35146DBD8}"/>
    <cellStyle name="Normal 4" xfId="1" xr:uid="{E3C19FDF-9504-4BF6-A129-3159848DA489}"/>
    <cellStyle name="Note 2" xfId="41" xr:uid="{426FD68F-8ACF-4C95-AB3D-918C6AFF25EF}"/>
    <cellStyle name="Output 2" xfId="42" xr:uid="{11B5A043-ED98-4650-ACCC-5F7A6BDA8EA3}"/>
    <cellStyle name="Percent" xfId="3" builtinId="5"/>
    <cellStyle name="Title 2" xfId="43" xr:uid="{DCB6F76C-B107-4368-A89B-5AE3CDFC83A9}"/>
    <cellStyle name="Total 2" xfId="44" xr:uid="{97E2FAAF-1CB3-4F10-9ACE-8C13879EFF21}"/>
    <cellStyle name="Warning Text 2" xfId="45" xr:uid="{07EB7DB8-0823-46D1-AAF3-76E0BBEFC119}"/>
  </cellStyles>
  <dxfs count="78">
    <dxf>
      <fill>
        <patternFill>
          <bgColor indexed="43"/>
        </patternFill>
      </fill>
    </dxf>
    <dxf>
      <fill>
        <patternFill>
          <bgColor indexed="47"/>
        </patternFill>
      </fill>
    </dxf>
    <dxf>
      <fill>
        <patternFill>
          <bgColor indexed="45"/>
        </patternFill>
      </fill>
    </dxf>
    <dxf>
      <fill>
        <patternFill>
          <bgColor indexed="43"/>
        </patternFill>
      </fill>
    </dxf>
    <dxf>
      <fill>
        <patternFill>
          <bgColor indexed="47"/>
        </patternFill>
      </fill>
    </dxf>
    <dxf>
      <fill>
        <patternFill>
          <bgColor indexed="45"/>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ont>
        <color rgb="FF006100"/>
      </font>
      <fill>
        <patternFill>
          <bgColor rgb="FFC6EFCE"/>
        </patternFill>
      </fill>
    </dxf>
    <dxf>
      <font>
        <color rgb="FF006100"/>
      </font>
      <fill>
        <patternFill>
          <bgColor rgb="FFC6EFCE"/>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
      <fill>
        <patternFill>
          <bgColor indexed="48"/>
        </patternFill>
      </fill>
    </dxf>
  </dxfs>
  <tableStyles count="0" defaultTableStyle="TableStyleMedium2" defaultPivotStyle="PivotStyleLight16"/>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1</xdr:row>
          <xdr:rowOff>83820</xdr:rowOff>
        </xdr:from>
        <xdr:to>
          <xdr:col>12</xdr:col>
          <xdr:colOff>365760</xdr:colOff>
          <xdr:row>4</xdr:row>
          <xdr:rowOff>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600-00000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Go To Event No</a:t>
              </a:r>
            </a:p>
          </xdr:txBody>
        </xdr:sp>
        <xdr:clientData fPrintsWithSheet="0"/>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72884-4A2E-4214-B6A1-49024F4F9236}">
  <dimension ref="B1:B86"/>
  <sheetViews>
    <sheetView topLeftCell="A43" zoomScaleNormal="100" workbookViewId="0">
      <selection activeCell="H24" sqref="H24"/>
    </sheetView>
  </sheetViews>
  <sheetFormatPr defaultRowHeight="15.6" x14ac:dyDescent="0.3"/>
  <cols>
    <col min="2" max="2" width="106.5546875" style="1247" customWidth="1"/>
  </cols>
  <sheetData>
    <row r="1" spans="2:2" x14ac:dyDescent="0.3">
      <c r="B1" s="1244" t="str">
        <f>'Event Details'!E5</f>
        <v>Heart of England League</v>
      </c>
    </row>
    <row r="2" spans="2:2" x14ac:dyDescent="0.3">
      <c r="B2" s="1245"/>
    </row>
    <row r="3" spans="2:2" x14ac:dyDescent="0.3">
      <c r="B3" s="1246" t="s">
        <v>0</v>
      </c>
    </row>
    <row r="5" spans="2:2" x14ac:dyDescent="0.3">
      <c r="B5" s="1248" t="s">
        <v>1</v>
      </c>
    </row>
    <row r="6" spans="2:2" ht="43.5" customHeight="1" x14ac:dyDescent="0.3">
      <c r="B6" s="1247" t="s">
        <v>2</v>
      </c>
    </row>
    <row r="7" spans="2:2" ht="50.4" customHeight="1" x14ac:dyDescent="0.3">
      <c r="B7" s="1247" t="s">
        <v>508</v>
      </c>
    </row>
    <row r="8" spans="2:2" ht="12.75" customHeight="1" x14ac:dyDescent="0.3"/>
    <row r="9" spans="2:2" ht="21.75" customHeight="1" x14ac:dyDescent="0.3">
      <c r="B9" s="1249" t="s">
        <v>507</v>
      </c>
    </row>
    <row r="11" spans="2:2" x14ac:dyDescent="0.3">
      <c r="B11" s="1248" t="s">
        <v>3</v>
      </c>
    </row>
    <row r="12" spans="2:2" ht="55.5" customHeight="1" x14ac:dyDescent="0.3">
      <c r="B12" s="1247" t="s">
        <v>4</v>
      </c>
    </row>
    <row r="13" spans="2:2" ht="30" customHeight="1" x14ac:dyDescent="0.3">
      <c r="B13" s="1247" t="s">
        <v>5</v>
      </c>
    </row>
    <row r="14" spans="2:2" ht="16.5" customHeight="1" x14ac:dyDescent="0.3"/>
    <row r="15" spans="2:2" x14ac:dyDescent="0.3">
      <c r="B15" s="1248" t="s">
        <v>6</v>
      </c>
    </row>
    <row r="16" spans="2:2" ht="63.75" customHeight="1" x14ac:dyDescent="0.3">
      <c r="B16" s="1247" t="s">
        <v>7</v>
      </c>
    </row>
    <row r="17" spans="2:2" ht="20.25" customHeight="1" x14ac:dyDescent="0.3">
      <c r="B17" s="1247" t="s">
        <v>8</v>
      </c>
    </row>
    <row r="19" spans="2:2" x14ac:dyDescent="0.3">
      <c r="B19" s="1248" t="s">
        <v>9</v>
      </c>
    </row>
    <row r="20" spans="2:2" ht="67.5" customHeight="1" x14ac:dyDescent="0.3">
      <c r="B20" s="1247" t="s">
        <v>10</v>
      </c>
    </row>
    <row r="21" spans="2:2" ht="15" customHeight="1" x14ac:dyDescent="0.3"/>
    <row r="22" spans="2:2" x14ac:dyDescent="0.3">
      <c r="B22" s="1248" t="s">
        <v>11</v>
      </c>
    </row>
    <row r="23" spans="2:2" ht="26.25" customHeight="1" x14ac:dyDescent="0.3">
      <c r="B23" s="1247" t="s">
        <v>12</v>
      </c>
    </row>
    <row r="24" spans="2:2" ht="59.25" customHeight="1" x14ac:dyDescent="0.3">
      <c r="B24" s="1247" t="s">
        <v>13</v>
      </c>
    </row>
    <row r="25" spans="2:2" ht="43.5" customHeight="1" x14ac:dyDescent="0.3">
      <c r="B25" s="1249" t="s">
        <v>509</v>
      </c>
    </row>
    <row r="26" spans="2:2" ht="41.25" customHeight="1" x14ac:dyDescent="0.3">
      <c r="B26" s="1249" t="s">
        <v>14</v>
      </c>
    </row>
    <row r="27" spans="2:2" ht="19.5" customHeight="1" x14ac:dyDescent="0.3"/>
    <row r="28" spans="2:2" ht="21" customHeight="1" x14ac:dyDescent="0.3">
      <c r="B28" s="1248" t="s">
        <v>15</v>
      </c>
    </row>
    <row r="29" spans="2:2" ht="7.5" customHeight="1" x14ac:dyDescent="0.3"/>
    <row r="30" spans="2:2" ht="36.75" customHeight="1" x14ac:dyDescent="0.3">
      <c r="B30" s="1247" t="s">
        <v>16</v>
      </c>
    </row>
    <row r="31" spans="2:2" ht="56.25" customHeight="1" x14ac:dyDescent="0.3">
      <c r="B31" s="1247" t="s">
        <v>17</v>
      </c>
    </row>
    <row r="32" spans="2:2" ht="47.25" customHeight="1" x14ac:dyDescent="0.3">
      <c r="B32" s="1249" t="s">
        <v>18</v>
      </c>
    </row>
    <row r="33" spans="2:2" ht="44.25" customHeight="1" x14ac:dyDescent="0.3">
      <c r="B33" s="1247" t="s">
        <v>19</v>
      </c>
    </row>
    <row r="34" spans="2:2" ht="43.5" customHeight="1" x14ac:dyDescent="0.3">
      <c r="B34" s="1247" t="s">
        <v>20</v>
      </c>
    </row>
    <row r="35" spans="2:2" ht="38.25" customHeight="1" x14ac:dyDescent="0.3">
      <c r="B35" s="1247" t="s">
        <v>21</v>
      </c>
    </row>
    <row r="36" spans="2:2" ht="21.75" customHeight="1" x14ac:dyDescent="0.3">
      <c r="B36" s="1247" t="s">
        <v>22</v>
      </c>
    </row>
    <row r="37" spans="2:2" ht="15" customHeight="1" x14ac:dyDescent="0.3"/>
    <row r="38" spans="2:2" x14ac:dyDescent="0.3">
      <c r="B38" s="1248" t="s">
        <v>23</v>
      </c>
    </row>
    <row r="39" spans="2:2" ht="30.6" x14ac:dyDescent="0.3">
      <c r="B39" s="1247" t="s">
        <v>24</v>
      </c>
    </row>
    <row r="40" spans="2:2" ht="46.2" x14ac:dyDescent="0.3">
      <c r="B40" s="1247" t="s">
        <v>25</v>
      </c>
    </row>
    <row r="41" spans="2:2" x14ac:dyDescent="0.3">
      <c r="B41" s="1247" t="s">
        <v>26</v>
      </c>
    </row>
    <row r="43" spans="2:2" x14ac:dyDescent="0.3">
      <c r="B43" s="1248" t="s">
        <v>27</v>
      </c>
    </row>
    <row r="44" spans="2:2" ht="30.6" x14ac:dyDescent="0.3">
      <c r="B44" s="1247" t="s">
        <v>28</v>
      </c>
    </row>
    <row r="46" spans="2:2" x14ac:dyDescent="0.3">
      <c r="B46" s="1248" t="s">
        <v>29</v>
      </c>
    </row>
    <row r="47" spans="2:2" ht="30.6" x14ac:dyDescent="0.3">
      <c r="B47" s="1247" t="s">
        <v>506</v>
      </c>
    </row>
    <row r="48" spans="2:2" x14ac:dyDescent="0.3">
      <c r="B48" s="1249" t="s">
        <v>505</v>
      </c>
    </row>
    <row r="49" spans="2:2" ht="21" customHeight="1" x14ac:dyDescent="0.3"/>
    <row r="50" spans="2:2" ht="13.5" customHeight="1" x14ac:dyDescent="0.3">
      <c r="B50" s="1248" t="s">
        <v>30</v>
      </c>
    </row>
    <row r="51" spans="2:2" ht="30.6" x14ac:dyDescent="0.3">
      <c r="B51" s="1247" t="s">
        <v>31</v>
      </c>
    </row>
    <row r="52" spans="2:2" ht="13.5" customHeight="1" x14ac:dyDescent="0.3"/>
    <row r="53" spans="2:2" x14ac:dyDescent="0.3">
      <c r="B53" s="1248" t="s">
        <v>32</v>
      </c>
    </row>
    <row r="54" spans="2:2" ht="32.25" customHeight="1" x14ac:dyDescent="0.3">
      <c r="B54" s="1250" t="s">
        <v>33</v>
      </c>
    </row>
    <row r="55" spans="2:2" ht="22.5" customHeight="1" x14ac:dyDescent="0.3">
      <c r="B55" s="1250" t="s">
        <v>34</v>
      </c>
    </row>
    <row r="56" spans="2:2" ht="19.5" customHeight="1" x14ac:dyDescent="0.3">
      <c r="B56" s="1250"/>
    </row>
    <row r="57" spans="2:2" ht="22.5" customHeight="1" x14ac:dyDescent="0.3">
      <c r="B57" s="1251" t="s">
        <v>35</v>
      </c>
    </row>
    <row r="58" spans="2:2" ht="22.5" customHeight="1" x14ac:dyDescent="0.3">
      <c r="B58" s="1250" t="s">
        <v>36</v>
      </c>
    </row>
    <row r="59" spans="2:2" ht="33.75" customHeight="1" x14ac:dyDescent="0.3">
      <c r="B59" s="1250" t="s">
        <v>37</v>
      </c>
    </row>
    <row r="60" spans="2:2" ht="18" customHeight="1" x14ac:dyDescent="0.3">
      <c r="B60" s="1250"/>
    </row>
    <row r="61" spans="2:2" ht="18" customHeight="1" x14ac:dyDescent="0.3">
      <c r="B61" s="1251" t="s">
        <v>38</v>
      </c>
    </row>
    <row r="62" spans="2:2" ht="30" customHeight="1" x14ac:dyDescent="0.3">
      <c r="B62" s="1252" t="s">
        <v>39</v>
      </c>
    </row>
    <row r="63" spans="2:2" ht="14.4" x14ac:dyDescent="0.3">
      <c r="B63" s="874"/>
    </row>
    <row r="64" spans="2:2" x14ac:dyDescent="0.3">
      <c r="B64" s="1248" t="s">
        <v>40</v>
      </c>
    </row>
    <row r="65" spans="2:2" ht="62.4" x14ac:dyDescent="0.3">
      <c r="B65" s="1247" t="s">
        <v>41</v>
      </c>
    </row>
    <row r="66" spans="2:2" ht="32.25" customHeight="1" x14ac:dyDescent="0.3">
      <c r="B66" s="1248" t="s">
        <v>42</v>
      </c>
    </row>
    <row r="67" spans="2:2" x14ac:dyDescent="0.3">
      <c r="B67" s="1247" t="s">
        <v>43</v>
      </c>
    </row>
    <row r="68" spans="2:2" x14ac:dyDescent="0.3">
      <c r="B68" s="1247" t="s">
        <v>44</v>
      </c>
    </row>
    <row r="69" spans="2:2" x14ac:dyDescent="0.3">
      <c r="B69" s="1247" t="s">
        <v>45</v>
      </c>
    </row>
    <row r="70" spans="2:2" x14ac:dyDescent="0.3">
      <c r="B70" s="1247" t="s">
        <v>46</v>
      </c>
    </row>
    <row r="71" spans="2:2" x14ac:dyDescent="0.3">
      <c r="B71" s="1247" t="s">
        <v>47</v>
      </c>
    </row>
    <row r="72" spans="2:2" x14ac:dyDescent="0.3">
      <c r="B72" s="1247" t="s">
        <v>48</v>
      </c>
    </row>
    <row r="73" spans="2:2" x14ac:dyDescent="0.3">
      <c r="B73" s="1247" t="s">
        <v>49</v>
      </c>
    </row>
    <row r="74" spans="2:2" x14ac:dyDescent="0.3">
      <c r="B74" s="1247" t="s">
        <v>50</v>
      </c>
    </row>
    <row r="75" spans="2:2" x14ac:dyDescent="0.3">
      <c r="B75" s="1247" t="s">
        <v>51</v>
      </c>
    </row>
    <row r="76" spans="2:2" x14ac:dyDescent="0.3">
      <c r="B76" s="1247" t="s">
        <v>52</v>
      </c>
    </row>
    <row r="77" spans="2:2" ht="20.25" customHeight="1" x14ac:dyDescent="0.3"/>
    <row r="78" spans="2:2" x14ac:dyDescent="0.3">
      <c r="B78" s="1248" t="s">
        <v>53</v>
      </c>
    </row>
    <row r="79" spans="2:2" ht="45.6" x14ac:dyDescent="0.3">
      <c r="B79" s="1247" t="s">
        <v>54</v>
      </c>
    </row>
    <row r="80" spans="2:2" ht="36" customHeight="1" x14ac:dyDescent="0.3">
      <c r="B80" s="1252" t="s">
        <v>55</v>
      </c>
    </row>
    <row r="81" spans="2:2" ht="17.25" customHeight="1" x14ac:dyDescent="0.3"/>
    <row r="82" spans="2:2" x14ac:dyDescent="0.3">
      <c r="B82" s="1248" t="s">
        <v>56</v>
      </c>
    </row>
    <row r="83" spans="2:2" ht="31.5" customHeight="1" x14ac:dyDescent="0.3">
      <c r="B83" s="1252" t="s">
        <v>57</v>
      </c>
    </row>
    <row r="84" spans="2:2" ht="31.2" x14ac:dyDescent="0.3">
      <c r="B84" s="1252" t="s">
        <v>58</v>
      </c>
    </row>
    <row r="85" spans="2:2" ht="31.2" x14ac:dyDescent="0.3">
      <c r="B85" s="1252" t="s">
        <v>59</v>
      </c>
    </row>
    <row r="86" spans="2:2" ht="31.2" x14ac:dyDescent="0.3">
      <c r="B86" s="1252" t="s">
        <v>60</v>
      </c>
    </row>
  </sheetData>
  <sheetProtection sheet="1" objects="1" scenarios="1"/>
  <pageMargins left="0.70866141732283472" right="0.70866141732283472" top="0.74803149606299213" bottom="0.74803149606299213" header="0.31496062992125984" footer="0.31496062992125984"/>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CE7AD0-1BAA-4F04-80ED-FEC881478509}">
  <sheetPr codeName="Sheet2"/>
  <dimension ref="B1:I43"/>
  <sheetViews>
    <sheetView showZeros="0" workbookViewId="0">
      <selection activeCell="J3" sqref="J3"/>
    </sheetView>
  </sheetViews>
  <sheetFormatPr defaultRowHeight="14.4" x14ac:dyDescent="0.3"/>
  <cols>
    <col min="2" max="2" width="5.6640625" customWidth="1"/>
    <col min="4" max="4" width="8.44140625" style="32" customWidth="1"/>
    <col min="5" max="5" width="19.33203125" customWidth="1"/>
    <col min="6" max="7" width="7.44140625" customWidth="1"/>
  </cols>
  <sheetData>
    <row r="1" spans="2:9" ht="15" thickBot="1" x14ac:dyDescent="0.35"/>
    <row r="2" spans="2:9" x14ac:dyDescent="0.3">
      <c r="B2" s="4"/>
      <c r="C2" s="48"/>
      <c r="D2" s="49"/>
      <c r="E2" s="48"/>
      <c r="F2" s="48"/>
      <c r="G2" s="48"/>
      <c r="H2" s="48"/>
      <c r="I2" s="50"/>
    </row>
    <row r="3" spans="2:9" ht="17.399999999999999" x14ac:dyDescent="0.3">
      <c r="B3" s="51"/>
      <c r="E3" s="52" t="s">
        <v>3</v>
      </c>
      <c r="I3" s="53"/>
    </row>
    <row r="4" spans="2:9" x14ac:dyDescent="0.3">
      <c r="B4" s="51"/>
      <c r="I4" s="53"/>
    </row>
    <row r="5" spans="2:9" x14ac:dyDescent="0.3">
      <c r="B5" s="54"/>
      <c r="C5" s="55" t="s">
        <v>61</v>
      </c>
      <c r="D5" s="56"/>
      <c r="E5" s="57" t="s">
        <v>62</v>
      </c>
      <c r="F5" s="58"/>
      <c r="H5" s="55"/>
      <c r="I5" s="59"/>
    </row>
    <row r="6" spans="2:9" x14ac:dyDescent="0.3">
      <c r="B6" s="54"/>
      <c r="C6" s="55"/>
      <c r="D6" s="56"/>
      <c r="E6" s="55"/>
      <c r="F6" s="55"/>
      <c r="H6" s="55"/>
      <c r="I6" s="59"/>
    </row>
    <row r="7" spans="2:9" x14ac:dyDescent="0.3">
      <c r="B7" s="54"/>
      <c r="C7" s="55" t="s">
        <v>63</v>
      </c>
      <c r="D7" s="56"/>
      <c r="E7" s="60">
        <v>2026</v>
      </c>
      <c r="F7" s="55"/>
      <c r="G7" s="55"/>
      <c r="H7" s="55"/>
      <c r="I7" s="59"/>
    </row>
    <row r="8" spans="2:9" x14ac:dyDescent="0.3">
      <c r="B8" s="54"/>
      <c r="C8" s="55"/>
      <c r="D8" s="56"/>
      <c r="E8" s="56"/>
      <c r="F8" s="55"/>
      <c r="G8" s="55"/>
      <c r="H8" s="55"/>
      <c r="I8" s="59"/>
    </row>
    <row r="9" spans="2:9" x14ac:dyDescent="0.3">
      <c r="B9" s="54"/>
      <c r="C9" s="55" t="s">
        <v>64</v>
      </c>
      <c r="D9" s="56"/>
      <c r="E9" s="60">
        <v>1</v>
      </c>
      <c r="F9" s="55"/>
      <c r="G9" s="55"/>
      <c r="H9" s="55"/>
      <c r="I9" s="59"/>
    </row>
    <row r="10" spans="2:9" ht="15" thickBot="1" x14ac:dyDescent="0.35">
      <c r="B10" s="54"/>
      <c r="C10" s="55"/>
      <c r="D10" s="56"/>
      <c r="E10" s="55"/>
      <c r="F10" s="55"/>
      <c r="G10" s="55"/>
      <c r="H10" s="55"/>
      <c r="I10" s="59"/>
    </row>
    <row r="11" spans="2:9" ht="15" thickBot="1" x14ac:dyDescent="0.35">
      <c r="B11" s="61" t="s">
        <v>65</v>
      </c>
      <c r="C11" s="1400" t="s">
        <v>66</v>
      </c>
      <c r="D11" s="1401"/>
      <c r="E11" s="1400" t="s">
        <v>67</v>
      </c>
      <c r="F11" s="1401"/>
      <c r="G11" s="1400" t="s">
        <v>68</v>
      </c>
      <c r="H11" s="1402"/>
      <c r="I11" s="1403"/>
    </row>
    <row r="12" spans="2:9" x14ac:dyDescent="0.3">
      <c r="B12" s="9">
        <v>1</v>
      </c>
      <c r="C12" s="62" t="str">
        <f>VLOOKUP($B12,EventDates,D$43,FALSE)</f>
        <v>17th May 2026</v>
      </c>
      <c r="D12" s="63"/>
      <c r="E12" s="64" t="str">
        <f>VLOOKUP($B12,EventDates,F$43,FALSE)</f>
        <v>Bruce williams Way</v>
      </c>
      <c r="F12" s="65"/>
      <c r="G12" s="64" t="str">
        <f>VLOOKUP($B12,EventDates,G$43,FALSE)</f>
        <v>Rugby &amp; N'hampton</v>
      </c>
      <c r="H12" s="66"/>
      <c r="I12" s="67"/>
    </row>
    <row r="13" spans="2:9" x14ac:dyDescent="0.3">
      <c r="B13" s="68">
        <v>2</v>
      </c>
      <c r="C13" s="69" t="str">
        <f>VLOOKUP($B13,EventDates,D$43,FALSE)</f>
        <v>14th June 2026</v>
      </c>
      <c r="D13" s="70"/>
      <c r="E13" s="71" t="str">
        <f>VLOOKUP($B13,EventDates,F$43,FALSE)</f>
        <v>Wyndley Lane</v>
      </c>
      <c r="F13" s="72"/>
      <c r="G13" s="71" t="str">
        <f>VLOOKUP($B13,EventDates,G$43,FALSE)</f>
        <v>RoyalSutton</v>
      </c>
      <c r="H13" s="73"/>
      <c r="I13" s="74"/>
    </row>
    <row r="14" spans="2:9" ht="15" thickBot="1" x14ac:dyDescent="0.35">
      <c r="B14" s="75">
        <v>3</v>
      </c>
      <c r="C14" s="76" t="str">
        <f>VLOOKUP($B14,EventDates,D$43,FALSE)</f>
        <v>5th July 2026</v>
      </c>
      <c r="D14" s="77"/>
      <c r="E14" s="78" t="str">
        <f>VLOOKUP($B14,EventDates,F$43,FALSE)</f>
        <v>Alan Morton track</v>
      </c>
      <c r="F14" s="79"/>
      <c r="G14" s="78" t="str">
        <f>VLOOKUP($B14,EventDates,G$43,FALSE)</f>
        <v>KSAC</v>
      </c>
      <c r="H14" s="80"/>
      <c r="I14" s="81"/>
    </row>
    <row r="15" spans="2:9" ht="15" thickBot="1" x14ac:dyDescent="0.35">
      <c r="B15" s="82"/>
      <c r="C15" s="83"/>
      <c r="D15" s="83"/>
      <c r="E15" s="83"/>
      <c r="F15" s="84"/>
      <c r="G15" s="83"/>
      <c r="H15" s="85"/>
      <c r="I15" s="86"/>
    </row>
    <row r="16" spans="2:9" ht="16.2" thickBot="1" x14ac:dyDescent="0.35">
      <c r="B16" s="87"/>
      <c r="C16" s="88" t="s">
        <v>69</v>
      </c>
      <c r="D16" s="1343"/>
      <c r="E16" s="89"/>
      <c r="F16" s="89"/>
      <c r="G16" s="89"/>
      <c r="H16" s="89"/>
      <c r="I16" s="90"/>
    </row>
    <row r="17" spans="2:9" ht="15" thickBot="1" x14ac:dyDescent="0.35">
      <c r="B17" s="91">
        <v>1</v>
      </c>
      <c r="C17" s="92" t="str">
        <f>IF($B17=3,C14,IF($B17=2,C13,C12))</f>
        <v>17th May 2026</v>
      </c>
      <c r="D17" s="1330"/>
      <c r="E17" s="92" t="str">
        <f>IF($B17=3,E14,IF($B17=2,E13,E12))</f>
        <v>Bruce williams Way</v>
      </c>
      <c r="F17" s="93"/>
      <c r="G17" s="92" t="str">
        <f>IF($B17=3,G14,IF($B17=2,G13,G12))</f>
        <v>Rugby &amp; N'hampton</v>
      </c>
      <c r="H17" s="94"/>
      <c r="I17" s="93"/>
    </row>
    <row r="18" spans="2:9" x14ac:dyDescent="0.3">
      <c r="B18" s="54"/>
      <c r="C18" s="55"/>
      <c r="D18" s="56"/>
      <c r="E18" s="55"/>
      <c r="F18" s="55"/>
      <c r="G18" s="55"/>
      <c r="H18" s="55"/>
      <c r="I18" s="59"/>
    </row>
    <row r="19" spans="2:9" ht="15" thickBot="1" x14ac:dyDescent="0.35">
      <c r="B19" s="54"/>
      <c r="C19" s="55"/>
      <c r="D19" s="56"/>
      <c r="E19" s="55"/>
      <c r="F19" s="55"/>
      <c r="G19" s="55"/>
      <c r="H19" s="55"/>
      <c r="I19" s="59"/>
    </row>
    <row r="20" spans="2:9" x14ac:dyDescent="0.3">
      <c r="B20" s="54"/>
      <c r="C20" s="95" t="s">
        <v>70</v>
      </c>
      <c r="D20" s="96" t="s">
        <v>71</v>
      </c>
      <c r="E20" s="97" t="s">
        <v>72</v>
      </c>
      <c r="F20" s="98" t="s">
        <v>73</v>
      </c>
      <c r="G20" s="99"/>
      <c r="H20" s="97" t="s">
        <v>74</v>
      </c>
      <c r="I20" s="100"/>
    </row>
    <row r="21" spans="2:9" ht="15" thickBot="1" x14ac:dyDescent="0.35">
      <c r="B21" s="54"/>
      <c r="C21" s="101"/>
      <c r="D21" s="102"/>
      <c r="E21" s="103"/>
      <c r="F21" s="104"/>
      <c r="G21" s="105"/>
      <c r="H21" s="106" t="s">
        <v>75</v>
      </c>
      <c r="I21" s="107"/>
    </row>
    <row r="22" spans="2:9" x14ac:dyDescent="0.3">
      <c r="B22" s="108"/>
      <c r="C22" s="68">
        <v>1</v>
      </c>
      <c r="D22" s="82" t="str">
        <f t="shared" ref="D22:H30" si="0">VLOOKUP($C22,ClubDetail,D$42,FALSE)</f>
        <v>S</v>
      </c>
      <c r="E22" s="109" t="str">
        <f t="shared" si="0"/>
        <v>BRAT</v>
      </c>
      <c r="F22" s="71">
        <f t="shared" si="0"/>
        <v>26</v>
      </c>
      <c r="G22" s="110">
        <f t="shared" si="0"/>
        <v>51</v>
      </c>
      <c r="H22" s="110" t="str">
        <f t="shared" si="0"/>
        <v>BRAT</v>
      </c>
      <c r="I22" s="67"/>
    </row>
    <row r="23" spans="2:9" x14ac:dyDescent="0.3">
      <c r="B23" s="108"/>
      <c r="C23" s="68">
        <v>2</v>
      </c>
      <c r="D23" s="82" t="str">
        <f t="shared" si="0"/>
        <v>U</v>
      </c>
      <c r="E23" s="109" t="str">
        <f t="shared" si="0"/>
        <v>Kidder &amp; Stourport</v>
      </c>
      <c r="F23" s="71">
        <f t="shared" si="0"/>
        <v>77</v>
      </c>
      <c r="G23" s="109">
        <f t="shared" si="0"/>
        <v>101</v>
      </c>
      <c r="H23" s="109" t="str">
        <f t="shared" si="0"/>
        <v>K&amp;S</v>
      </c>
      <c r="I23" s="74"/>
    </row>
    <row r="24" spans="2:9" x14ac:dyDescent="0.3">
      <c r="B24" s="108"/>
      <c r="C24" s="68">
        <v>3</v>
      </c>
      <c r="D24" s="82" t="str">
        <f t="shared" si="0"/>
        <v>G</v>
      </c>
      <c r="E24" s="109" t="str">
        <f t="shared" si="0"/>
        <v>Royal Sutton</v>
      </c>
      <c r="F24" s="71">
        <f t="shared" si="0"/>
        <v>1</v>
      </c>
      <c r="G24" s="109">
        <f t="shared" si="0"/>
        <v>25</v>
      </c>
      <c r="H24" s="109" t="str">
        <f t="shared" si="0"/>
        <v>Royal</v>
      </c>
      <c r="I24" s="74"/>
    </row>
    <row r="25" spans="2:9" x14ac:dyDescent="0.3">
      <c r="B25" s="108"/>
      <c r="C25" s="68">
        <v>4</v>
      </c>
      <c r="D25" s="82" t="str">
        <f t="shared" si="0"/>
        <v>R</v>
      </c>
      <c r="E25" s="109" t="str">
        <f t="shared" si="0"/>
        <v>Rugby &amp; N'hampton</v>
      </c>
      <c r="F25" s="71">
        <f t="shared" si="0"/>
        <v>102</v>
      </c>
      <c r="G25" s="109">
        <f t="shared" si="0"/>
        <v>126</v>
      </c>
      <c r="H25" s="109" t="str">
        <f t="shared" si="0"/>
        <v>Rugby</v>
      </c>
      <c r="I25" s="74"/>
    </row>
    <row r="26" spans="2:9" x14ac:dyDescent="0.3">
      <c r="B26" s="108"/>
      <c r="C26" s="68">
        <v>5</v>
      </c>
      <c r="D26" s="82" t="str">
        <f t="shared" si="0"/>
        <v>M</v>
      </c>
      <c r="E26" s="109" t="str">
        <f t="shared" si="0"/>
        <v>Solihull &amp; S.Heath</v>
      </c>
      <c r="F26" s="71">
        <f t="shared" si="0"/>
        <v>127</v>
      </c>
      <c r="G26" s="109">
        <f t="shared" si="0"/>
        <v>151</v>
      </c>
      <c r="H26" s="109" t="str">
        <f t="shared" si="0"/>
        <v>Sol</v>
      </c>
      <c r="I26" s="74"/>
    </row>
    <row r="27" spans="2:9" x14ac:dyDescent="0.3">
      <c r="B27" s="108"/>
      <c r="C27" s="68">
        <v>6</v>
      </c>
      <c r="D27" s="82" t="str">
        <f t="shared" si="0"/>
        <v>D</v>
      </c>
      <c r="E27" s="109" t="str">
        <f t="shared" si="0"/>
        <v>Stratford</v>
      </c>
      <c r="F27" s="71">
        <f t="shared" si="0"/>
        <v>152</v>
      </c>
      <c r="G27" s="109">
        <f t="shared" si="0"/>
        <v>176</v>
      </c>
      <c r="H27" s="109" t="str">
        <f t="shared" si="0"/>
        <v>Strat</v>
      </c>
      <c r="I27" s="74"/>
    </row>
    <row r="28" spans="2:9" x14ac:dyDescent="0.3">
      <c r="B28" s="108"/>
      <c r="C28" s="68">
        <v>7</v>
      </c>
      <c r="D28" s="82" t="str">
        <f t="shared" si="0"/>
        <v>F</v>
      </c>
      <c r="E28" s="109" t="str">
        <f t="shared" si="0"/>
        <v>Tamworth</v>
      </c>
      <c r="F28" s="71">
        <f t="shared" si="0"/>
        <v>52</v>
      </c>
      <c r="G28" s="109">
        <f t="shared" si="0"/>
        <v>76</v>
      </c>
      <c r="H28" s="109" t="str">
        <f t="shared" si="0"/>
        <v>Tam</v>
      </c>
      <c r="I28" s="74"/>
    </row>
    <row r="29" spans="2:9" x14ac:dyDescent="0.3">
      <c r="B29" s="108"/>
      <c r="C29" s="68">
        <v>8</v>
      </c>
      <c r="D29" s="82" t="str">
        <f t="shared" si="0"/>
        <v>Y</v>
      </c>
      <c r="E29" s="109" t="str">
        <f t="shared" si="0"/>
        <v>Worcester</v>
      </c>
      <c r="F29" s="71">
        <f t="shared" si="0"/>
        <v>177</v>
      </c>
      <c r="G29" s="109">
        <f t="shared" si="0"/>
        <v>200</v>
      </c>
      <c r="H29" s="109" t="str">
        <f t="shared" si="0"/>
        <v>Worc</v>
      </c>
      <c r="I29" s="74"/>
    </row>
    <row r="30" spans="2:9" ht="15" thickBot="1" x14ac:dyDescent="0.35">
      <c r="B30" s="108"/>
      <c r="C30" s="75">
        <v>9</v>
      </c>
      <c r="D30" s="111">
        <f t="shared" si="0"/>
        <v>0</v>
      </c>
      <c r="E30" s="112" t="str">
        <f t="shared" si="0"/>
        <v/>
      </c>
      <c r="F30" s="113">
        <f t="shared" si="0"/>
        <v>0</v>
      </c>
      <c r="G30" s="75">
        <f t="shared" si="0"/>
        <v>0</v>
      </c>
      <c r="H30" s="75">
        <f t="shared" si="0"/>
        <v>0</v>
      </c>
      <c r="I30" s="79"/>
    </row>
    <row r="31" spans="2:9" ht="15" thickBot="1" x14ac:dyDescent="0.35">
      <c r="B31" s="51"/>
      <c r="I31" s="53"/>
    </row>
    <row r="32" spans="2:9" ht="15" thickBot="1" x14ac:dyDescent="0.35">
      <c r="B32" s="51"/>
      <c r="C32" s="1139" t="s">
        <v>76</v>
      </c>
      <c r="D32" s="1230">
        <f>COUNTIF(D22:D30,"?")</f>
        <v>8</v>
      </c>
      <c r="E32" s="55" t="s">
        <v>77</v>
      </c>
      <c r="I32" s="53"/>
    </row>
    <row r="33" spans="2:9" ht="15" thickBot="1" x14ac:dyDescent="0.35">
      <c r="B33" s="51"/>
      <c r="I33" s="53"/>
    </row>
    <row r="34" spans="2:9" x14ac:dyDescent="0.3">
      <c r="B34" s="51"/>
      <c r="C34" s="1215"/>
      <c r="D34" s="1216"/>
      <c r="E34" s="850"/>
      <c r="F34" s="1216" t="s">
        <v>78</v>
      </c>
      <c r="G34" s="1216" t="s">
        <v>79</v>
      </c>
      <c r="H34" s="1216" t="s">
        <v>80</v>
      </c>
      <c r="I34" s="851"/>
    </row>
    <row r="35" spans="2:9" ht="15" thickBot="1" x14ac:dyDescent="0.35">
      <c r="B35" s="51"/>
      <c r="C35" s="1212"/>
      <c r="D35" s="1217"/>
      <c r="E35" s="1213" t="s">
        <v>81</v>
      </c>
      <c r="F35" s="1217">
        <f>'Results Entry'!AS1108</f>
        <v>79</v>
      </c>
      <c r="G35" s="1217" t="e">
        <f>'Results Entry'!AT1108</f>
        <v>#N/A</v>
      </c>
      <c r="H35" s="1217" t="e">
        <f>'Results Entry'!AU1108</f>
        <v>#N/A</v>
      </c>
      <c r="I35" s="1214"/>
    </row>
    <row r="36" spans="2:9" x14ac:dyDescent="0.3">
      <c r="B36" s="51"/>
      <c r="I36" s="53"/>
    </row>
    <row r="37" spans="2:9" ht="15" thickBot="1" x14ac:dyDescent="0.35">
      <c r="B37" s="114"/>
      <c r="C37" s="115"/>
      <c r="D37" s="116"/>
      <c r="E37" s="115"/>
      <c r="F37" s="115"/>
      <c r="G37" s="115"/>
      <c r="H37" s="115"/>
      <c r="I37" s="117"/>
    </row>
    <row r="42" spans="2:9" x14ac:dyDescent="0.3">
      <c r="C42" s="32">
        <f>IF($E9=1,1,IF($E9=2,8,IF($E9=3,15,IF($E$9=4,22," "))))</f>
        <v>1</v>
      </c>
      <c r="D42" s="32">
        <f>IF($E9=1,2,IF($E9=2,9,IF($E9=3,16,IF($E$9=4,23," "))))</f>
        <v>2</v>
      </c>
      <c r="E42" s="32">
        <f>IF($E9=1,3,IF($E9=2,10,IF($E9=3,17,IF($E$9=4,24," "))))</f>
        <v>3</v>
      </c>
      <c r="F42" s="32">
        <f>IF($E9=1,4,IF($E9=2,11,IF($E9=3,18,IF($E$9=4,25," "))))</f>
        <v>4</v>
      </c>
      <c r="G42" s="32">
        <f>IF($E9=1,5,IF($E9=2,12,IF($E9=3,19,IF($E$9=4,26," "))))</f>
        <v>5</v>
      </c>
      <c r="H42" s="32">
        <f>IF($E9=1,6,IF($E9=2,13,IF($E9=3,20,IF($E$9=4,27," "))))</f>
        <v>6</v>
      </c>
    </row>
    <row r="43" spans="2:9" x14ac:dyDescent="0.3">
      <c r="D43" s="32">
        <f>IF($E9=1,2,IF($E9=2,9,IF($E9=3,16,IF($E$9=4,23," "))))</f>
        <v>2</v>
      </c>
      <c r="E43" s="32"/>
      <c r="F43" s="32">
        <f>IF($E9=1,4,IF($E9=2,11,IF($E9=3,18,IF($E$9=4,25," "))))</f>
        <v>4</v>
      </c>
      <c r="G43" s="32">
        <f>IF($E9=1,5,IF($E9=2,12,IF($E9=3,19,IF($E$9=4,26," "))))</f>
        <v>5</v>
      </c>
      <c r="H43" s="32"/>
    </row>
  </sheetData>
  <sheetProtection sheet="1" objects="1" scenarios="1"/>
  <mergeCells count="3">
    <mergeCell ref="C11:D11"/>
    <mergeCell ref="E11:F11"/>
    <mergeCell ref="G11:I11"/>
  </mergeCells>
  <pageMargins left="0.7" right="0.7" top="0.75" bottom="0.75" header="0.3" footer="0.3"/>
  <pageSetup paperSize="9"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80D4E-2C10-47AA-981F-AF7458902B40}">
  <sheetPr codeName="Sheet1"/>
  <dimension ref="A1:AB24"/>
  <sheetViews>
    <sheetView workbookViewId="0">
      <selection activeCell="S20" sqref="S20"/>
    </sheetView>
  </sheetViews>
  <sheetFormatPr defaultRowHeight="14.4" x14ac:dyDescent="0.3"/>
  <cols>
    <col min="2" max="2" width="6.109375" customWidth="1"/>
    <col min="3" max="3" width="8.109375" customWidth="1"/>
    <col min="4" max="4" width="21.88671875" customWidth="1"/>
    <col min="5" max="6" width="7.33203125" customWidth="1"/>
    <col min="8" max="8" width="4.5546875" customWidth="1"/>
    <col min="9" max="9" width="6.109375" customWidth="1"/>
    <col min="10" max="10" width="8" customWidth="1"/>
    <col min="11" max="11" width="21.5546875" customWidth="1"/>
    <col min="12" max="13" width="7.33203125" customWidth="1"/>
    <col min="15" max="15" width="4.5546875" customWidth="1"/>
    <col min="16" max="16" width="6.109375" customWidth="1"/>
    <col min="17" max="17" width="8" customWidth="1"/>
    <col min="18" max="18" width="21.5546875" customWidth="1"/>
    <col min="19" max="20" width="7.33203125" customWidth="1"/>
    <col min="22" max="22" width="3.6640625" customWidth="1"/>
    <col min="23" max="23" width="5.88671875" customWidth="1"/>
    <col min="24" max="24" width="8" customWidth="1"/>
    <col min="25" max="25" width="21.6640625" customWidth="1"/>
    <col min="26" max="27" width="7.109375" customWidth="1"/>
  </cols>
  <sheetData>
    <row r="1" spans="2:28" ht="15" thickBot="1" x14ac:dyDescent="0.35"/>
    <row r="2" spans="2:28" ht="18" thickBot="1" x14ac:dyDescent="0.35">
      <c r="D2" s="1" t="s">
        <v>38</v>
      </c>
      <c r="E2" s="2"/>
      <c r="F2" s="2"/>
      <c r="G2" s="3"/>
    </row>
    <row r="3" spans="2:28" ht="15.75" customHeight="1" thickBot="1" x14ac:dyDescent="0.35"/>
    <row r="4" spans="2:28" ht="15.75" customHeight="1" x14ac:dyDescent="0.3">
      <c r="B4" s="4"/>
      <c r="C4" s="5" t="s">
        <v>71</v>
      </c>
      <c r="D4" s="6" t="s">
        <v>82</v>
      </c>
      <c r="E4" s="7"/>
      <c r="F4" s="8"/>
      <c r="G4" s="9" t="s">
        <v>74</v>
      </c>
      <c r="I4" s="4"/>
      <c r="J4" s="1343" t="s">
        <v>71</v>
      </c>
      <c r="K4" s="1305" t="s">
        <v>83</v>
      </c>
      <c r="L4" s="8"/>
      <c r="M4" s="8"/>
      <c r="N4" s="9" t="s">
        <v>74</v>
      </c>
      <c r="P4" s="4"/>
      <c r="Q4" s="5" t="s">
        <v>71</v>
      </c>
      <c r="R4" s="6" t="s">
        <v>84</v>
      </c>
      <c r="S4" s="7"/>
      <c r="T4" s="8"/>
      <c r="U4" s="9" t="s">
        <v>74</v>
      </c>
      <c r="W4" s="4"/>
      <c r="X4" s="5" t="s">
        <v>71</v>
      </c>
      <c r="Y4" s="6" t="s">
        <v>85</v>
      </c>
      <c r="Z4" s="7"/>
      <c r="AA4" s="8"/>
      <c r="AB4" s="9" t="s">
        <v>74</v>
      </c>
    </row>
    <row r="5" spans="2:28" ht="15.75" customHeight="1" x14ac:dyDescent="0.3">
      <c r="B5" s="10"/>
      <c r="C5" s="11"/>
      <c r="D5" s="12" t="s">
        <v>86</v>
      </c>
      <c r="E5" s="13" t="s">
        <v>87</v>
      </c>
      <c r="F5" s="14"/>
      <c r="G5" s="15" t="s">
        <v>75</v>
      </c>
      <c r="I5" s="10"/>
      <c r="J5" s="491"/>
      <c r="K5" s="1306" t="s">
        <v>86</v>
      </c>
      <c r="L5" s="14" t="s">
        <v>87</v>
      </c>
      <c r="M5" s="14"/>
      <c r="N5" s="15" t="s">
        <v>75</v>
      </c>
      <c r="P5" s="10"/>
      <c r="Q5" s="11"/>
      <c r="R5" s="12" t="s">
        <v>86</v>
      </c>
      <c r="S5" s="13" t="s">
        <v>87</v>
      </c>
      <c r="T5" s="14"/>
      <c r="U5" s="15" t="s">
        <v>75</v>
      </c>
      <c r="W5" s="10"/>
      <c r="X5" s="11"/>
      <c r="Y5" s="12" t="s">
        <v>86</v>
      </c>
      <c r="Z5" s="13" t="s">
        <v>87</v>
      </c>
      <c r="AA5" s="14"/>
      <c r="AB5" s="15" t="s">
        <v>75</v>
      </c>
    </row>
    <row r="6" spans="2:28" ht="15.75" customHeight="1" x14ac:dyDescent="0.3">
      <c r="B6" s="16">
        <f>IF(LEN(C6)&gt;0,1,"")</f>
        <v>1</v>
      </c>
      <c r="C6" s="23" t="s">
        <v>100</v>
      </c>
      <c r="D6" s="22" t="s">
        <v>101</v>
      </c>
      <c r="E6" s="19">
        <v>26</v>
      </c>
      <c r="F6" s="20">
        <v>51</v>
      </c>
      <c r="G6" s="21" t="s">
        <v>101</v>
      </c>
      <c r="I6" s="16">
        <f>IF(LEN(J6)&gt;0,1,"")</f>
        <v>1</v>
      </c>
      <c r="J6" s="1302" t="s">
        <v>88</v>
      </c>
      <c r="K6" s="1307" t="s">
        <v>89</v>
      </c>
      <c r="L6" s="20">
        <v>102</v>
      </c>
      <c r="M6" s="20">
        <v>126</v>
      </c>
      <c r="N6" s="21" t="s">
        <v>90</v>
      </c>
      <c r="P6" s="16">
        <f>IF(LEN(Q10)&gt;0,1,"")</f>
        <v>1</v>
      </c>
      <c r="Q6" s="17" t="s">
        <v>91</v>
      </c>
      <c r="R6" s="22" t="s">
        <v>92</v>
      </c>
      <c r="S6" s="19">
        <v>127</v>
      </c>
      <c r="T6" s="20">
        <v>151</v>
      </c>
      <c r="U6" s="21" t="s">
        <v>93</v>
      </c>
      <c r="W6" s="16">
        <f>IF(LEN(X6)&gt;0,1,"")</f>
        <v>1</v>
      </c>
      <c r="X6" s="23" t="s">
        <v>97</v>
      </c>
      <c r="Y6" s="22" t="s">
        <v>98</v>
      </c>
      <c r="Z6" s="19">
        <v>1</v>
      </c>
      <c r="AA6" s="20">
        <v>25</v>
      </c>
      <c r="AB6" s="21" t="s">
        <v>99</v>
      </c>
    </row>
    <row r="7" spans="2:28" ht="15.75" customHeight="1" x14ac:dyDescent="0.3">
      <c r="B7" s="16">
        <f t="shared" ref="B7:B12" si="0">IF(LEN(C8)&gt;0,B6+1,"")</f>
        <v>2</v>
      </c>
      <c r="C7" s="17" t="s">
        <v>130</v>
      </c>
      <c r="D7" s="18" t="s">
        <v>131</v>
      </c>
      <c r="E7" s="19">
        <v>77</v>
      </c>
      <c r="F7" s="20">
        <v>101</v>
      </c>
      <c r="G7" s="21" t="s">
        <v>132</v>
      </c>
      <c r="I7" s="16">
        <f>IF(LEN(J9)&gt;0,I6+1,"")</f>
        <v>2</v>
      </c>
      <c r="J7" s="1302" t="s">
        <v>102</v>
      </c>
      <c r="K7" s="1308" t="s">
        <v>103</v>
      </c>
      <c r="L7" s="20">
        <v>177</v>
      </c>
      <c r="M7" s="20">
        <v>200</v>
      </c>
      <c r="N7" s="21" t="s">
        <v>103</v>
      </c>
      <c r="P7" s="16">
        <f>IF(LEN(Q6)&gt;0,P6+1,"")</f>
        <v>2</v>
      </c>
      <c r="Q7" s="23" t="s">
        <v>94</v>
      </c>
      <c r="R7" s="18" t="s">
        <v>95</v>
      </c>
      <c r="S7" s="19">
        <v>52</v>
      </c>
      <c r="T7" s="20">
        <v>76</v>
      </c>
      <c r="U7" s="21" t="s">
        <v>96</v>
      </c>
      <c r="W7" s="16">
        <f t="shared" ref="W7:W13" si="1">IF(LEN(X7)&gt;0,W6+1,"")</f>
        <v>2</v>
      </c>
      <c r="X7" s="17" t="s">
        <v>107</v>
      </c>
      <c r="Y7" s="18" t="s">
        <v>108</v>
      </c>
      <c r="Z7" s="19">
        <v>77</v>
      </c>
      <c r="AA7" s="20">
        <v>101</v>
      </c>
      <c r="AB7" s="21" t="s">
        <v>109</v>
      </c>
    </row>
    <row r="8" spans="2:28" ht="15.75" customHeight="1" x14ac:dyDescent="0.3">
      <c r="B8" s="16">
        <f t="shared" si="0"/>
        <v>3</v>
      </c>
      <c r="C8" s="17" t="s">
        <v>110</v>
      </c>
      <c r="D8" s="22" t="s">
        <v>111</v>
      </c>
      <c r="E8" s="19">
        <v>1</v>
      </c>
      <c r="F8" s="20">
        <v>25</v>
      </c>
      <c r="G8" s="21" t="s">
        <v>112</v>
      </c>
      <c r="I8" s="16">
        <f>IF(LEN(J7)&gt;0,I7+1,"")</f>
        <v>3</v>
      </c>
      <c r="J8" s="1302" t="s">
        <v>100</v>
      </c>
      <c r="K8" s="1307" t="s">
        <v>113</v>
      </c>
      <c r="L8" s="20">
        <v>26</v>
      </c>
      <c r="M8" s="20">
        <v>51</v>
      </c>
      <c r="N8" s="21" t="s">
        <v>114</v>
      </c>
      <c r="P8" s="16">
        <f>IF(LEN(Q7)&gt;0,P7+1,"")</f>
        <v>3</v>
      </c>
      <c r="Q8" s="17" t="s">
        <v>104</v>
      </c>
      <c r="R8" s="18" t="s">
        <v>105</v>
      </c>
      <c r="S8" s="19">
        <v>177</v>
      </c>
      <c r="T8" s="20">
        <v>200</v>
      </c>
      <c r="U8" s="21" t="s">
        <v>106</v>
      </c>
      <c r="W8" s="16">
        <f t="shared" si="1"/>
        <v>3</v>
      </c>
      <c r="X8" s="23" t="s">
        <v>115</v>
      </c>
      <c r="Y8" s="22" t="s">
        <v>116</v>
      </c>
      <c r="Z8" s="19">
        <v>102</v>
      </c>
      <c r="AA8" s="20">
        <v>126</v>
      </c>
      <c r="AB8" s="21" t="s">
        <v>117</v>
      </c>
    </row>
    <row r="9" spans="2:28" ht="15.75" customHeight="1" x14ac:dyDescent="0.3">
      <c r="B9" s="16">
        <f t="shared" si="0"/>
        <v>4</v>
      </c>
      <c r="C9" s="17" t="s">
        <v>118</v>
      </c>
      <c r="D9" s="18" t="s">
        <v>119</v>
      </c>
      <c r="E9" s="19">
        <v>102</v>
      </c>
      <c r="F9" s="20">
        <v>126</v>
      </c>
      <c r="G9" s="21" t="s">
        <v>120</v>
      </c>
      <c r="I9" s="16">
        <f>IF(LEN(J8)&gt;0,I8+1,"")</f>
        <v>4</v>
      </c>
      <c r="J9" s="1302" t="s">
        <v>121</v>
      </c>
      <c r="K9" s="1307" t="s">
        <v>122</v>
      </c>
      <c r="L9" s="20">
        <v>52</v>
      </c>
      <c r="M9" s="20">
        <v>76</v>
      </c>
      <c r="N9" s="21" t="s">
        <v>123</v>
      </c>
      <c r="P9" s="16">
        <f>IF(LEN(Q9)&gt;0,P8+1,"")</f>
        <v>4</v>
      </c>
      <c r="Q9" s="17" t="s">
        <v>97</v>
      </c>
      <c r="R9" s="18" t="s">
        <v>98</v>
      </c>
      <c r="S9" s="19">
        <v>26</v>
      </c>
      <c r="T9" s="20">
        <v>51</v>
      </c>
      <c r="U9" s="21" t="s">
        <v>99</v>
      </c>
      <c r="W9" s="16">
        <f t="shared" si="1"/>
        <v>4</v>
      </c>
      <c r="X9" s="23" t="s">
        <v>124</v>
      </c>
      <c r="Y9" s="22" t="s">
        <v>125</v>
      </c>
      <c r="Z9" s="19">
        <v>127</v>
      </c>
      <c r="AA9" s="20">
        <v>151</v>
      </c>
      <c r="AB9" s="21" t="s">
        <v>126</v>
      </c>
    </row>
    <row r="10" spans="2:28" ht="15.75" customHeight="1" x14ac:dyDescent="0.3">
      <c r="B10" s="16">
        <f t="shared" si="0"/>
        <v>5</v>
      </c>
      <c r="C10" s="17" t="s">
        <v>127</v>
      </c>
      <c r="D10" s="18" t="s">
        <v>128</v>
      </c>
      <c r="E10" s="19">
        <v>127</v>
      </c>
      <c r="F10" s="20">
        <v>151</v>
      </c>
      <c r="G10" s="21" t="s">
        <v>129</v>
      </c>
      <c r="I10" s="16">
        <f>IF(LEN(J10)&gt;0,I9+1,"")</f>
        <v>5</v>
      </c>
      <c r="J10" s="1302" t="s">
        <v>115</v>
      </c>
      <c r="K10" s="1308" t="s">
        <v>116</v>
      </c>
      <c r="L10" s="20">
        <v>77</v>
      </c>
      <c r="M10" s="20">
        <v>101</v>
      </c>
      <c r="N10" s="21" t="s">
        <v>117</v>
      </c>
      <c r="P10" s="16">
        <f>IF(LEN(Q11)&gt;0,P9+1,"")</f>
        <v>5</v>
      </c>
      <c r="Q10" s="17" t="s">
        <v>107</v>
      </c>
      <c r="R10" s="22" t="s">
        <v>108</v>
      </c>
      <c r="S10" s="19">
        <v>77</v>
      </c>
      <c r="T10" s="20">
        <v>101</v>
      </c>
      <c r="U10" s="21" t="s">
        <v>109</v>
      </c>
      <c r="W10" s="16">
        <f t="shared" si="1"/>
        <v>5</v>
      </c>
      <c r="X10" s="17" t="s">
        <v>133</v>
      </c>
      <c r="Y10" s="18" t="s">
        <v>134</v>
      </c>
      <c r="Z10" s="19">
        <v>152</v>
      </c>
      <c r="AA10" s="20">
        <v>176</v>
      </c>
      <c r="AB10" s="24" t="s">
        <v>135</v>
      </c>
    </row>
    <row r="11" spans="2:28" ht="15.75" customHeight="1" x14ac:dyDescent="0.3">
      <c r="B11" s="16">
        <f t="shared" si="0"/>
        <v>6</v>
      </c>
      <c r="C11" s="17" t="s">
        <v>136</v>
      </c>
      <c r="D11" s="18" t="s">
        <v>137</v>
      </c>
      <c r="E11" s="19">
        <v>152</v>
      </c>
      <c r="F11" s="20">
        <v>176</v>
      </c>
      <c r="G11" s="21" t="s">
        <v>138</v>
      </c>
      <c r="I11" s="16">
        <f>IF(LEN(J11)&gt;0,I10+1,"")</f>
        <v>6</v>
      </c>
      <c r="J11" s="1303" t="s">
        <v>124</v>
      </c>
      <c r="K11" s="1307" t="s">
        <v>125</v>
      </c>
      <c r="L11" s="20">
        <v>127</v>
      </c>
      <c r="M11" s="20">
        <v>151</v>
      </c>
      <c r="N11" s="21" t="s">
        <v>126</v>
      </c>
      <c r="P11" s="16">
        <f>IF(LEN(Q8)&gt;0,P10+1,"")</f>
        <v>6</v>
      </c>
      <c r="Q11" s="17" t="s">
        <v>139</v>
      </c>
      <c r="R11" s="18" t="s">
        <v>140</v>
      </c>
      <c r="S11" s="19">
        <v>1</v>
      </c>
      <c r="T11" s="20">
        <v>25</v>
      </c>
      <c r="U11" s="21" t="s">
        <v>141</v>
      </c>
      <c r="W11" s="16">
        <f t="shared" si="1"/>
        <v>6</v>
      </c>
      <c r="X11" s="676">
        <v>0</v>
      </c>
      <c r="Y11" s="22"/>
      <c r="Z11" s="19"/>
      <c r="AA11" s="20"/>
      <c r="AB11" s="21"/>
    </row>
    <row r="12" spans="2:28" ht="15.75" customHeight="1" x14ac:dyDescent="0.3">
      <c r="B12" s="16">
        <f t="shared" si="0"/>
        <v>7</v>
      </c>
      <c r="C12" s="676" t="s">
        <v>142</v>
      </c>
      <c r="D12" s="22" t="s">
        <v>143</v>
      </c>
      <c r="E12" s="19">
        <v>52</v>
      </c>
      <c r="F12" s="20">
        <v>76</v>
      </c>
      <c r="G12" s="21" t="s">
        <v>144</v>
      </c>
      <c r="I12" s="16">
        <f>IF(LEN(J12)&gt;0,I11+1,"")</f>
        <v>7</v>
      </c>
      <c r="J12" s="1301" t="s">
        <v>145</v>
      </c>
      <c r="K12" s="1309" t="s">
        <v>146</v>
      </c>
      <c r="L12" s="20">
        <v>152</v>
      </c>
      <c r="M12" s="20">
        <v>176</v>
      </c>
      <c r="N12" s="21" t="s">
        <v>147</v>
      </c>
      <c r="P12" s="16">
        <f>IF(LEN(Q12)&gt;0,P11+1,"")</f>
        <v>7</v>
      </c>
      <c r="Q12" s="676" t="s">
        <v>133</v>
      </c>
      <c r="R12" s="675" t="s">
        <v>134</v>
      </c>
      <c r="S12" s="19">
        <v>152</v>
      </c>
      <c r="T12" s="20">
        <v>176</v>
      </c>
      <c r="U12" s="21" t="s">
        <v>135</v>
      </c>
      <c r="W12" s="16">
        <f t="shared" si="1"/>
        <v>7</v>
      </c>
      <c r="X12" s="676">
        <v>0</v>
      </c>
      <c r="Y12" s="675" t="s">
        <v>148</v>
      </c>
      <c r="Z12" s="19"/>
      <c r="AA12" s="20"/>
      <c r="AB12" s="21"/>
    </row>
    <row r="13" spans="2:28" ht="15.75" customHeight="1" x14ac:dyDescent="0.3">
      <c r="B13" s="16">
        <f>IF(LEN(C7)&gt;0,B12+1,"")</f>
        <v>8</v>
      </c>
      <c r="C13" s="17" t="s">
        <v>151</v>
      </c>
      <c r="D13" s="22" t="s">
        <v>152</v>
      </c>
      <c r="E13" s="19">
        <v>177</v>
      </c>
      <c r="F13" s="20">
        <v>200</v>
      </c>
      <c r="G13" s="21" t="s">
        <v>153</v>
      </c>
      <c r="I13" s="16" t="str">
        <f>IF(LEN(J13)&gt;0,I12+1,"")</f>
        <v/>
      </c>
      <c r="J13" s="1301"/>
      <c r="K13" s="1309"/>
      <c r="L13" s="20"/>
      <c r="M13" s="20"/>
      <c r="N13" s="24"/>
      <c r="P13" s="16" t="str">
        <f>IF(LEN(Q13)&gt;0,P12+1,"")</f>
        <v/>
      </c>
      <c r="Q13" s="17"/>
      <c r="R13" s="18"/>
      <c r="S13" s="19"/>
      <c r="T13" s="20"/>
      <c r="U13" s="21"/>
      <c r="W13" s="16">
        <f t="shared" si="1"/>
        <v>8</v>
      </c>
      <c r="X13" s="676">
        <v>0</v>
      </c>
      <c r="Y13" s="675" t="s">
        <v>148</v>
      </c>
      <c r="Z13" s="19"/>
      <c r="AA13" s="20"/>
      <c r="AB13" s="21"/>
    </row>
    <row r="14" spans="2:28" ht="15.75" customHeight="1" thickBot="1" x14ac:dyDescent="0.35">
      <c r="B14" s="25">
        <v>9</v>
      </c>
      <c r="C14" s="26">
        <v>0</v>
      </c>
      <c r="D14" s="673" t="s">
        <v>148</v>
      </c>
      <c r="E14" s="27"/>
      <c r="F14" s="28"/>
      <c r="G14" s="29"/>
      <c r="I14" s="25" t="str">
        <f>IF(LEN(J14)&gt;0,I13+1,"")</f>
        <v/>
      </c>
      <c r="J14" s="1304"/>
      <c r="K14" s="1310"/>
      <c r="L14" s="28"/>
      <c r="M14" s="28"/>
      <c r="N14" s="30"/>
      <c r="P14" s="25" t="str">
        <f>IF(LEN(Q14)&gt;0,P13+1,"")</f>
        <v/>
      </c>
      <c r="Q14" s="674"/>
      <c r="R14" s="673" t="s">
        <v>148</v>
      </c>
      <c r="S14" s="27"/>
      <c r="T14" s="28"/>
      <c r="U14" s="30"/>
      <c r="W14" s="25">
        <f>IF(LEN(X14)&gt;0,W13+1,"")</f>
        <v>9</v>
      </c>
      <c r="X14" s="26">
        <v>0</v>
      </c>
      <c r="Y14" s="677" t="s">
        <v>148</v>
      </c>
      <c r="Z14" s="27"/>
      <c r="AA14" s="28"/>
      <c r="AB14" s="31"/>
    </row>
    <row r="15" spans="2:28" ht="15.75" customHeight="1" thickBot="1" x14ac:dyDescent="0.35">
      <c r="B15" s="32"/>
      <c r="P15" s="16">
        <f>MAX(P6:P14)</f>
        <v>7</v>
      </c>
    </row>
    <row r="16" spans="2:28" ht="15.75" customHeight="1" thickBot="1" x14ac:dyDescent="0.35">
      <c r="B16" s="33" t="s">
        <v>66</v>
      </c>
      <c r="C16" s="1342"/>
      <c r="D16" s="34" t="s">
        <v>67</v>
      </c>
      <c r="E16" s="34" t="s">
        <v>68</v>
      </c>
      <c r="F16" s="35"/>
      <c r="G16" s="36"/>
      <c r="I16" s="34" t="s">
        <v>66</v>
      </c>
      <c r="J16" s="36"/>
      <c r="K16" s="34" t="s">
        <v>67</v>
      </c>
      <c r="L16" s="34" t="s">
        <v>68</v>
      </c>
      <c r="M16" s="35"/>
      <c r="N16" s="36"/>
      <c r="P16" s="34" t="s">
        <v>66</v>
      </c>
      <c r="Q16" s="36"/>
      <c r="R16" s="34" t="s">
        <v>67</v>
      </c>
      <c r="S16" s="34" t="s">
        <v>68</v>
      </c>
      <c r="T16" s="35"/>
      <c r="U16" s="36"/>
      <c r="W16" s="34" t="s">
        <v>66</v>
      </c>
      <c r="X16" s="36"/>
      <c r="Y16" s="34" t="s">
        <v>67</v>
      </c>
      <c r="Z16" s="34" t="s">
        <v>68</v>
      </c>
      <c r="AA16" s="35"/>
      <c r="AB16" s="36"/>
    </row>
    <row r="17" spans="1:28" ht="15.75" customHeight="1" x14ac:dyDescent="0.3">
      <c r="A17" s="32">
        <v>1</v>
      </c>
      <c r="B17" s="38" t="s">
        <v>451</v>
      </c>
      <c r="C17" s="38"/>
      <c r="D17" s="42" t="s">
        <v>161</v>
      </c>
      <c r="E17" s="42" t="s">
        <v>119</v>
      </c>
      <c r="F17" s="39"/>
      <c r="G17" s="40"/>
      <c r="I17" s="38" t="str">
        <f>$B17</f>
        <v>17th May 2026</v>
      </c>
      <c r="J17" s="41"/>
      <c r="K17" s="42" t="s">
        <v>162</v>
      </c>
      <c r="L17" s="42" t="s">
        <v>125</v>
      </c>
      <c r="M17" s="39"/>
      <c r="N17" s="40"/>
      <c r="P17" s="38" t="str">
        <f>$B17</f>
        <v>17th May 2026</v>
      </c>
      <c r="Q17" s="41"/>
      <c r="R17" s="42" t="s">
        <v>489</v>
      </c>
      <c r="S17" s="1347" t="s">
        <v>491</v>
      </c>
      <c r="T17" s="39"/>
      <c r="U17" s="40"/>
      <c r="W17" s="38" t="str">
        <f t="shared" ref="W17:W19" si="2">$B17</f>
        <v>17th May 2026</v>
      </c>
      <c r="X17" s="41"/>
      <c r="Y17" s="42"/>
      <c r="Z17" s="42"/>
      <c r="AA17" s="39"/>
      <c r="AB17" s="40"/>
    </row>
    <row r="18" spans="1:28" ht="15.75" customHeight="1" x14ac:dyDescent="0.3">
      <c r="A18" s="32">
        <v>2</v>
      </c>
      <c r="B18" s="38" t="s">
        <v>452</v>
      </c>
      <c r="C18" s="38"/>
      <c r="D18" s="42" t="s">
        <v>154</v>
      </c>
      <c r="E18" s="42" t="s">
        <v>155</v>
      </c>
      <c r="F18" s="39"/>
      <c r="G18" s="40"/>
      <c r="I18" s="38" t="str">
        <f t="shared" ref="I18:I19" si="3">$B18</f>
        <v>14th June 2026</v>
      </c>
      <c r="J18" s="41"/>
      <c r="K18" s="42" t="s">
        <v>160</v>
      </c>
      <c r="L18" s="42" t="s">
        <v>89</v>
      </c>
      <c r="M18" s="39"/>
      <c r="N18" s="40"/>
      <c r="P18" s="38" t="str">
        <f t="shared" ref="P18:P19" si="4">$B18</f>
        <v>14th June 2026</v>
      </c>
      <c r="Q18" s="41"/>
      <c r="R18" s="42" t="s">
        <v>158</v>
      </c>
      <c r="S18" s="42" t="s">
        <v>159</v>
      </c>
      <c r="T18" s="39"/>
      <c r="U18" s="40"/>
      <c r="W18" s="38" t="str">
        <f t="shared" si="2"/>
        <v>14th June 2026</v>
      </c>
      <c r="X18" s="41"/>
      <c r="Y18" s="42"/>
      <c r="Z18" s="42"/>
      <c r="AA18" s="39"/>
      <c r="AB18" s="40"/>
    </row>
    <row r="19" spans="1:28" ht="15.75" customHeight="1" thickBot="1" x14ac:dyDescent="0.35">
      <c r="A19" s="32">
        <v>3</v>
      </c>
      <c r="B19" s="43" t="s">
        <v>453</v>
      </c>
      <c r="C19" s="43"/>
      <c r="D19" s="44" t="s">
        <v>156</v>
      </c>
      <c r="E19" s="44" t="s">
        <v>157</v>
      </c>
      <c r="F19" s="45"/>
      <c r="G19" s="46"/>
      <c r="I19" s="43" t="str">
        <f t="shared" si="3"/>
        <v>5th July 2026</v>
      </c>
      <c r="J19" s="47"/>
      <c r="K19" s="44" t="s">
        <v>454</v>
      </c>
      <c r="L19" s="44" t="s">
        <v>103</v>
      </c>
      <c r="M19" s="45"/>
      <c r="N19" s="46"/>
      <c r="P19" s="43" t="str">
        <f t="shared" si="4"/>
        <v>5th July 2026</v>
      </c>
      <c r="Q19" s="47"/>
      <c r="R19" s="44" t="s">
        <v>490</v>
      </c>
      <c r="S19" s="44" t="s">
        <v>106</v>
      </c>
      <c r="T19" s="45"/>
      <c r="U19" s="46"/>
      <c r="W19" s="43" t="str">
        <f t="shared" si="2"/>
        <v>5th July 2026</v>
      </c>
      <c r="X19" s="47"/>
      <c r="Y19" s="44"/>
      <c r="Z19" s="44"/>
      <c r="AA19" s="45"/>
      <c r="AB19" s="46"/>
    </row>
    <row r="20" spans="1:28" x14ac:dyDescent="0.3">
      <c r="B20" s="32"/>
    </row>
    <row r="21" spans="1:28" x14ac:dyDescent="0.3">
      <c r="B21" s="32"/>
      <c r="C21" s="32"/>
      <c r="D21" s="32"/>
      <c r="E21" s="32"/>
      <c r="F21" s="32"/>
      <c r="G21" s="32"/>
      <c r="H21" s="32"/>
      <c r="I21" s="32"/>
      <c r="J21" s="32"/>
      <c r="K21" s="32"/>
      <c r="L21" s="32"/>
      <c r="M21" s="32"/>
      <c r="N21" s="32"/>
      <c r="O21" s="32"/>
      <c r="P21" s="32"/>
      <c r="Q21" s="32"/>
      <c r="R21" s="32"/>
      <c r="S21" s="32"/>
      <c r="T21" s="32"/>
      <c r="U21" s="32"/>
      <c r="V21" s="32"/>
      <c r="W21" s="32"/>
    </row>
    <row r="22" spans="1:28" x14ac:dyDescent="0.3">
      <c r="B22" s="32"/>
      <c r="C22" s="32"/>
      <c r="D22" s="32"/>
      <c r="E22" s="32"/>
      <c r="F22" s="32"/>
      <c r="G22" s="32"/>
      <c r="H22" s="32"/>
      <c r="I22" s="32"/>
      <c r="J22" s="32"/>
      <c r="K22" s="32"/>
      <c r="L22" s="32"/>
      <c r="M22" s="32"/>
      <c r="N22" s="32"/>
      <c r="O22" s="32"/>
      <c r="P22" s="32"/>
      <c r="Q22" s="32"/>
      <c r="R22" s="32"/>
      <c r="S22" s="32"/>
      <c r="T22" s="32"/>
      <c r="U22" s="32"/>
      <c r="V22" s="32"/>
      <c r="W22" s="32"/>
    </row>
    <row r="23" spans="1:28" x14ac:dyDescent="0.3">
      <c r="C23" s="32"/>
      <c r="D23" s="32"/>
      <c r="E23" s="32"/>
      <c r="F23" s="32"/>
      <c r="G23" s="32"/>
      <c r="J23" s="32"/>
      <c r="K23" s="32"/>
      <c r="L23" s="32"/>
      <c r="M23" s="32"/>
      <c r="N23" s="32"/>
    </row>
    <row r="24" spans="1:28" x14ac:dyDescent="0.3">
      <c r="C24" s="32"/>
      <c r="D24" s="32"/>
      <c r="E24" s="32"/>
      <c r="F24" s="32"/>
      <c r="G24" s="32"/>
    </row>
  </sheetData>
  <sheetProtection sheet="1" objects="1" scenarios="1"/>
  <sortState xmlns:xlrd2="http://schemas.microsoft.com/office/spreadsheetml/2017/richdata2" ref="Q6:U13">
    <sortCondition ref="R6:R13"/>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B0E620-CF02-4868-8EE9-D91AF2C3D780}">
  <sheetPr codeName="Sheet3">
    <pageSetUpPr fitToPage="1"/>
  </sheetPr>
  <dimension ref="A1:W188"/>
  <sheetViews>
    <sheetView zoomScale="85" zoomScaleNormal="85" workbookViewId="0">
      <selection activeCell="F19" sqref="F19"/>
    </sheetView>
  </sheetViews>
  <sheetFormatPr defaultRowHeight="14.4" x14ac:dyDescent="0.3"/>
  <cols>
    <col min="1" max="1" width="5.33203125" customWidth="1"/>
    <col min="2" max="2" width="6.88671875" customWidth="1"/>
    <col min="3" max="4" width="7.109375" customWidth="1"/>
    <col min="5" max="5" width="21.6640625" style="118" customWidth="1"/>
    <col min="6" max="6" width="13.6640625" style="118" customWidth="1"/>
    <col min="7" max="7" width="10.109375" style="32" customWidth="1"/>
    <col min="8" max="8" width="2.88671875" style="32" customWidth="1"/>
    <col min="9" max="10" width="9" customWidth="1"/>
    <col min="11" max="11" width="21.33203125" customWidth="1"/>
    <col min="12" max="12" width="13.6640625" customWidth="1"/>
    <col min="13" max="13" width="13.6640625" bestFit="1" customWidth="1"/>
    <col min="14" max="16" width="4.109375" customWidth="1"/>
    <col min="17" max="18" width="9.6640625" style="32" customWidth="1"/>
    <col min="19" max="19" width="25.33203125" style="118" bestFit="1" customWidth="1"/>
    <col min="20" max="20" width="4.88671875" customWidth="1"/>
    <col min="21" max="21" width="9.6640625" style="32" customWidth="1"/>
    <col min="22" max="22" width="9.6640625" customWidth="1"/>
    <col min="23" max="23" width="25.6640625" style="118" customWidth="1"/>
    <col min="28" max="28" width="12.88671875" customWidth="1"/>
  </cols>
  <sheetData>
    <row r="1" spans="1:23" ht="21" x14ac:dyDescent="0.4">
      <c r="F1" s="119" t="s">
        <v>163</v>
      </c>
      <c r="T1" s="120" t="s">
        <v>164</v>
      </c>
    </row>
    <row r="2" spans="1:23" ht="15.6" x14ac:dyDescent="0.3">
      <c r="G2" s="121" t="str">
        <f>"Revised for "&amp;'Event Details'!E7</f>
        <v>Revised for 2026</v>
      </c>
      <c r="H2" s="121"/>
      <c r="T2" s="122" t="str">
        <f>"Revised for "&amp;'Event Details'!E7</f>
        <v>Revised for 2026</v>
      </c>
    </row>
    <row r="3" spans="1:23" ht="15" thickBot="1" x14ac:dyDescent="0.35"/>
    <row r="4" spans="1:23" x14ac:dyDescent="0.3">
      <c r="C4" s="123" t="s">
        <v>165</v>
      </c>
      <c r="D4" s="124"/>
      <c r="E4" s="125"/>
      <c r="F4" s="126"/>
      <c r="G4" s="127" t="s">
        <v>166</v>
      </c>
      <c r="I4" s="123" t="s">
        <v>165</v>
      </c>
      <c r="J4" s="124"/>
      <c r="K4" s="128"/>
      <c r="L4" s="125"/>
      <c r="M4" s="129"/>
      <c r="Q4" s="123" t="s">
        <v>165</v>
      </c>
      <c r="R4" s="124"/>
      <c r="S4" s="130"/>
      <c r="T4" s="48"/>
      <c r="U4" s="123" t="s">
        <v>165</v>
      </c>
      <c r="V4" s="124"/>
      <c r="W4" s="130"/>
    </row>
    <row r="5" spans="1:23" ht="28.2" thickBot="1" x14ac:dyDescent="0.35">
      <c r="C5" s="131" t="s">
        <v>167</v>
      </c>
      <c r="D5" s="132" t="s">
        <v>168</v>
      </c>
      <c r="E5" s="133" t="s">
        <v>165</v>
      </c>
      <c r="F5" s="133" t="s">
        <v>169</v>
      </c>
      <c r="G5" s="134" t="s">
        <v>170</v>
      </c>
      <c r="I5" s="131" t="s">
        <v>167</v>
      </c>
      <c r="J5" s="132" t="s">
        <v>168</v>
      </c>
      <c r="K5" s="135" t="s">
        <v>165</v>
      </c>
      <c r="L5" s="133" t="s">
        <v>169</v>
      </c>
      <c r="M5" s="136" t="s">
        <v>171</v>
      </c>
      <c r="Q5" s="131" t="s">
        <v>167</v>
      </c>
      <c r="R5" s="133" t="s">
        <v>168</v>
      </c>
      <c r="S5" s="136" t="s">
        <v>165</v>
      </c>
      <c r="U5" s="131" t="s">
        <v>167</v>
      </c>
      <c r="V5" s="133" t="s">
        <v>168</v>
      </c>
      <c r="W5" s="136" t="s">
        <v>165</v>
      </c>
    </row>
    <row r="6" spans="1:23" ht="15" thickBot="1" x14ac:dyDescent="0.35">
      <c r="C6" s="4"/>
      <c r="D6" s="48"/>
      <c r="E6" s="137"/>
      <c r="F6" s="137"/>
      <c r="G6" s="138"/>
      <c r="I6" s="4"/>
      <c r="J6" s="48"/>
      <c r="K6" s="48"/>
      <c r="L6" s="48"/>
      <c r="M6" s="50"/>
      <c r="Q6" s="16"/>
      <c r="W6" s="139"/>
    </row>
    <row r="7" spans="1:23" ht="16.2" thickBot="1" x14ac:dyDescent="0.35">
      <c r="A7" s="140"/>
      <c r="B7" s="140"/>
      <c r="C7" s="141" t="s">
        <v>172</v>
      </c>
      <c r="D7" s="142"/>
      <c r="E7" s="143"/>
      <c r="F7" s="143"/>
      <c r="G7" s="144"/>
      <c r="I7" s="141" t="s">
        <v>173</v>
      </c>
      <c r="J7" s="142"/>
      <c r="K7" s="140"/>
      <c r="L7" s="140"/>
      <c r="M7" s="145"/>
      <c r="N7" s="140"/>
      <c r="O7" s="140"/>
      <c r="P7" s="140"/>
      <c r="Q7" s="16"/>
      <c r="W7" s="139"/>
    </row>
    <row r="8" spans="1:23" ht="16.2" thickBot="1" x14ac:dyDescent="0.35">
      <c r="C8" s="51"/>
      <c r="G8" s="146"/>
      <c r="I8" s="51"/>
      <c r="M8" s="53"/>
      <c r="Q8" s="147"/>
      <c r="R8" s="148"/>
      <c r="S8" s="143"/>
      <c r="T8" s="140"/>
      <c r="U8" s="148"/>
      <c r="V8" s="140"/>
      <c r="W8" s="149"/>
    </row>
    <row r="9" spans="1:23" x14ac:dyDescent="0.3">
      <c r="C9" s="1282">
        <v>2</v>
      </c>
      <c r="D9" s="1283">
        <v>11</v>
      </c>
      <c r="E9" s="1284" t="s">
        <v>174</v>
      </c>
      <c r="F9" s="1284" t="s">
        <v>455</v>
      </c>
      <c r="G9" s="1286" t="s">
        <v>148</v>
      </c>
      <c r="H9" s="154"/>
      <c r="I9" s="150">
        <v>1</v>
      </c>
      <c r="J9" s="151">
        <v>11.3</v>
      </c>
      <c r="K9" s="152" t="s">
        <v>175</v>
      </c>
      <c r="L9" s="152" t="s">
        <v>459</v>
      </c>
      <c r="M9" s="155" t="s">
        <v>148</v>
      </c>
      <c r="Q9" s="156"/>
      <c r="R9" s="157"/>
      <c r="S9" s="158" t="s">
        <v>465</v>
      </c>
      <c r="T9" s="159"/>
      <c r="U9" s="157"/>
      <c r="V9" s="159"/>
      <c r="W9" s="160" t="s">
        <v>466</v>
      </c>
    </row>
    <row r="10" spans="1:23" x14ac:dyDescent="0.3">
      <c r="C10" s="150">
        <v>3</v>
      </c>
      <c r="D10" s="151">
        <v>11.1</v>
      </c>
      <c r="E10" s="152" t="s">
        <v>174</v>
      </c>
      <c r="F10" s="152" t="s">
        <v>456</v>
      </c>
      <c r="G10" s="153" t="s">
        <v>148</v>
      </c>
      <c r="H10" s="154"/>
      <c r="I10" s="150">
        <v>5</v>
      </c>
      <c r="J10" s="151">
        <v>11.45</v>
      </c>
      <c r="K10" s="152" t="s">
        <v>176</v>
      </c>
      <c r="L10" s="152" t="s">
        <v>466</v>
      </c>
      <c r="M10" s="155" t="s">
        <v>148</v>
      </c>
      <c r="Q10" s="921">
        <v>6</v>
      </c>
      <c r="R10" s="161">
        <f t="shared" ref="R10:R16" si="0">IF($Q10&gt;0,VLOOKUP($Q10,EventsOrder,2,FALSE)," ")</f>
        <v>11.45</v>
      </c>
      <c r="S10" s="162" t="str">
        <f t="shared" ref="S10:S16" si="1">IF($Q10&gt;0,VLOOKUP($Q10,EventsOrder,6,FALSE)," ")</f>
        <v xml:space="preserve">Howler </v>
      </c>
      <c r="T10" s="159"/>
      <c r="U10" s="922">
        <v>5</v>
      </c>
      <c r="V10" s="161">
        <f t="shared" ref="V10:V16" si="2">IF($U10&gt;0,VLOOKUP($U10,EventsOrder,2,FALSE)," ")</f>
        <v>11.45</v>
      </c>
      <c r="W10" s="163" t="str">
        <f t="shared" ref="W10:W16" si="3">IF($U10&gt;0,VLOOKUP($U10,EventsOrder,6,FALSE)," ")</f>
        <v xml:space="preserve">Howler </v>
      </c>
    </row>
    <row r="11" spans="1:23" ht="15" thickBot="1" x14ac:dyDescent="0.35">
      <c r="C11" s="181">
        <v>4</v>
      </c>
      <c r="D11" s="182">
        <v>11.2</v>
      </c>
      <c r="E11" s="183" t="s">
        <v>458</v>
      </c>
      <c r="F11" s="183" t="s">
        <v>457</v>
      </c>
      <c r="G11" s="184" t="s">
        <v>148</v>
      </c>
      <c r="H11" s="154"/>
      <c r="I11" s="171">
        <v>6</v>
      </c>
      <c r="J11" s="172">
        <v>11.45</v>
      </c>
      <c r="K11" s="173" t="s">
        <v>176</v>
      </c>
      <c r="L11" s="173" t="s">
        <v>465</v>
      </c>
      <c r="M11" s="1296" t="s">
        <v>148</v>
      </c>
      <c r="Q11" s="921">
        <v>32</v>
      </c>
      <c r="R11" s="161">
        <f t="shared" si="0"/>
        <v>1.5</v>
      </c>
      <c r="S11" s="162" t="str">
        <f t="shared" si="1"/>
        <v xml:space="preserve">600m </v>
      </c>
      <c r="T11" s="159"/>
      <c r="U11" s="922">
        <v>16</v>
      </c>
      <c r="V11" s="161">
        <f t="shared" si="2"/>
        <v>12.3</v>
      </c>
      <c r="W11" s="163" t="str">
        <f t="shared" si="3"/>
        <v>Long Jump Pit 1</v>
      </c>
    </row>
    <row r="12" spans="1:23" x14ac:dyDescent="0.3">
      <c r="C12" s="178">
        <v>8</v>
      </c>
      <c r="D12" s="179">
        <v>11.3</v>
      </c>
      <c r="E12" s="180" t="s">
        <v>182</v>
      </c>
      <c r="F12" s="180" t="s">
        <v>455</v>
      </c>
      <c r="G12" s="1285" t="s">
        <v>148</v>
      </c>
      <c r="H12" s="154"/>
      <c r="I12" s="1282">
        <v>7</v>
      </c>
      <c r="J12" s="1283">
        <v>12</v>
      </c>
      <c r="K12" s="1284" t="s">
        <v>178</v>
      </c>
      <c r="L12" s="1284" t="s">
        <v>460</v>
      </c>
      <c r="M12" s="1298" t="s">
        <v>179</v>
      </c>
      <c r="Q12" s="921">
        <v>40</v>
      </c>
      <c r="R12" s="161">
        <f t="shared" si="0"/>
        <v>2.1</v>
      </c>
      <c r="S12" s="162" t="str">
        <f t="shared" si="1"/>
        <v>Long Jump Pit 2</v>
      </c>
      <c r="T12" s="159"/>
      <c r="U12" s="922">
        <v>34</v>
      </c>
      <c r="V12" s="161">
        <f t="shared" si="2"/>
        <v>2</v>
      </c>
      <c r="W12" s="163" t="str">
        <f t="shared" si="3"/>
        <v xml:space="preserve">600m </v>
      </c>
    </row>
    <row r="13" spans="1:23" x14ac:dyDescent="0.3">
      <c r="C13" s="150">
        <v>9</v>
      </c>
      <c r="D13" s="151">
        <v>11.4</v>
      </c>
      <c r="E13" s="152" t="s">
        <v>181</v>
      </c>
      <c r="F13" s="152" t="s">
        <v>459</v>
      </c>
      <c r="G13" s="153" t="s">
        <v>148</v>
      </c>
      <c r="H13" s="154"/>
      <c r="I13" s="150">
        <v>11</v>
      </c>
      <c r="J13" s="151">
        <v>12.15</v>
      </c>
      <c r="K13" s="152" t="s">
        <v>472</v>
      </c>
      <c r="L13" s="152" t="s">
        <v>461</v>
      </c>
      <c r="M13" s="155" t="s">
        <v>148</v>
      </c>
      <c r="Q13" s="921">
        <v>50</v>
      </c>
      <c r="R13" s="161">
        <f t="shared" si="0"/>
        <v>3</v>
      </c>
      <c r="S13" s="162" t="str">
        <f t="shared" si="1"/>
        <v xml:space="preserve">75m </v>
      </c>
      <c r="T13" s="159"/>
      <c r="U13" s="922">
        <v>53</v>
      </c>
      <c r="V13" s="161">
        <f t="shared" si="2"/>
        <v>2.5499999999999998</v>
      </c>
      <c r="W13" s="163" t="str">
        <f t="shared" si="3"/>
        <v xml:space="preserve">75m </v>
      </c>
    </row>
    <row r="14" spans="1:23" x14ac:dyDescent="0.3">
      <c r="C14" s="150">
        <v>10</v>
      </c>
      <c r="D14" s="151">
        <v>11.5</v>
      </c>
      <c r="E14" s="152" t="s">
        <v>188</v>
      </c>
      <c r="F14" s="152" t="s">
        <v>456</v>
      </c>
      <c r="G14" s="153" t="s">
        <v>148</v>
      </c>
      <c r="H14" s="154"/>
      <c r="I14" s="150">
        <v>12</v>
      </c>
      <c r="J14" s="151">
        <v>12.15</v>
      </c>
      <c r="K14" s="152" t="s">
        <v>183</v>
      </c>
      <c r="L14" s="152" t="s">
        <v>456</v>
      </c>
      <c r="M14" s="1295" t="s">
        <v>185</v>
      </c>
      <c r="Q14" s="921">
        <v>51</v>
      </c>
      <c r="R14" s="161">
        <f t="shared" si="0"/>
        <v>3.4</v>
      </c>
      <c r="S14" s="162" t="str">
        <f t="shared" si="1"/>
        <v xml:space="preserve">150m </v>
      </c>
      <c r="T14" s="159"/>
      <c r="U14" s="922">
        <v>54</v>
      </c>
      <c r="V14" s="161">
        <f t="shared" si="2"/>
        <v>3.45</v>
      </c>
      <c r="W14" s="163" t="str">
        <f t="shared" si="3"/>
        <v xml:space="preserve">150m </v>
      </c>
    </row>
    <row r="15" spans="1:23" x14ac:dyDescent="0.3">
      <c r="C15" s="150">
        <v>14</v>
      </c>
      <c r="D15" s="151">
        <v>12</v>
      </c>
      <c r="E15" s="152" t="s">
        <v>188</v>
      </c>
      <c r="F15" s="152" t="s">
        <v>459</v>
      </c>
      <c r="G15" s="153" t="s">
        <v>148</v>
      </c>
      <c r="H15" s="154"/>
      <c r="I15" s="150">
        <v>13</v>
      </c>
      <c r="J15" s="151">
        <v>12.15</v>
      </c>
      <c r="K15" s="152" t="s">
        <v>474</v>
      </c>
      <c r="L15" s="152" t="s">
        <v>457</v>
      </c>
      <c r="M15" s="1295" t="s">
        <v>184</v>
      </c>
      <c r="Q15" s="921">
        <v>81</v>
      </c>
      <c r="R15" s="161">
        <f t="shared" si="0"/>
        <v>4.4000000000000004</v>
      </c>
      <c r="S15" s="162" t="str">
        <f t="shared" si="1"/>
        <v xml:space="preserve">4 x 100m  </v>
      </c>
      <c r="T15" s="159"/>
      <c r="U15" s="922">
        <v>80</v>
      </c>
      <c r="V15" s="161">
        <f t="shared" si="2"/>
        <v>4.45</v>
      </c>
      <c r="W15" s="163" t="str">
        <f t="shared" si="3"/>
        <v xml:space="preserve">4 x 100m  </v>
      </c>
    </row>
    <row r="16" spans="1:23" x14ac:dyDescent="0.3">
      <c r="C16" s="150">
        <v>15</v>
      </c>
      <c r="D16" s="151">
        <v>12.1</v>
      </c>
      <c r="E16" s="152" t="s">
        <v>181</v>
      </c>
      <c r="F16" s="152" t="s">
        <v>460</v>
      </c>
      <c r="G16" s="153" t="s">
        <v>148</v>
      </c>
      <c r="H16" s="154"/>
      <c r="I16" s="150">
        <v>16</v>
      </c>
      <c r="J16" s="151">
        <v>12.3</v>
      </c>
      <c r="K16" s="152" t="s">
        <v>178</v>
      </c>
      <c r="L16" s="152" t="s">
        <v>466</v>
      </c>
      <c r="M16" s="164" t="s">
        <v>187</v>
      </c>
      <c r="Q16" s="921"/>
      <c r="R16" s="161" t="str">
        <f t="shared" si="0"/>
        <v xml:space="preserve"> </v>
      </c>
      <c r="S16" s="162" t="str">
        <f t="shared" si="1"/>
        <v xml:space="preserve"> </v>
      </c>
      <c r="T16" s="159"/>
      <c r="U16" s="922"/>
      <c r="V16" s="161" t="str">
        <f t="shared" si="2"/>
        <v xml:space="preserve"> </v>
      </c>
      <c r="W16" s="163" t="str">
        <f t="shared" si="3"/>
        <v xml:space="preserve"> </v>
      </c>
    </row>
    <row r="17" spans="3:23" ht="15" thickBot="1" x14ac:dyDescent="0.35">
      <c r="C17" s="150">
        <v>18</v>
      </c>
      <c r="D17" s="151">
        <v>12.2</v>
      </c>
      <c r="E17" s="152" t="s">
        <v>462</v>
      </c>
      <c r="F17" s="152" t="s">
        <v>461</v>
      </c>
      <c r="G17" s="153" t="s">
        <v>148</v>
      </c>
      <c r="H17" s="154"/>
      <c r="I17" s="181">
        <v>17</v>
      </c>
      <c r="J17" s="182">
        <v>12.3</v>
      </c>
      <c r="K17" s="183" t="s">
        <v>175</v>
      </c>
      <c r="L17" s="183" t="s">
        <v>456</v>
      </c>
      <c r="M17" s="187" t="s">
        <v>148</v>
      </c>
      <c r="Q17" s="150"/>
      <c r="R17" s="161"/>
      <c r="S17" s="165"/>
      <c r="T17" s="159"/>
      <c r="U17" s="166"/>
      <c r="V17" s="161"/>
      <c r="W17" s="167"/>
    </row>
    <row r="18" spans="3:23" x14ac:dyDescent="0.3">
      <c r="C18" s="150">
        <v>19</v>
      </c>
      <c r="D18" s="151">
        <v>12.3</v>
      </c>
      <c r="E18" s="152" t="s">
        <v>510</v>
      </c>
      <c r="F18" s="152" t="s">
        <v>457</v>
      </c>
      <c r="G18" s="153" t="s">
        <v>148</v>
      </c>
      <c r="H18" s="154"/>
      <c r="I18" s="178">
        <v>21</v>
      </c>
      <c r="J18" s="179">
        <v>1</v>
      </c>
      <c r="K18" s="180" t="s">
        <v>178</v>
      </c>
      <c r="L18" s="180" t="s">
        <v>456</v>
      </c>
      <c r="M18" s="1297" t="s">
        <v>179</v>
      </c>
      <c r="Q18" s="150"/>
      <c r="R18" s="161"/>
      <c r="S18" s="158" t="s">
        <v>455</v>
      </c>
      <c r="T18" s="159"/>
      <c r="U18" s="166"/>
      <c r="V18" s="161"/>
      <c r="W18" s="160" t="s">
        <v>459</v>
      </c>
    </row>
    <row r="19" spans="3:23" x14ac:dyDescent="0.3">
      <c r="C19" s="150">
        <v>25</v>
      </c>
      <c r="D19" s="151">
        <v>12.4</v>
      </c>
      <c r="E19" s="152" t="s">
        <v>181</v>
      </c>
      <c r="F19" s="152" t="s">
        <v>455</v>
      </c>
      <c r="G19" s="153" t="s">
        <v>148</v>
      </c>
      <c r="H19" s="154"/>
      <c r="I19" s="150">
        <v>22</v>
      </c>
      <c r="J19" s="151">
        <v>1</v>
      </c>
      <c r="K19" s="152" t="s">
        <v>189</v>
      </c>
      <c r="L19" s="152" t="s">
        <v>460</v>
      </c>
      <c r="M19" s="155" t="s">
        <v>148</v>
      </c>
      <c r="Q19" s="921">
        <v>2</v>
      </c>
      <c r="R19" s="161">
        <f t="shared" ref="R19:R29" si="4">IF($Q19&gt;0,VLOOKUP($Q19,EventsOrder,2,FALSE)," ")</f>
        <v>11</v>
      </c>
      <c r="S19" s="162" t="str">
        <f t="shared" ref="S19:S29" si="5">IF($Q19&gt;0,VLOOKUP($Q19,EventsOrder,6,FALSE)," ")</f>
        <v xml:space="preserve">1500m </v>
      </c>
      <c r="T19" s="159"/>
      <c r="U19" s="922">
        <v>1</v>
      </c>
      <c r="V19" s="161">
        <f t="shared" ref="V19:V29" si="6">IF($U19&gt;0,VLOOKUP($U19,EventsOrder,2,FALSE)," ")</f>
        <v>11.3</v>
      </c>
      <c r="W19" s="163" t="str">
        <f t="shared" ref="W19:W29" si="7">IF($U19&gt;0,VLOOKUP($U19,EventsOrder,6,FALSE)," ")</f>
        <v xml:space="preserve">High Jump </v>
      </c>
    </row>
    <row r="20" spans="3:23" x14ac:dyDescent="0.3">
      <c r="C20" s="150">
        <v>20</v>
      </c>
      <c r="D20" s="151">
        <v>12.5</v>
      </c>
      <c r="E20" s="152" t="s">
        <v>224</v>
      </c>
      <c r="F20" s="152" t="s">
        <v>460</v>
      </c>
      <c r="G20" s="153" t="s">
        <v>148</v>
      </c>
      <c r="H20" s="154"/>
      <c r="I20" s="150">
        <v>23</v>
      </c>
      <c r="J20" s="151">
        <v>1</v>
      </c>
      <c r="K20" s="152" t="s">
        <v>473</v>
      </c>
      <c r="L20" s="152" t="s">
        <v>461</v>
      </c>
      <c r="M20" s="1295" t="s">
        <v>185</v>
      </c>
      <c r="Q20" s="921">
        <v>8</v>
      </c>
      <c r="R20" s="161">
        <f t="shared" si="4"/>
        <v>11.3</v>
      </c>
      <c r="S20" s="162" t="str">
        <f t="shared" si="5"/>
        <v xml:space="preserve">75m hurdles </v>
      </c>
      <c r="T20" s="159"/>
      <c r="U20" s="922">
        <v>9</v>
      </c>
      <c r="V20" s="161">
        <f t="shared" si="6"/>
        <v>11.4</v>
      </c>
      <c r="W20" s="163" t="str">
        <f t="shared" si="7"/>
        <v xml:space="preserve">800m </v>
      </c>
    </row>
    <row r="21" spans="3:23" ht="15" thickBot="1" x14ac:dyDescent="0.35">
      <c r="C21" s="150">
        <v>26</v>
      </c>
      <c r="D21" s="151">
        <v>1</v>
      </c>
      <c r="E21" s="152" t="s">
        <v>181</v>
      </c>
      <c r="F21" s="152" t="s">
        <v>456</v>
      </c>
      <c r="G21" s="153" t="s">
        <v>148</v>
      </c>
      <c r="H21" s="154"/>
      <c r="I21" s="171">
        <v>24</v>
      </c>
      <c r="J21" s="172">
        <v>1</v>
      </c>
      <c r="K21" s="173" t="s">
        <v>190</v>
      </c>
      <c r="L21" s="173" t="s">
        <v>459</v>
      </c>
      <c r="M21" s="1295" t="s">
        <v>184</v>
      </c>
      <c r="Q21" s="921">
        <v>25</v>
      </c>
      <c r="R21" s="161">
        <f t="shared" si="4"/>
        <v>12.4</v>
      </c>
      <c r="S21" s="162" t="str">
        <f t="shared" si="5"/>
        <v xml:space="preserve">800m </v>
      </c>
      <c r="T21" s="159"/>
      <c r="U21" s="922">
        <v>14</v>
      </c>
      <c r="V21" s="161">
        <f t="shared" si="6"/>
        <v>12</v>
      </c>
      <c r="W21" s="163" t="str">
        <f t="shared" si="7"/>
        <v xml:space="preserve">80m hurdles </v>
      </c>
    </row>
    <row r="22" spans="3:23" x14ac:dyDescent="0.3">
      <c r="C22" s="150">
        <v>27</v>
      </c>
      <c r="D22" s="151">
        <v>1.1000000000000001</v>
      </c>
      <c r="E22" s="152" t="s">
        <v>463</v>
      </c>
      <c r="F22" s="152" t="s">
        <v>461</v>
      </c>
      <c r="G22" s="153" t="s">
        <v>148</v>
      </c>
      <c r="H22" s="154"/>
      <c r="I22" s="1282">
        <v>29</v>
      </c>
      <c r="J22" s="1283">
        <v>1.3</v>
      </c>
      <c r="K22" s="1284" t="s">
        <v>175</v>
      </c>
      <c r="L22" s="1284" t="s">
        <v>455</v>
      </c>
      <c r="M22" s="1299" t="s">
        <v>148</v>
      </c>
      <c r="Q22" s="921">
        <v>29</v>
      </c>
      <c r="R22" s="161">
        <f t="shared" si="4"/>
        <v>1.3</v>
      </c>
      <c r="S22" s="162" t="str">
        <f t="shared" si="5"/>
        <v xml:space="preserve">High Jump </v>
      </c>
      <c r="T22" s="159"/>
      <c r="U22" s="922">
        <v>24</v>
      </c>
      <c r="V22" s="161">
        <f t="shared" si="6"/>
        <v>1</v>
      </c>
      <c r="W22" s="163" t="str">
        <f t="shared" si="7"/>
        <v>Javelin Match 1 &amp; 3</v>
      </c>
    </row>
    <row r="23" spans="3:23" x14ac:dyDescent="0.3">
      <c r="C23" s="150">
        <v>28</v>
      </c>
      <c r="D23" s="151">
        <v>1.2</v>
      </c>
      <c r="E23" s="152" t="s">
        <v>462</v>
      </c>
      <c r="F23" s="152" t="s">
        <v>457</v>
      </c>
      <c r="G23" s="153" t="s">
        <v>148</v>
      </c>
      <c r="H23" s="154"/>
      <c r="I23" s="150">
        <v>30</v>
      </c>
      <c r="J23" s="151">
        <v>1.3</v>
      </c>
      <c r="K23" s="152" t="s">
        <v>475</v>
      </c>
      <c r="L23" s="152" t="s">
        <v>461</v>
      </c>
      <c r="M23" s="164" t="s">
        <v>191</v>
      </c>
      <c r="Q23" s="921">
        <v>36</v>
      </c>
      <c r="R23" s="161">
        <f t="shared" si="4"/>
        <v>1.5</v>
      </c>
      <c r="S23" s="162" t="str">
        <f t="shared" si="5"/>
        <v>Discus Match 2</v>
      </c>
      <c r="T23" s="159"/>
      <c r="U23" s="922">
        <v>43</v>
      </c>
      <c r="V23" s="161">
        <f t="shared" si="6"/>
        <v>2.35</v>
      </c>
      <c r="W23" s="163" t="str">
        <f t="shared" si="7"/>
        <v xml:space="preserve">100m </v>
      </c>
    </row>
    <row r="24" spans="3:23" x14ac:dyDescent="0.3">
      <c r="C24" s="150">
        <v>33</v>
      </c>
      <c r="D24" s="151">
        <v>1.3</v>
      </c>
      <c r="E24" s="173" t="s">
        <v>464</v>
      </c>
      <c r="F24" s="152" t="s">
        <v>457</v>
      </c>
      <c r="G24" s="153" t="s">
        <v>148</v>
      </c>
      <c r="H24" s="154"/>
      <c r="I24" s="150">
        <v>35</v>
      </c>
      <c r="J24" s="151">
        <v>1.5</v>
      </c>
      <c r="K24" s="152" t="s">
        <v>472</v>
      </c>
      <c r="L24" s="152" t="s">
        <v>457</v>
      </c>
      <c r="M24" s="155" t="s">
        <v>148</v>
      </c>
      <c r="Q24" s="921">
        <v>39</v>
      </c>
      <c r="R24" s="161">
        <f t="shared" si="4"/>
        <v>2.2000000000000002</v>
      </c>
      <c r="S24" s="162" t="str">
        <f t="shared" si="5"/>
        <v xml:space="preserve">100m </v>
      </c>
      <c r="T24" s="159"/>
      <c r="U24" s="922">
        <v>47</v>
      </c>
      <c r="V24" s="161">
        <f t="shared" si="6"/>
        <v>2.4</v>
      </c>
      <c r="W24" s="163" t="str">
        <f t="shared" si="7"/>
        <v xml:space="preserve">Shot </v>
      </c>
    </row>
    <row r="25" spans="3:23" ht="15" thickBot="1" x14ac:dyDescent="0.35">
      <c r="C25" s="171">
        <v>31</v>
      </c>
      <c r="D25" s="172">
        <v>1.35</v>
      </c>
      <c r="E25" s="173" t="s">
        <v>464</v>
      </c>
      <c r="F25" s="173" t="s">
        <v>461</v>
      </c>
      <c r="G25" s="1281" t="s">
        <v>148</v>
      </c>
      <c r="H25" s="168"/>
      <c r="I25" s="150">
        <v>36</v>
      </c>
      <c r="J25" s="151">
        <v>1.5</v>
      </c>
      <c r="K25" s="152" t="s">
        <v>183</v>
      </c>
      <c r="L25" s="152" t="s">
        <v>455</v>
      </c>
      <c r="M25" s="1295" t="s">
        <v>185</v>
      </c>
      <c r="Q25" s="921">
        <v>52</v>
      </c>
      <c r="R25" s="161">
        <f t="shared" si="4"/>
        <v>2.5</v>
      </c>
      <c r="S25" s="162" t="str">
        <f t="shared" si="5"/>
        <v>Long Jump Pit 1</v>
      </c>
      <c r="T25" s="159"/>
      <c r="U25" s="922">
        <v>55</v>
      </c>
      <c r="V25" s="161">
        <f t="shared" si="6"/>
        <v>3.1</v>
      </c>
      <c r="W25" s="163" t="str">
        <f t="shared" si="7"/>
        <v xml:space="preserve">1500m </v>
      </c>
    </row>
    <row r="26" spans="3:23" ht="15" thickBot="1" x14ac:dyDescent="0.35">
      <c r="C26" s="1282">
        <v>63</v>
      </c>
      <c r="D26" s="1283">
        <v>1.4</v>
      </c>
      <c r="E26" s="1284" t="s">
        <v>197</v>
      </c>
      <c r="F26" s="1284" t="s">
        <v>456</v>
      </c>
      <c r="G26" s="1286" t="s">
        <v>148</v>
      </c>
      <c r="H26" s="154"/>
      <c r="I26" s="181">
        <v>37</v>
      </c>
      <c r="J26" s="182">
        <v>1.5</v>
      </c>
      <c r="K26" s="183" t="s">
        <v>190</v>
      </c>
      <c r="L26" s="183" t="s">
        <v>460</v>
      </c>
      <c r="M26" s="1295" t="s">
        <v>184</v>
      </c>
      <c r="Q26" s="921">
        <v>59</v>
      </c>
      <c r="R26" s="161">
        <f t="shared" si="4"/>
        <v>3.3</v>
      </c>
      <c r="S26" s="162" t="str">
        <f t="shared" si="5"/>
        <v xml:space="preserve">Shot </v>
      </c>
      <c r="T26" s="159"/>
      <c r="U26" s="922">
        <v>58</v>
      </c>
      <c r="V26" s="161">
        <f t="shared" si="6"/>
        <v>3.2</v>
      </c>
      <c r="W26" s="163" t="str">
        <f t="shared" si="7"/>
        <v>Long Jump Pit 2</v>
      </c>
    </row>
    <row r="27" spans="3:23" ht="15" thickBot="1" x14ac:dyDescent="0.35">
      <c r="C27" s="150">
        <v>64</v>
      </c>
      <c r="D27" s="151">
        <v>1.45</v>
      </c>
      <c r="E27" s="152" t="s">
        <v>199</v>
      </c>
      <c r="F27" s="152" t="s">
        <v>460</v>
      </c>
      <c r="G27" s="153" t="s">
        <v>148</v>
      </c>
      <c r="H27" s="168"/>
      <c r="I27" s="178">
        <v>40</v>
      </c>
      <c r="J27" s="179">
        <v>2.1</v>
      </c>
      <c r="K27" s="180" t="s">
        <v>178</v>
      </c>
      <c r="L27" s="180" t="s">
        <v>465</v>
      </c>
      <c r="M27" s="1297" t="s">
        <v>179</v>
      </c>
      <c r="Q27" s="921">
        <v>66</v>
      </c>
      <c r="R27" s="161">
        <f t="shared" si="4"/>
        <v>3.55</v>
      </c>
      <c r="S27" s="162" t="str">
        <f t="shared" si="5"/>
        <v xml:space="preserve">200m </v>
      </c>
      <c r="T27" s="159"/>
      <c r="U27" s="922">
        <v>71</v>
      </c>
      <c r="V27" s="161">
        <f t="shared" si="6"/>
        <v>4.2</v>
      </c>
      <c r="W27" s="163" t="str">
        <f t="shared" si="7"/>
        <v xml:space="preserve">200m </v>
      </c>
    </row>
    <row r="28" spans="3:23" x14ac:dyDescent="0.3">
      <c r="C28" s="1282">
        <v>32</v>
      </c>
      <c r="D28" s="1283">
        <v>1.5</v>
      </c>
      <c r="E28" s="1284" t="s">
        <v>180</v>
      </c>
      <c r="F28" s="1284" t="s">
        <v>465</v>
      </c>
      <c r="G28" s="1286" t="s">
        <v>148</v>
      </c>
      <c r="H28" s="154"/>
      <c r="I28" s="150">
        <v>45</v>
      </c>
      <c r="J28" s="151">
        <v>2.2999999999999998</v>
      </c>
      <c r="K28" s="152" t="s">
        <v>175</v>
      </c>
      <c r="L28" s="152" t="s">
        <v>460</v>
      </c>
      <c r="M28" s="155" t="s">
        <v>148</v>
      </c>
      <c r="Q28" s="921">
        <v>75</v>
      </c>
      <c r="R28" s="161">
        <f t="shared" si="4"/>
        <v>4.2</v>
      </c>
      <c r="S28" s="162" t="str">
        <f t="shared" si="5"/>
        <v>Javelin Match 1 &amp; 3</v>
      </c>
      <c r="T28" s="159"/>
      <c r="U28" s="922">
        <v>74</v>
      </c>
      <c r="V28" s="161">
        <f t="shared" si="6"/>
        <v>4.2</v>
      </c>
      <c r="W28" s="163" t="str">
        <f t="shared" si="7"/>
        <v>Discus Match 2</v>
      </c>
    </row>
    <row r="29" spans="3:23" x14ac:dyDescent="0.3">
      <c r="C29" s="150">
        <v>34</v>
      </c>
      <c r="D29" s="151">
        <v>2</v>
      </c>
      <c r="E29" s="152" t="s">
        <v>180</v>
      </c>
      <c r="F29" s="152" t="s">
        <v>466</v>
      </c>
      <c r="G29" s="153" t="s">
        <v>148</v>
      </c>
      <c r="H29" s="154"/>
      <c r="I29" s="150">
        <v>79</v>
      </c>
      <c r="J29" s="924" t="s">
        <v>148</v>
      </c>
      <c r="K29" s="924" t="s">
        <v>148</v>
      </c>
      <c r="L29" s="924" t="s">
        <v>148</v>
      </c>
      <c r="M29" s="155" t="s">
        <v>148</v>
      </c>
      <c r="Q29" s="921">
        <v>82</v>
      </c>
      <c r="R29" s="161">
        <f t="shared" si="4"/>
        <v>4.5</v>
      </c>
      <c r="S29" s="162" t="str">
        <f t="shared" si="5"/>
        <v xml:space="preserve">4 x 100m </v>
      </c>
      <c r="T29" s="159"/>
      <c r="U29" s="922">
        <v>85</v>
      </c>
      <c r="V29" s="161">
        <f t="shared" si="6"/>
        <v>5.05</v>
      </c>
      <c r="W29" s="163" t="str">
        <f t="shared" si="7"/>
        <v xml:space="preserve">4 x 100m </v>
      </c>
    </row>
    <row r="30" spans="3:23" x14ac:dyDescent="0.3">
      <c r="C30" s="169">
        <v>77</v>
      </c>
      <c r="D30" s="1290" t="s">
        <v>148</v>
      </c>
      <c r="E30" s="1291" t="s">
        <v>467</v>
      </c>
      <c r="F30" s="1290" t="s">
        <v>148</v>
      </c>
      <c r="G30" s="1292" t="s">
        <v>148</v>
      </c>
      <c r="H30" s="154"/>
      <c r="I30" s="150"/>
      <c r="J30" s="924" t="s">
        <v>148</v>
      </c>
      <c r="K30" s="924" t="s">
        <v>148</v>
      </c>
      <c r="L30" s="924" t="s">
        <v>148</v>
      </c>
      <c r="M30" s="155" t="s">
        <v>148</v>
      </c>
      <c r="Q30" s="150"/>
      <c r="R30" s="161"/>
      <c r="S30" s="165"/>
      <c r="T30" s="159"/>
      <c r="U30" s="166"/>
      <c r="V30" s="161"/>
      <c r="W30" s="167"/>
    </row>
    <row r="31" spans="3:23" ht="15" thickBot="1" x14ac:dyDescent="0.35">
      <c r="C31" s="1289">
        <v>78</v>
      </c>
      <c r="D31" s="1293" t="s">
        <v>148</v>
      </c>
      <c r="E31" s="1293" t="s">
        <v>148</v>
      </c>
      <c r="F31" s="1293" t="s">
        <v>148</v>
      </c>
      <c r="G31" s="1294" t="s">
        <v>148</v>
      </c>
      <c r="H31" s="154"/>
      <c r="I31" s="150">
        <v>47</v>
      </c>
      <c r="J31" s="151">
        <v>2.4</v>
      </c>
      <c r="K31" s="152" t="s">
        <v>189</v>
      </c>
      <c r="L31" s="152" t="s">
        <v>459</v>
      </c>
      <c r="M31" s="155" t="s">
        <v>148</v>
      </c>
      <c r="Q31" s="150"/>
      <c r="R31" s="161"/>
      <c r="S31" s="158" t="s">
        <v>456</v>
      </c>
      <c r="T31" s="159"/>
      <c r="U31" s="166"/>
      <c r="V31" s="161"/>
      <c r="W31" s="160" t="s">
        <v>460</v>
      </c>
    </row>
    <row r="32" spans="3:23" x14ac:dyDescent="0.3">
      <c r="C32" s="178">
        <v>39</v>
      </c>
      <c r="D32" s="179">
        <v>2.2000000000000002</v>
      </c>
      <c r="E32" s="180" t="s">
        <v>193</v>
      </c>
      <c r="F32" s="180" t="s">
        <v>455</v>
      </c>
      <c r="G32" s="1285" t="s">
        <v>148</v>
      </c>
      <c r="H32" s="154"/>
      <c r="I32" s="150">
        <v>48</v>
      </c>
      <c r="J32" s="151">
        <v>2.4</v>
      </c>
      <c r="K32" s="152" t="s">
        <v>473</v>
      </c>
      <c r="L32" s="152" t="s">
        <v>457</v>
      </c>
      <c r="M32" s="1295" t="s">
        <v>185</v>
      </c>
      <c r="Q32" s="921">
        <v>3</v>
      </c>
      <c r="R32" s="161">
        <f t="shared" ref="R32:R43" si="8">IF($Q32&gt;0,VLOOKUP($Q32,EventsOrder,2,FALSE)," ")</f>
        <v>11.1</v>
      </c>
      <c r="S32" s="162" t="str">
        <f t="shared" ref="S32:S43" si="9">IF($Q32&gt;0,VLOOKUP($Q32,EventsOrder,6,FALSE)," ")</f>
        <v xml:space="preserve">1500m </v>
      </c>
      <c r="T32" s="159"/>
      <c r="U32" s="922">
        <v>7</v>
      </c>
      <c r="V32" s="161">
        <f t="shared" ref="V32:V43" si="10">IF($U32&gt;0,VLOOKUP($U32,EventsOrder,2,FALSE)," ")</f>
        <v>12</v>
      </c>
      <c r="W32" s="163" t="str">
        <f t="shared" ref="W32:W43" si="11">IF($U32&gt;0,VLOOKUP($U32,EventsOrder,6,FALSE)," ")</f>
        <v>Long Jump Pit 2</v>
      </c>
    </row>
    <row r="33" spans="3:23" x14ac:dyDescent="0.3">
      <c r="C33" s="150">
        <v>41</v>
      </c>
      <c r="D33" s="151">
        <v>2.25</v>
      </c>
      <c r="E33" s="152" t="s">
        <v>193</v>
      </c>
      <c r="F33" s="152" t="s">
        <v>456</v>
      </c>
      <c r="G33" s="153" t="s">
        <v>148</v>
      </c>
      <c r="H33" s="154"/>
      <c r="I33" s="150">
        <v>49</v>
      </c>
      <c r="J33" s="151">
        <v>2.4</v>
      </c>
      <c r="K33" s="152" t="s">
        <v>190</v>
      </c>
      <c r="L33" s="152" t="s">
        <v>456</v>
      </c>
      <c r="M33" s="1295" t="s">
        <v>184</v>
      </c>
      <c r="Q33" s="921">
        <v>10</v>
      </c>
      <c r="R33" s="161">
        <f t="shared" si="8"/>
        <v>11.5</v>
      </c>
      <c r="S33" s="162" t="str">
        <f t="shared" si="9"/>
        <v xml:space="preserve">80m hurdles </v>
      </c>
      <c r="T33" s="159"/>
      <c r="U33" s="922">
        <v>15</v>
      </c>
      <c r="V33" s="161">
        <f t="shared" si="10"/>
        <v>12.1</v>
      </c>
      <c r="W33" s="163" t="str">
        <f t="shared" si="11"/>
        <v xml:space="preserve">800m </v>
      </c>
    </row>
    <row r="34" spans="3:23" ht="15" thickBot="1" x14ac:dyDescent="0.35">
      <c r="C34" s="150">
        <v>42</v>
      </c>
      <c r="D34" s="151">
        <v>2.2999999999999998</v>
      </c>
      <c r="E34" s="152" t="s">
        <v>468</v>
      </c>
      <c r="F34" s="152" t="s">
        <v>457</v>
      </c>
      <c r="G34" s="153" t="s">
        <v>148</v>
      </c>
      <c r="H34" s="154"/>
      <c r="I34" s="171">
        <v>52</v>
      </c>
      <c r="J34" s="172">
        <v>2.5</v>
      </c>
      <c r="K34" s="173" t="s">
        <v>178</v>
      </c>
      <c r="L34" s="173" t="s">
        <v>455</v>
      </c>
      <c r="M34" s="1300" t="s">
        <v>187</v>
      </c>
      <c r="Q34" s="921">
        <v>12</v>
      </c>
      <c r="R34" s="161">
        <f t="shared" si="8"/>
        <v>12.15</v>
      </c>
      <c r="S34" s="162" t="str">
        <f t="shared" si="9"/>
        <v>Discus Match 2</v>
      </c>
      <c r="T34" s="159"/>
      <c r="U34" s="922">
        <v>20</v>
      </c>
      <c r="V34" s="161">
        <f t="shared" si="10"/>
        <v>12.5</v>
      </c>
      <c r="W34" s="163" t="str">
        <f t="shared" si="11"/>
        <v xml:space="preserve">100m hurdles </v>
      </c>
    </row>
    <row r="35" spans="3:23" x14ac:dyDescent="0.3">
      <c r="C35" s="150">
        <v>43</v>
      </c>
      <c r="D35" s="151">
        <v>2.35</v>
      </c>
      <c r="E35" s="152" t="s">
        <v>193</v>
      </c>
      <c r="F35" s="152" t="s">
        <v>459</v>
      </c>
      <c r="G35" s="153" t="s">
        <v>148</v>
      </c>
      <c r="H35" s="154"/>
      <c r="I35" s="1282">
        <v>57</v>
      </c>
      <c r="J35" s="1283">
        <v>3.2</v>
      </c>
      <c r="K35" s="1284" t="s">
        <v>476</v>
      </c>
      <c r="L35" s="1284" t="s">
        <v>457</v>
      </c>
      <c r="M35" s="1299" t="s">
        <v>148</v>
      </c>
      <c r="Q35" s="921">
        <v>17</v>
      </c>
      <c r="R35" s="161">
        <f t="shared" si="8"/>
        <v>12.3</v>
      </c>
      <c r="S35" s="162" t="str">
        <f t="shared" si="9"/>
        <v xml:space="preserve">High Jump </v>
      </c>
      <c r="T35" s="159"/>
      <c r="U35" s="922">
        <v>22</v>
      </c>
      <c r="V35" s="161">
        <f t="shared" si="10"/>
        <v>1</v>
      </c>
      <c r="W35" s="163" t="str">
        <f t="shared" si="11"/>
        <v xml:space="preserve">Shot </v>
      </c>
    </row>
    <row r="36" spans="3:23" x14ac:dyDescent="0.3">
      <c r="C36" s="169">
        <v>44</v>
      </c>
      <c r="D36" s="151">
        <v>2.4</v>
      </c>
      <c r="E36" s="152" t="s">
        <v>193</v>
      </c>
      <c r="F36" s="152" t="s">
        <v>460</v>
      </c>
      <c r="G36" s="153" t="s">
        <v>148</v>
      </c>
      <c r="H36" s="154"/>
      <c r="I36" s="150">
        <v>58</v>
      </c>
      <c r="J36" s="151">
        <v>3.2</v>
      </c>
      <c r="K36" s="152" t="s">
        <v>178</v>
      </c>
      <c r="L36" s="152" t="s">
        <v>459</v>
      </c>
      <c r="M36" s="164" t="s">
        <v>179</v>
      </c>
      <c r="Q36" s="921">
        <v>21</v>
      </c>
      <c r="R36" s="161">
        <f t="shared" si="8"/>
        <v>1</v>
      </c>
      <c r="S36" s="162" t="str">
        <f t="shared" si="9"/>
        <v>Long Jump Pit 2</v>
      </c>
      <c r="T36" s="159"/>
      <c r="U36" s="922">
        <v>64</v>
      </c>
      <c r="V36" s="161">
        <f t="shared" si="10"/>
        <v>1.45</v>
      </c>
      <c r="W36" s="163" t="str">
        <f t="shared" si="11"/>
        <v xml:space="preserve">300m  </v>
      </c>
    </row>
    <row r="37" spans="3:23" ht="15" thickBot="1" x14ac:dyDescent="0.35">
      <c r="C37" s="1287">
        <v>46</v>
      </c>
      <c r="D37" s="172">
        <v>2.4500000000000002</v>
      </c>
      <c r="E37" s="173" t="s">
        <v>468</v>
      </c>
      <c r="F37" s="173" t="s">
        <v>461</v>
      </c>
      <c r="G37" s="1288" t="s">
        <v>148</v>
      </c>
      <c r="H37" s="154"/>
      <c r="I37" s="150">
        <v>59</v>
      </c>
      <c r="J37" s="151">
        <v>3.3</v>
      </c>
      <c r="K37" s="152" t="s">
        <v>189</v>
      </c>
      <c r="L37" s="152" t="s">
        <v>455</v>
      </c>
      <c r="M37" s="155" t="s">
        <v>148</v>
      </c>
      <c r="Q37" s="921">
        <v>26</v>
      </c>
      <c r="R37" s="161">
        <f t="shared" si="8"/>
        <v>1</v>
      </c>
      <c r="S37" s="162" t="str">
        <f t="shared" si="9"/>
        <v xml:space="preserve">800m </v>
      </c>
      <c r="T37" s="159"/>
      <c r="U37" s="922">
        <v>37</v>
      </c>
      <c r="V37" s="161">
        <f t="shared" si="10"/>
        <v>1.5</v>
      </c>
      <c r="W37" s="163" t="str">
        <f t="shared" si="11"/>
        <v>Javelin Match 1 &amp; 3</v>
      </c>
    </row>
    <row r="38" spans="3:23" x14ac:dyDescent="0.3">
      <c r="C38" s="1282">
        <v>50</v>
      </c>
      <c r="D38" s="1283">
        <v>3</v>
      </c>
      <c r="E38" s="1311" t="s">
        <v>186</v>
      </c>
      <c r="F38" s="1311" t="s">
        <v>465</v>
      </c>
      <c r="G38" s="1312" t="s">
        <v>148</v>
      </c>
      <c r="H38" s="154"/>
      <c r="I38" s="150">
        <v>60</v>
      </c>
      <c r="J38" s="151">
        <v>3.3</v>
      </c>
      <c r="K38" s="152" t="s">
        <v>183</v>
      </c>
      <c r="L38" s="152" t="s">
        <v>460</v>
      </c>
      <c r="M38" s="1295" t="s">
        <v>185</v>
      </c>
      <c r="Q38" s="921">
        <v>41</v>
      </c>
      <c r="R38" s="161">
        <f t="shared" si="8"/>
        <v>2.25</v>
      </c>
      <c r="S38" s="162" t="str">
        <f t="shared" si="9"/>
        <v xml:space="preserve">100m </v>
      </c>
      <c r="T38" s="159"/>
      <c r="U38" s="922">
        <v>44</v>
      </c>
      <c r="V38" s="161">
        <f t="shared" si="10"/>
        <v>2.4</v>
      </c>
      <c r="W38" s="163" t="str">
        <f t="shared" si="11"/>
        <v xml:space="preserve">100m </v>
      </c>
    </row>
    <row r="39" spans="3:23" ht="15" thickBot="1" x14ac:dyDescent="0.35">
      <c r="C39" s="150">
        <v>53</v>
      </c>
      <c r="D39" s="151">
        <v>2.5499999999999998</v>
      </c>
      <c r="E39" s="152" t="s">
        <v>186</v>
      </c>
      <c r="F39" s="152" t="s">
        <v>466</v>
      </c>
      <c r="G39" s="153" t="s">
        <v>148</v>
      </c>
      <c r="H39" s="154"/>
      <c r="I39" s="181">
        <v>61</v>
      </c>
      <c r="J39" s="182">
        <v>3.3</v>
      </c>
      <c r="K39" s="183" t="s">
        <v>474</v>
      </c>
      <c r="L39" s="183" t="s">
        <v>461</v>
      </c>
      <c r="M39" s="1295" t="s">
        <v>184</v>
      </c>
      <c r="Q39" s="921">
        <v>49</v>
      </c>
      <c r="R39" s="161">
        <f t="shared" si="8"/>
        <v>2.4</v>
      </c>
      <c r="S39" s="162" t="str">
        <f t="shared" si="9"/>
        <v>Javelin Match 1 &amp; 3</v>
      </c>
      <c r="T39" s="159"/>
      <c r="U39" s="922">
        <v>45</v>
      </c>
      <c r="V39" s="161">
        <f t="shared" si="10"/>
        <v>2.2999999999999998</v>
      </c>
      <c r="W39" s="163" t="str">
        <f t="shared" si="11"/>
        <v xml:space="preserve">High Jump </v>
      </c>
    </row>
    <row r="40" spans="3:23" x14ac:dyDescent="0.3">
      <c r="C40" s="178">
        <v>55</v>
      </c>
      <c r="D40" s="179">
        <v>3.1</v>
      </c>
      <c r="E40" s="180" t="s">
        <v>174</v>
      </c>
      <c r="F40" s="180" t="s">
        <v>459</v>
      </c>
      <c r="G40" s="1285" t="s">
        <v>148</v>
      </c>
      <c r="H40" s="154"/>
      <c r="I40" s="178">
        <v>67</v>
      </c>
      <c r="J40" s="179">
        <v>4</v>
      </c>
      <c r="K40" s="180" t="s">
        <v>475</v>
      </c>
      <c r="L40" s="180" t="s">
        <v>457</v>
      </c>
      <c r="M40" s="1297" t="s">
        <v>191</v>
      </c>
      <c r="Q40" s="921">
        <v>63</v>
      </c>
      <c r="R40" s="161">
        <f t="shared" si="8"/>
        <v>1.4</v>
      </c>
      <c r="S40" s="162" t="str">
        <f t="shared" si="9"/>
        <v xml:space="preserve">300m </v>
      </c>
      <c r="T40" s="159"/>
      <c r="U40" s="922">
        <v>56</v>
      </c>
      <c r="V40" s="161">
        <f t="shared" si="10"/>
        <v>3.2</v>
      </c>
      <c r="W40" s="163" t="str">
        <f t="shared" si="11"/>
        <v xml:space="preserve">1500m </v>
      </c>
    </row>
    <row r="41" spans="3:23" x14ac:dyDescent="0.3">
      <c r="C41" s="150">
        <v>56</v>
      </c>
      <c r="D41" s="151">
        <v>3.2</v>
      </c>
      <c r="E41" s="152" t="s">
        <v>174</v>
      </c>
      <c r="F41" s="152" t="s">
        <v>460</v>
      </c>
      <c r="G41" s="153" t="s">
        <v>148</v>
      </c>
      <c r="H41" s="170"/>
      <c r="I41" s="150">
        <v>69</v>
      </c>
      <c r="J41" s="151">
        <v>4.0999999999999996</v>
      </c>
      <c r="K41" s="152" t="s">
        <v>476</v>
      </c>
      <c r="L41" s="152" t="s">
        <v>461</v>
      </c>
      <c r="M41" s="155" t="s">
        <v>148</v>
      </c>
      <c r="Q41" s="921">
        <v>68</v>
      </c>
      <c r="R41" s="161">
        <f t="shared" si="8"/>
        <v>4.0999999999999996</v>
      </c>
      <c r="S41" s="162" t="str">
        <f t="shared" si="9"/>
        <v xml:space="preserve">200m </v>
      </c>
      <c r="T41" s="159"/>
      <c r="U41" s="922">
        <v>60</v>
      </c>
      <c r="V41" s="161">
        <f t="shared" si="10"/>
        <v>3.3</v>
      </c>
      <c r="W41" s="163" t="str">
        <f t="shared" si="11"/>
        <v>Discus Match 2</v>
      </c>
    </row>
    <row r="42" spans="3:23" x14ac:dyDescent="0.3">
      <c r="C42" s="171">
        <v>62</v>
      </c>
      <c r="D42" s="172">
        <v>3.3</v>
      </c>
      <c r="E42" s="173" t="s">
        <v>458</v>
      </c>
      <c r="F42" s="152" t="s">
        <v>461</v>
      </c>
      <c r="G42" s="1281" t="s">
        <v>148</v>
      </c>
      <c r="H42" s="154"/>
      <c r="I42" s="150">
        <v>73</v>
      </c>
      <c r="J42" s="151">
        <v>4.2</v>
      </c>
      <c r="K42" s="152" t="s">
        <v>189</v>
      </c>
      <c r="L42" s="152" t="s">
        <v>456</v>
      </c>
      <c r="M42" s="155" t="s">
        <v>148</v>
      </c>
      <c r="Q42" s="921">
        <v>73</v>
      </c>
      <c r="R42" s="161">
        <f t="shared" si="8"/>
        <v>4.2</v>
      </c>
      <c r="S42" s="162" t="str">
        <f t="shared" si="9"/>
        <v xml:space="preserve">Shot </v>
      </c>
      <c r="T42" s="159"/>
      <c r="U42" s="922">
        <v>72</v>
      </c>
      <c r="V42" s="161">
        <f t="shared" si="10"/>
        <v>4.25</v>
      </c>
      <c r="W42" s="163" t="str">
        <f t="shared" si="11"/>
        <v xml:space="preserve">200m </v>
      </c>
    </row>
    <row r="43" spans="3:23" x14ac:dyDescent="0.3">
      <c r="C43" s="150">
        <v>51</v>
      </c>
      <c r="D43" s="151">
        <v>3.4</v>
      </c>
      <c r="E43" s="152" t="s">
        <v>471</v>
      </c>
      <c r="F43" s="180" t="s">
        <v>465</v>
      </c>
      <c r="G43" s="1352" t="s">
        <v>148</v>
      </c>
      <c r="H43" s="154"/>
      <c r="I43" s="150">
        <v>74</v>
      </c>
      <c r="J43" s="151">
        <v>4.2</v>
      </c>
      <c r="K43" s="152" t="s">
        <v>183</v>
      </c>
      <c r="L43" s="152" t="s">
        <v>459</v>
      </c>
      <c r="M43" s="1295" t="s">
        <v>185</v>
      </c>
      <c r="Q43" s="921">
        <v>83</v>
      </c>
      <c r="R43" s="161">
        <f t="shared" si="8"/>
        <v>4.55</v>
      </c>
      <c r="S43" s="162" t="str">
        <f t="shared" si="9"/>
        <v xml:space="preserve">4 x 100m </v>
      </c>
      <c r="T43" s="159"/>
      <c r="U43" s="922">
        <v>86</v>
      </c>
      <c r="V43" s="161">
        <f t="shared" si="10"/>
        <v>5.0999999999999996</v>
      </c>
      <c r="W43" s="163" t="str">
        <f t="shared" si="11"/>
        <v xml:space="preserve">4 x 100m </v>
      </c>
    </row>
    <row r="44" spans="3:23" ht="15" thickBot="1" x14ac:dyDescent="0.35">
      <c r="C44" s="181">
        <v>54</v>
      </c>
      <c r="D44" s="182">
        <v>3.45</v>
      </c>
      <c r="E44" s="183" t="s">
        <v>471</v>
      </c>
      <c r="F44" s="183" t="s">
        <v>466</v>
      </c>
      <c r="G44" s="1354" t="s">
        <v>148</v>
      </c>
      <c r="H44" s="154"/>
      <c r="I44" s="171">
        <v>75</v>
      </c>
      <c r="J44" s="172">
        <v>4.2</v>
      </c>
      <c r="K44" s="173" t="s">
        <v>190</v>
      </c>
      <c r="L44" s="152" t="s">
        <v>455</v>
      </c>
      <c r="M44" s="1295" t="s">
        <v>184</v>
      </c>
      <c r="Q44" s="150"/>
      <c r="R44" s="161"/>
      <c r="S44" s="165"/>
      <c r="T44" s="159"/>
      <c r="U44" s="166"/>
      <c r="V44" s="161"/>
      <c r="W44" s="167"/>
    </row>
    <row r="45" spans="3:23" ht="15" thickBot="1" x14ac:dyDescent="0.35">
      <c r="C45" s="1348"/>
      <c r="D45" s="1349"/>
      <c r="E45" s="1350"/>
      <c r="F45" s="1350"/>
      <c r="G45" s="1351"/>
      <c r="H45" s="154"/>
      <c r="I45" s="150"/>
      <c r="J45" s="151"/>
      <c r="K45" s="152"/>
      <c r="L45" s="152"/>
      <c r="M45" s="164" t="s">
        <v>148</v>
      </c>
      <c r="Q45" s="150"/>
      <c r="R45" s="161"/>
      <c r="S45" s="158" t="s">
        <v>477</v>
      </c>
      <c r="T45" s="159"/>
      <c r="U45" s="166"/>
      <c r="V45" s="161"/>
      <c r="W45" s="160" t="s">
        <v>478</v>
      </c>
    </row>
    <row r="46" spans="3:23" ht="15" thickBot="1" x14ac:dyDescent="0.35">
      <c r="C46" s="181">
        <v>66</v>
      </c>
      <c r="D46" s="182">
        <v>3.55</v>
      </c>
      <c r="E46" s="183" t="s">
        <v>194</v>
      </c>
      <c r="F46" s="183" t="s">
        <v>455</v>
      </c>
      <c r="G46" s="184" t="s">
        <v>148</v>
      </c>
      <c r="H46" s="170"/>
      <c r="I46" s="174"/>
      <c r="J46" s="175" t="s">
        <v>198</v>
      </c>
      <c r="K46" s="176"/>
      <c r="L46" s="177"/>
      <c r="M46" s="164" t="s">
        <v>148</v>
      </c>
      <c r="Q46" s="921">
        <v>4</v>
      </c>
      <c r="R46" s="161">
        <f t="shared" ref="R46:R57" si="12">IF($Q46&gt;0,VLOOKUP($Q46,EventsOrder,2,FALSE)," ")</f>
        <v>11.2</v>
      </c>
      <c r="S46" s="162" t="str">
        <f t="shared" ref="S46:S57" si="13">IF($Q46&gt;0,VLOOKUP($Q46,EventsOrder,6,FALSE)," ")</f>
        <v xml:space="preserve">1500m (U18/U20) </v>
      </c>
      <c r="T46" s="159"/>
      <c r="U46" s="922">
        <v>11</v>
      </c>
      <c r="V46" s="161">
        <f t="shared" ref="V46:V57" si="14">IF($U46&gt;0,VLOOKUP($U46,EventsOrder,2,FALSE)," ")</f>
        <v>12.15</v>
      </c>
      <c r="W46" s="163" t="str">
        <f t="shared" ref="W46:W57" si="15">IF($U46&gt;0,VLOOKUP($U46,EventsOrder,6,FALSE)," ")</f>
        <v xml:space="preserve">Shot (U18) </v>
      </c>
    </row>
    <row r="47" spans="3:23" x14ac:dyDescent="0.3">
      <c r="C47" s="178">
        <v>68</v>
      </c>
      <c r="D47" s="179">
        <v>4.0999999999999996</v>
      </c>
      <c r="E47" s="180" t="s">
        <v>194</v>
      </c>
      <c r="F47" s="180" t="s">
        <v>456</v>
      </c>
      <c r="G47" s="1285" t="s">
        <v>148</v>
      </c>
      <c r="H47" s="154"/>
      <c r="I47" s="178">
        <v>88</v>
      </c>
      <c r="J47" s="179">
        <v>11</v>
      </c>
      <c r="K47" s="180" t="s">
        <v>174</v>
      </c>
      <c r="L47" s="152" t="s">
        <v>455</v>
      </c>
      <c r="M47" s="164" t="s">
        <v>177</v>
      </c>
      <c r="Q47" s="921">
        <v>13</v>
      </c>
      <c r="R47" s="161">
        <f t="shared" si="12"/>
        <v>12.15</v>
      </c>
      <c r="S47" s="162" t="str">
        <f t="shared" si="13"/>
        <v>Javelin (U18) Match 1 &amp; 3</v>
      </c>
      <c r="T47" s="159"/>
      <c r="U47" s="922">
        <v>18</v>
      </c>
      <c r="V47" s="161">
        <f t="shared" si="14"/>
        <v>12.2</v>
      </c>
      <c r="W47" s="163" t="str">
        <f t="shared" si="15"/>
        <v xml:space="preserve">800m (U18/U20) </v>
      </c>
    </row>
    <row r="48" spans="3:23" x14ac:dyDescent="0.3">
      <c r="C48" s="150">
        <v>70</v>
      </c>
      <c r="D48" s="151">
        <v>4.1500000000000004</v>
      </c>
      <c r="E48" s="152" t="s">
        <v>469</v>
      </c>
      <c r="F48" s="152" t="s">
        <v>457</v>
      </c>
      <c r="G48" s="153" t="s">
        <v>148</v>
      </c>
      <c r="H48" s="154"/>
      <c r="I48" s="150">
        <v>89</v>
      </c>
      <c r="J48" s="151">
        <v>11.1</v>
      </c>
      <c r="K48" s="152" t="s">
        <v>174</v>
      </c>
      <c r="L48" s="152" t="s">
        <v>456</v>
      </c>
      <c r="M48" s="164" t="s">
        <v>177</v>
      </c>
      <c r="Q48" s="921">
        <v>19</v>
      </c>
      <c r="R48" s="161">
        <f t="shared" si="12"/>
        <v>12.3</v>
      </c>
      <c r="S48" s="162" t="str">
        <f t="shared" si="13"/>
        <v xml:space="preserve">100m hurdles (U18) </v>
      </c>
      <c r="T48" s="159"/>
      <c r="U48" s="922">
        <v>23</v>
      </c>
      <c r="V48" s="161">
        <f t="shared" si="14"/>
        <v>1</v>
      </c>
      <c r="W48" s="163" t="str">
        <f t="shared" si="15"/>
        <v>Discus (U18) Match 2</v>
      </c>
    </row>
    <row r="49" spans="3:23" x14ac:dyDescent="0.3">
      <c r="C49" s="150">
        <v>71</v>
      </c>
      <c r="D49" s="151">
        <v>4.2</v>
      </c>
      <c r="E49" s="152" t="s">
        <v>194</v>
      </c>
      <c r="F49" s="152" t="s">
        <v>459</v>
      </c>
      <c r="G49" s="153" t="s">
        <v>148</v>
      </c>
      <c r="H49" s="154"/>
      <c r="I49" s="150">
        <v>90</v>
      </c>
      <c r="J49" s="151">
        <v>11.2</v>
      </c>
      <c r="K49" s="152" t="s">
        <v>458</v>
      </c>
      <c r="L49" s="152" t="s">
        <v>457</v>
      </c>
      <c r="M49" s="164" t="s">
        <v>177</v>
      </c>
      <c r="Q49" s="921">
        <v>28</v>
      </c>
      <c r="R49" s="161">
        <f t="shared" si="12"/>
        <v>1.2</v>
      </c>
      <c r="S49" s="162" t="str">
        <f t="shared" si="13"/>
        <v xml:space="preserve">800m (U18/U20) </v>
      </c>
      <c r="T49" s="159"/>
      <c r="U49" s="922">
        <v>27</v>
      </c>
      <c r="V49" s="161">
        <f t="shared" si="14"/>
        <v>1.1000000000000001</v>
      </c>
      <c r="W49" s="163" t="str">
        <f t="shared" si="15"/>
        <v xml:space="preserve">110m hurdles (U18) </v>
      </c>
    </row>
    <row r="50" spans="3:23" x14ac:dyDescent="0.3">
      <c r="C50" s="150">
        <v>72</v>
      </c>
      <c r="D50" s="151">
        <v>4.25</v>
      </c>
      <c r="E50" s="152" t="s">
        <v>194</v>
      </c>
      <c r="F50" s="152" t="s">
        <v>460</v>
      </c>
      <c r="G50" s="153" t="s">
        <v>148</v>
      </c>
      <c r="H50" s="154"/>
      <c r="I50" s="150">
        <v>91</v>
      </c>
      <c r="J50" s="151">
        <v>11.4</v>
      </c>
      <c r="K50" s="152" t="s">
        <v>181</v>
      </c>
      <c r="L50" s="152" t="s">
        <v>459</v>
      </c>
      <c r="M50" s="164" t="s">
        <v>177</v>
      </c>
      <c r="Q50" s="921">
        <v>33</v>
      </c>
      <c r="R50" s="161">
        <f t="shared" si="12"/>
        <v>1.3</v>
      </c>
      <c r="S50" s="162" t="str">
        <f t="shared" si="13"/>
        <v xml:space="preserve">400m (U18/U20) </v>
      </c>
      <c r="T50" s="159"/>
      <c r="U50" s="922">
        <v>30</v>
      </c>
      <c r="V50" s="161">
        <f t="shared" si="14"/>
        <v>1.3</v>
      </c>
      <c r="W50" s="163" t="str">
        <f t="shared" si="15"/>
        <v>Long Jump (U18/20) Pit1</v>
      </c>
    </row>
    <row r="51" spans="3:23" ht="15" thickBot="1" x14ac:dyDescent="0.35">
      <c r="C51" s="171">
        <v>76</v>
      </c>
      <c r="D51" s="172">
        <v>4.3</v>
      </c>
      <c r="E51" s="173" t="s">
        <v>469</v>
      </c>
      <c r="F51" s="173" t="s">
        <v>461</v>
      </c>
      <c r="G51" s="1281" t="s">
        <v>148</v>
      </c>
      <c r="H51" s="154"/>
      <c r="I51" s="150">
        <v>92</v>
      </c>
      <c r="J51" s="151">
        <v>12.1</v>
      </c>
      <c r="K51" s="152" t="s">
        <v>181</v>
      </c>
      <c r="L51" s="152" t="s">
        <v>460</v>
      </c>
      <c r="M51" s="164" t="s">
        <v>177</v>
      </c>
      <c r="Q51" s="921">
        <v>35</v>
      </c>
      <c r="R51" s="161">
        <f t="shared" si="12"/>
        <v>1.5</v>
      </c>
      <c r="S51" s="162" t="str">
        <f t="shared" si="13"/>
        <v xml:space="preserve">Shot (U18) </v>
      </c>
      <c r="T51" s="159"/>
      <c r="U51" s="922">
        <v>31</v>
      </c>
      <c r="V51" s="161">
        <f t="shared" si="14"/>
        <v>1.35</v>
      </c>
      <c r="W51" s="163" t="str">
        <f t="shared" si="15"/>
        <v xml:space="preserve">400m (U18/U20) </v>
      </c>
    </row>
    <row r="52" spans="3:23" x14ac:dyDescent="0.3">
      <c r="C52" s="1282">
        <v>81</v>
      </c>
      <c r="D52" s="1283">
        <v>4.4000000000000004</v>
      </c>
      <c r="E52" s="1284" t="s">
        <v>196</v>
      </c>
      <c r="F52" s="1284" t="s">
        <v>465</v>
      </c>
      <c r="G52" s="1353" t="s">
        <v>148</v>
      </c>
      <c r="H52" s="154"/>
      <c r="I52" s="150">
        <v>93</v>
      </c>
      <c r="J52" s="151">
        <v>12.2</v>
      </c>
      <c r="K52" s="152" t="s">
        <v>462</v>
      </c>
      <c r="L52" s="152" t="s">
        <v>461</v>
      </c>
      <c r="M52" s="164" t="s">
        <v>177</v>
      </c>
      <c r="Q52" s="921">
        <v>42</v>
      </c>
      <c r="R52" s="161">
        <f t="shared" si="12"/>
        <v>2.2999999999999998</v>
      </c>
      <c r="S52" s="162" t="str">
        <f t="shared" si="13"/>
        <v xml:space="preserve">100m (U18/U20) </v>
      </c>
      <c r="T52" s="159"/>
      <c r="U52" s="922">
        <v>46</v>
      </c>
      <c r="V52" s="161">
        <f t="shared" si="14"/>
        <v>2.4500000000000002</v>
      </c>
      <c r="W52" s="163" t="str">
        <f t="shared" si="15"/>
        <v xml:space="preserve">100m (U18/U20) </v>
      </c>
    </row>
    <row r="53" spans="3:23" x14ac:dyDescent="0.3">
      <c r="C53" s="178">
        <v>80</v>
      </c>
      <c r="D53" s="179">
        <v>4.45</v>
      </c>
      <c r="E53" s="180" t="s">
        <v>196</v>
      </c>
      <c r="F53" s="180" t="s">
        <v>466</v>
      </c>
      <c r="G53" s="1361" t="s">
        <v>148</v>
      </c>
      <c r="H53" s="154"/>
      <c r="I53" s="150">
        <v>94</v>
      </c>
      <c r="J53" s="151">
        <v>12.4</v>
      </c>
      <c r="K53" s="152" t="s">
        <v>181</v>
      </c>
      <c r="L53" s="152" t="s">
        <v>455</v>
      </c>
      <c r="M53" s="164" t="s">
        <v>177</v>
      </c>
      <c r="Q53" s="921">
        <v>48</v>
      </c>
      <c r="R53" s="161">
        <f t="shared" si="12"/>
        <v>2.4</v>
      </c>
      <c r="S53" s="162" t="str">
        <f t="shared" si="13"/>
        <v>Discus (U18) Match 2</v>
      </c>
      <c r="T53" s="159"/>
      <c r="U53" s="922">
        <v>61</v>
      </c>
      <c r="V53" s="161">
        <f t="shared" si="14"/>
        <v>3.3</v>
      </c>
      <c r="W53" s="163" t="str">
        <f t="shared" si="15"/>
        <v>Javelin (U18) Match 1 &amp; 3</v>
      </c>
    </row>
    <row r="54" spans="3:23" x14ac:dyDescent="0.3">
      <c r="C54" s="150">
        <v>82</v>
      </c>
      <c r="D54" s="151">
        <v>4.5</v>
      </c>
      <c r="E54" s="152" t="s">
        <v>195</v>
      </c>
      <c r="F54" s="152" t="s">
        <v>455</v>
      </c>
      <c r="G54" s="153" t="s">
        <v>148</v>
      </c>
      <c r="H54" s="154"/>
      <c r="I54" s="150">
        <v>95</v>
      </c>
      <c r="J54" s="151">
        <v>1</v>
      </c>
      <c r="K54" s="152" t="s">
        <v>181</v>
      </c>
      <c r="L54" s="152" t="s">
        <v>456</v>
      </c>
      <c r="M54" s="164" t="s">
        <v>177</v>
      </c>
      <c r="Q54" s="921">
        <v>57</v>
      </c>
      <c r="R54" s="161">
        <f t="shared" si="12"/>
        <v>3.2</v>
      </c>
      <c r="S54" s="162" t="str">
        <f t="shared" si="13"/>
        <v xml:space="preserve">High Jump (U18/U20) </v>
      </c>
      <c r="T54" s="159"/>
      <c r="U54" s="922">
        <v>62</v>
      </c>
      <c r="V54" s="161">
        <f t="shared" si="14"/>
        <v>3.3</v>
      </c>
      <c r="W54" s="163" t="str">
        <f t="shared" si="15"/>
        <v xml:space="preserve">1500m (U18/U20) </v>
      </c>
    </row>
    <row r="55" spans="3:23" x14ac:dyDescent="0.3">
      <c r="C55" s="150">
        <v>83</v>
      </c>
      <c r="D55" s="151">
        <v>4.55</v>
      </c>
      <c r="E55" s="152" t="s">
        <v>195</v>
      </c>
      <c r="F55" s="152" t="s">
        <v>456</v>
      </c>
      <c r="G55" s="153" t="s">
        <v>148</v>
      </c>
      <c r="H55" s="154"/>
      <c r="I55" s="150">
        <v>96</v>
      </c>
      <c r="J55" s="151">
        <v>1.2</v>
      </c>
      <c r="K55" s="152" t="s">
        <v>462</v>
      </c>
      <c r="L55" s="152" t="s">
        <v>457</v>
      </c>
      <c r="M55" s="164" t="s">
        <v>177</v>
      </c>
      <c r="Q55" s="921">
        <v>67</v>
      </c>
      <c r="R55" s="161">
        <f t="shared" si="12"/>
        <v>4</v>
      </c>
      <c r="S55" s="162" t="str">
        <f t="shared" si="13"/>
        <v>Long Jump (U18/20) Pit1</v>
      </c>
      <c r="T55" s="159"/>
      <c r="U55" s="922">
        <v>69</v>
      </c>
      <c r="V55" s="161">
        <f t="shared" si="14"/>
        <v>4.0999999999999996</v>
      </c>
      <c r="W55" s="163" t="str">
        <f t="shared" si="15"/>
        <v xml:space="preserve">High Jump (U18/U20) </v>
      </c>
    </row>
    <row r="56" spans="3:23" x14ac:dyDescent="0.3">
      <c r="C56" s="150">
        <v>84</v>
      </c>
      <c r="D56" s="151">
        <v>5</v>
      </c>
      <c r="E56" s="152" t="s">
        <v>470</v>
      </c>
      <c r="F56" s="152" t="s">
        <v>457</v>
      </c>
      <c r="G56" s="153" t="s">
        <v>148</v>
      </c>
      <c r="H56" s="170"/>
      <c r="I56" s="150">
        <v>97</v>
      </c>
      <c r="J56" s="151">
        <v>3.1</v>
      </c>
      <c r="K56" s="152" t="s">
        <v>174</v>
      </c>
      <c r="L56" s="152" t="s">
        <v>459</v>
      </c>
      <c r="M56" s="164" t="s">
        <v>177</v>
      </c>
      <c r="Q56" s="921">
        <v>70</v>
      </c>
      <c r="R56" s="161">
        <f t="shared" si="12"/>
        <v>4.1500000000000004</v>
      </c>
      <c r="S56" s="162" t="str">
        <f t="shared" si="13"/>
        <v xml:space="preserve">200m (U18/U20) </v>
      </c>
      <c r="T56" s="159"/>
      <c r="U56" s="922">
        <v>76</v>
      </c>
      <c r="V56" s="161">
        <f t="shared" si="14"/>
        <v>4.3</v>
      </c>
      <c r="W56" s="163" t="str">
        <f t="shared" si="15"/>
        <v xml:space="preserve">200m (U18/U20) </v>
      </c>
    </row>
    <row r="57" spans="3:23" x14ac:dyDescent="0.3">
      <c r="C57" s="150">
        <v>85</v>
      </c>
      <c r="D57" s="151">
        <v>5.05</v>
      </c>
      <c r="E57" s="152" t="s">
        <v>195</v>
      </c>
      <c r="F57" s="152" t="s">
        <v>459</v>
      </c>
      <c r="G57" s="153" t="s">
        <v>148</v>
      </c>
      <c r="H57" s="154"/>
      <c r="I57" s="150">
        <v>98</v>
      </c>
      <c r="J57" s="151">
        <v>3.2</v>
      </c>
      <c r="K57" s="152" t="s">
        <v>174</v>
      </c>
      <c r="L57" s="152" t="s">
        <v>460</v>
      </c>
      <c r="M57" s="164" t="s">
        <v>177</v>
      </c>
      <c r="Q57" s="921">
        <v>84</v>
      </c>
      <c r="R57" s="161">
        <f t="shared" si="12"/>
        <v>5</v>
      </c>
      <c r="S57" s="162" t="str">
        <f t="shared" si="13"/>
        <v xml:space="preserve">4 x 100m (U18/U20) </v>
      </c>
      <c r="T57" s="159"/>
      <c r="U57" s="922">
        <v>87</v>
      </c>
      <c r="V57" s="161">
        <f t="shared" si="14"/>
        <v>5.15</v>
      </c>
      <c r="W57" s="163" t="str">
        <f t="shared" si="15"/>
        <v xml:space="preserve">4 x 100m (U18/U20) </v>
      </c>
    </row>
    <row r="58" spans="3:23" x14ac:dyDescent="0.3">
      <c r="C58" s="150">
        <v>86</v>
      </c>
      <c r="D58" s="151">
        <v>5.0999999999999996</v>
      </c>
      <c r="E58" s="152" t="s">
        <v>195</v>
      </c>
      <c r="F58" s="152" t="s">
        <v>460</v>
      </c>
      <c r="G58" s="153" t="s">
        <v>148</v>
      </c>
      <c r="H58" s="154"/>
      <c r="I58" s="150">
        <v>99</v>
      </c>
      <c r="J58" s="151">
        <v>3.3</v>
      </c>
      <c r="K58" s="152" t="s">
        <v>458</v>
      </c>
      <c r="L58" s="152" t="s">
        <v>461</v>
      </c>
      <c r="M58" s="164" t="s">
        <v>177</v>
      </c>
      <c r="Q58" s="150"/>
      <c r="R58" s="161"/>
      <c r="S58" s="162"/>
      <c r="T58" s="159"/>
      <c r="U58" s="166"/>
      <c r="V58" s="161"/>
      <c r="W58" s="163"/>
    </row>
    <row r="59" spans="3:23" ht="15" thickBot="1" x14ac:dyDescent="0.35">
      <c r="C59" s="181">
        <v>87</v>
      </c>
      <c r="D59" s="182">
        <v>5.15</v>
      </c>
      <c r="E59" s="183" t="s">
        <v>470</v>
      </c>
      <c r="F59" s="183" t="s">
        <v>461</v>
      </c>
      <c r="G59" s="184" t="s">
        <v>148</v>
      </c>
      <c r="H59" s="154"/>
      <c r="I59" s="181"/>
      <c r="J59" s="185" t="s">
        <v>148</v>
      </c>
      <c r="K59" s="186" t="s">
        <v>148</v>
      </c>
      <c r="L59" s="186" t="s">
        <v>148</v>
      </c>
      <c r="M59" s="187" t="s">
        <v>148</v>
      </c>
      <c r="Q59" s="150"/>
      <c r="R59" s="161"/>
      <c r="S59" s="158" t="s">
        <v>198</v>
      </c>
      <c r="T59" s="159"/>
      <c r="U59" s="166"/>
      <c r="V59" s="161"/>
      <c r="W59" s="167"/>
    </row>
    <row r="60" spans="3:23" ht="15" thickBot="1" x14ac:dyDescent="0.35">
      <c r="C60" s="168"/>
      <c r="D60" s="170"/>
      <c r="E60" s="177"/>
      <c r="F60" s="177"/>
      <c r="G60" s="154"/>
      <c r="H60" s="154"/>
      <c r="I60" s="154"/>
      <c r="J60" s="154"/>
      <c r="K60" s="154"/>
      <c r="L60" s="154"/>
      <c r="M60" s="154"/>
      <c r="Q60" s="150"/>
      <c r="R60" s="161"/>
      <c r="S60" s="158" t="s">
        <v>80</v>
      </c>
      <c r="T60" s="159"/>
      <c r="U60" s="166"/>
      <c r="V60" s="161"/>
      <c r="W60" s="160" t="s">
        <v>79</v>
      </c>
    </row>
    <row r="61" spans="3:23" ht="15" thickBot="1" x14ac:dyDescent="0.35">
      <c r="D61" s="188"/>
      <c r="E61" s="202" t="s">
        <v>192</v>
      </c>
      <c r="F61" s="192"/>
      <c r="G61"/>
      <c r="H61" s="154"/>
      <c r="I61" s="188"/>
      <c r="J61" s="189"/>
      <c r="K61" s="190" t="s">
        <v>200</v>
      </c>
      <c r="L61" s="191"/>
      <c r="M61" s="192"/>
      <c r="Q61" s="921">
        <v>88</v>
      </c>
      <c r="R61" s="161">
        <f t="shared" ref="R61:R63" si="16">IF($Q61&gt;0,VLOOKUP($Q61,EventsOrder,2,FALSE)," ")</f>
        <v>11</v>
      </c>
      <c r="S61" s="162" t="str">
        <f t="shared" ref="S61:S64" si="17">IF($Q61&gt;0,VLOOKUP($Q61,EventsOrder,6,FALSE)," ")</f>
        <v>1500m U14 Female</v>
      </c>
      <c r="T61" s="159"/>
      <c r="U61" s="922">
        <v>91</v>
      </c>
      <c r="V61" s="161">
        <f t="shared" ref="V61:V63" si="18">IF($U61&gt;0,VLOOKUP($U61,EventsOrder,2,FALSE)," ")</f>
        <v>11.4</v>
      </c>
      <c r="W61" s="163" t="str">
        <f t="shared" ref="W61:W64" si="19">IF($U61&gt;0,VLOOKUP($U61,EventsOrder,6,FALSE)," ")</f>
        <v>800m U14 Male</v>
      </c>
    </row>
    <row r="62" spans="3:23" ht="15" thickBot="1" x14ac:dyDescent="0.35">
      <c r="D62" s="203"/>
      <c r="E62" s="1404" t="s">
        <v>201</v>
      </c>
      <c r="F62" s="1405"/>
      <c r="G62"/>
      <c r="H62" s="154"/>
      <c r="I62" s="193" t="s">
        <v>202</v>
      </c>
      <c r="J62" s="194"/>
      <c r="K62" s="195">
        <v>3</v>
      </c>
      <c r="L62" s="923" t="s">
        <v>203</v>
      </c>
      <c r="M62" s="196"/>
      <c r="Q62" s="921">
        <v>89</v>
      </c>
      <c r="R62" s="161">
        <f t="shared" si="16"/>
        <v>11.1</v>
      </c>
      <c r="S62" s="162" t="str">
        <f t="shared" si="17"/>
        <v>1500m U16 Female</v>
      </c>
      <c r="T62" s="159"/>
      <c r="U62" s="922">
        <v>92</v>
      </c>
      <c r="V62" s="161">
        <f t="shared" si="18"/>
        <v>12.1</v>
      </c>
      <c r="W62" s="163" t="str">
        <f t="shared" si="19"/>
        <v>800m U16 Male</v>
      </c>
    </row>
    <row r="63" spans="3:23" x14ac:dyDescent="0.3">
      <c r="D63" s="204"/>
      <c r="E63" s="205" t="s">
        <v>79</v>
      </c>
      <c r="F63" s="206" t="s">
        <v>80</v>
      </c>
      <c r="G63"/>
      <c r="H63" s="154"/>
      <c r="I63" s="197" t="s">
        <v>183</v>
      </c>
      <c r="J63" s="198"/>
      <c r="K63" s="195">
        <v>3</v>
      </c>
      <c r="L63" s="177"/>
      <c r="M63" s="196"/>
      <c r="Q63" s="921">
        <v>90</v>
      </c>
      <c r="R63" s="161">
        <f t="shared" si="16"/>
        <v>11.2</v>
      </c>
      <c r="S63" s="162" t="str">
        <f t="shared" si="17"/>
        <v>1500m (U18/U20) Female</v>
      </c>
      <c r="T63" s="159"/>
      <c r="U63" s="922">
        <v>93</v>
      </c>
      <c r="V63" s="161">
        <f t="shared" si="18"/>
        <v>12.2</v>
      </c>
      <c r="W63" s="163" t="str">
        <f t="shared" si="19"/>
        <v>800m (U18/U20) Men</v>
      </c>
    </row>
    <row r="64" spans="3:23" x14ac:dyDescent="0.3">
      <c r="D64" s="207" t="s">
        <v>492</v>
      </c>
      <c r="E64" s="177" t="s">
        <v>204</v>
      </c>
      <c r="F64" s="196" t="s">
        <v>205</v>
      </c>
      <c r="G64"/>
      <c r="H64"/>
      <c r="I64" s="197" t="s">
        <v>190</v>
      </c>
      <c r="J64" s="198"/>
      <c r="K64" s="195">
        <v>3</v>
      </c>
      <c r="L64" s="177"/>
      <c r="M64" s="196"/>
      <c r="Q64" s="921">
        <v>94</v>
      </c>
      <c r="R64" s="161">
        <v>12.4</v>
      </c>
      <c r="S64" s="162" t="str">
        <f t="shared" si="17"/>
        <v>800m U14 Female</v>
      </c>
      <c r="T64" s="159"/>
      <c r="U64" s="922">
        <v>97</v>
      </c>
      <c r="V64" s="161">
        <v>3.1</v>
      </c>
      <c r="W64" s="163" t="str">
        <f t="shared" si="19"/>
        <v>1500m U14 Male</v>
      </c>
    </row>
    <row r="65" spans="3:23" ht="15" thickBot="1" x14ac:dyDescent="0.35">
      <c r="D65" s="207" t="s">
        <v>493</v>
      </c>
      <c r="E65" s="177" t="s">
        <v>206</v>
      </c>
      <c r="F65" s="196" t="s">
        <v>204</v>
      </c>
      <c r="G65"/>
      <c r="H65" s="168"/>
      <c r="I65" s="199" t="s">
        <v>189</v>
      </c>
      <c r="J65" s="200"/>
      <c r="K65" s="201">
        <v>3</v>
      </c>
      <c r="L65" s="214"/>
      <c r="M65" s="215"/>
      <c r="Q65" s="921">
        <v>95</v>
      </c>
      <c r="R65" s="161">
        <v>1</v>
      </c>
      <c r="S65" s="162" t="str">
        <f>IF($Q65&gt;0,VLOOKUP($Q65,EventsOrder,6,FALSE)," ")</f>
        <v>800m U16 Female</v>
      </c>
      <c r="T65" s="159"/>
      <c r="U65" s="922">
        <v>98</v>
      </c>
      <c r="V65" s="161">
        <v>3.2</v>
      </c>
      <c r="W65" s="163" t="str">
        <f>IF($U65&gt;0,VLOOKUP($U65,EventsOrder,6,FALSE)," ")</f>
        <v>1500m U16 Male</v>
      </c>
    </row>
    <row r="66" spans="3:23" ht="15" thickBot="1" x14ac:dyDescent="0.35">
      <c r="D66" s="213" t="s">
        <v>494</v>
      </c>
      <c r="E66" s="214" t="s">
        <v>207</v>
      </c>
      <c r="F66" s="215" t="s">
        <v>206</v>
      </c>
      <c r="G66"/>
      <c r="H66" s="154"/>
      <c r="Q66" s="921">
        <v>96</v>
      </c>
      <c r="R66" s="161">
        <v>1.2</v>
      </c>
      <c r="S66" s="162" t="str">
        <f>IF($Q66&gt;0,VLOOKUP($Q66,EventsOrder,6,FALSE)," ")</f>
        <v>800m (U18/U20) Female</v>
      </c>
      <c r="T66" s="159"/>
      <c r="U66" s="922">
        <v>99</v>
      </c>
      <c r="V66" s="161">
        <v>3.3</v>
      </c>
      <c r="W66" s="163" t="str">
        <f>IF($U66&gt;0,VLOOKUP($U66,EventsOrder,6,FALSE)," ")</f>
        <v>1500m (U18/U20) Men</v>
      </c>
    </row>
    <row r="67" spans="3:23" ht="15" thickBot="1" x14ac:dyDescent="0.35">
      <c r="E67"/>
      <c r="F67"/>
      <c r="G67"/>
      <c r="H67" s="154"/>
      <c r="Q67" s="921"/>
      <c r="R67" s="161" t="str">
        <f>IF($Q67&gt;0,VLOOKUP($Q67,EventsOrder,2,FALSE)," ")</f>
        <v xml:space="preserve"> </v>
      </c>
      <c r="S67" s="162" t="str">
        <f>IF($Q67&gt;0,VLOOKUP($Q67,EventsOrder,6,FALSE)," ")</f>
        <v xml:space="preserve"> </v>
      </c>
      <c r="T67" s="159"/>
      <c r="U67" s="922"/>
      <c r="V67" s="161" t="str">
        <f>IF($U67&gt;0,VLOOKUP($U67,EventsOrder,2,FALSE)," ")</f>
        <v xml:space="preserve"> </v>
      </c>
      <c r="W67" s="163" t="str">
        <f>IF($Q67&gt;0,VLOOKUP($Q67,EventsOrder,6,FALSE)," ")</f>
        <v xml:space="preserve"> </v>
      </c>
    </row>
    <row r="68" spans="3:23" ht="15" thickBot="1" x14ac:dyDescent="0.35">
      <c r="E68" s="1331" t="s">
        <v>208</v>
      </c>
      <c r="F68" s="1315" t="s">
        <v>209</v>
      </c>
      <c r="G68" s="1316" t="s">
        <v>210</v>
      </c>
      <c r="H68" s="1317"/>
      <c r="I68" s="1318" t="s">
        <v>211</v>
      </c>
      <c r="J68" s="1316" t="s">
        <v>212</v>
      </c>
      <c r="K68" s="1319" t="s">
        <v>213</v>
      </c>
      <c r="Q68" s="208"/>
      <c r="R68" s="209"/>
      <c r="S68" s="210"/>
      <c r="T68" s="211"/>
      <c r="U68" s="209"/>
      <c r="V68" s="211"/>
      <c r="W68" s="212"/>
    </row>
    <row r="69" spans="3:23" x14ac:dyDescent="0.3">
      <c r="E69" s="1326" t="s">
        <v>495</v>
      </c>
      <c r="F69" s="1323" t="s">
        <v>214</v>
      </c>
      <c r="G69" s="1364" t="s">
        <v>217</v>
      </c>
      <c r="H69" s="154"/>
      <c r="I69" s="1320" t="s">
        <v>215</v>
      </c>
      <c r="J69" s="1320">
        <v>8</v>
      </c>
      <c r="K69" s="1313">
        <v>0</v>
      </c>
    </row>
    <row r="70" spans="3:23" x14ac:dyDescent="0.3">
      <c r="E70" s="1327" t="s">
        <v>496</v>
      </c>
      <c r="F70" s="1324" t="s">
        <v>216</v>
      </c>
      <c r="G70" s="1322" t="s">
        <v>218</v>
      </c>
      <c r="H70" s="154"/>
      <c r="I70" s="604" t="s">
        <v>215</v>
      </c>
      <c r="J70" s="604">
        <v>8</v>
      </c>
      <c r="K70" s="1313">
        <v>1</v>
      </c>
    </row>
    <row r="71" spans="3:23" x14ac:dyDescent="0.3">
      <c r="E71" s="1327" t="s">
        <v>497</v>
      </c>
      <c r="F71" s="1324" t="s">
        <v>216</v>
      </c>
      <c r="G71" s="1322" t="s">
        <v>218</v>
      </c>
      <c r="H71" s="154"/>
      <c r="I71" s="604" t="s">
        <v>215</v>
      </c>
      <c r="J71" s="604">
        <v>8</v>
      </c>
      <c r="K71" s="1313">
        <v>1</v>
      </c>
    </row>
    <row r="72" spans="3:23" x14ac:dyDescent="0.3">
      <c r="E72" s="1327" t="s">
        <v>500</v>
      </c>
      <c r="F72" s="1324" t="s">
        <v>216</v>
      </c>
      <c r="G72" s="1363" t="s">
        <v>220</v>
      </c>
      <c r="H72" s="154"/>
      <c r="I72" s="604" t="s">
        <v>215</v>
      </c>
      <c r="J72" s="604">
        <v>8</v>
      </c>
      <c r="K72" s="1313">
        <v>1</v>
      </c>
    </row>
    <row r="73" spans="3:23" x14ac:dyDescent="0.3">
      <c r="E73" s="1327" t="s">
        <v>498</v>
      </c>
      <c r="F73" s="1324" t="s">
        <v>499</v>
      </c>
      <c r="G73" s="1363" t="s">
        <v>220</v>
      </c>
      <c r="H73" s="154"/>
      <c r="I73" s="604" t="s">
        <v>215</v>
      </c>
      <c r="J73" s="604">
        <v>8</v>
      </c>
      <c r="K73" s="1313">
        <v>2</v>
      </c>
    </row>
    <row r="74" spans="3:23" ht="15" thickBot="1" x14ac:dyDescent="0.35">
      <c r="E74" s="1328" t="s">
        <v>501</v>
      </c>
      <c r="F74" s="1325" t="s">
        <v>219</v>
      </c>
      <c r="G74" s="1362" t="s">
        <v>511</v>
      </c>
      <c r="H74" s="116"/>
      <c r="I74" s="1321" t="s">
        <v>215</v>
      </c>
      <c r="J74" s="1321">
        <v>10</v>
      </c>
      <c r="K74" s="1314">
        <v>3</v>
      </c>
    </row>
    <row r="75" spans="3:23" ht="15" thickBot="1" x14ac:dyDescent="0.35"/>
    <row r="76" spans="3:23" ht="15" thickBot="1" x14ac:dyDescent="0.35">
      <c r="C76" s="216" t="s">
        <v>221</v>
      </c>
      <c r="D76" s="217"/>
      <c r="E76" s="218"/>
      <c r="G76" s="118"/>
      <c r="H76" s="118"/>
    </row>
    <row r="77" spans="3:23" ht="15" thickBot="1" x14ac:dyDescent="0.35">
      <c r="C77" s="32"/>
      <c r="D77" s="32"/>
      <c r="E77"/>
      <c r="G77" s="118"/>
      <c r="H77" s="118"/>
    </row>
    <row r="78" spans="3:23" x14ac:dyDescent="0.3">
      <c r="C78" s="123" t="s">
        <v>165</v>
      </c>
      <c r="D78" s="124"/>
      <c r="E78" s="128"/>
      <c r="F78" s="125"/>
      <c r="G78" s="125"/>
      <c r="H78" s="125"/>
      <c r="I78" s="125"/>
      <c r="J78" s="219"/>
    </row>
    <row r="79" spans="3:23" ht="28.2" thickBot="1" x14ac:dyDescent="0.35">
      <c r="C79" s="131" t="s">
        <v>167</v>
      </c>
      <c r="D79" s="132" t="s">
        <v>168</v>
      </c>
      <c r="E79" s="135" t="s">
        <v>165</v>
      </c>
      <c r="F79" s="133" t="s">
        <v>169</v>
      </c>
      <c r="G79" s="132" t="s">
        <v>171</v>
      </c>
      <c r="H79" s="132"/>
      <c r="I79" s="220" t="s">
        <v>165</v>
      </c>
      <c r="J79" s="134"/>
    </row>
    <row r="80" spans="3:23" x14ac:dyDescent="0.3">
      <c r="C80" s="16"/>
      <c r="D80" s="221"/>
      <c r="E80" s="222"/>
      <c r="F80" s="222"/>
      <c r="G80" s="222" t="str">
        <f>E80&amp;" "&amp;IF(J80&gt;0,J80,"")</f>
        <v xml:space="preserve"> </v>
      </c>
      <c r="H80" s="222"/>
      <c r="I80" s="222"/>
      <c r="J80" s="223"/>
    </row>
    <row r="81" spans="3:10" x14ac:dyDescent="0.3">
      <c r="C81" s="16">
        <v>0</v>
      </c>
      <c r="D81" s="221"/>
      <c r="E81" s="222"/>
      <c r="F81" s="222"/>
      <c r="G81" s="222" t="str">
        <f>E81&amp;" "&amp;IF(J81&gt;0,J81,"")</f>
        <v xml:space="preserve"> </v>
      </c>
      <c r="H81" s="222"/>
      <c r="I81" s="222"/>
      <c r="J81" s="223"/>
    </row>
    <row r="82" spans="3:10" x14ac:dyDescent="0.3">
      <c r="C82" s="16">
        <v>1</v>
      </c>
      <c r="D82" s="221">
        <f t="shared" ref="D82:D113" si="20">VLOOKUP($C82,IF(ISNA(VLOOKUP($C82,Track,1,FALSE)),Field,Track),2,FALSE)</f>
        <v>11.3</v>
      </c>
      <c r="E82" s="222" t="str">
        <f t="shared" ref="E82:E113" si="21">VLOOKUP($C82,IF(ISNA(VLOOKUP($C82,Track,1,FALSE)),Field,Track),3,FALSE)</f>
        <v>High Jump</v>
      </c>
      <c r="F82" s="222" t="str">
        <f t="shared" ref="F82:F113" si="22">VLOOKUP($C82,IF(ISNA(VLOOKUP($C82,Track,1,FALSE)),Field,Track),4,FALSE)</f>
        <v>U14 Male</v>
      </c>
      <c r="G82" s="222" t="str">
        <f t="shared" ref="G82:G113" si="23">VLOOKUP($C82,IF(ISNA(VLOOKUP($C82,Track,1,FALSE)),Field,Track),5,FALSE)</f>
        <v/>
      </c>
      <c r="H82" s="222" t="str">
        <f t="shared" ref="H82:H113" si="24">VLOOKUP($C82,IF(ISNA(VLOOKUP($C82,Track,1,FALSE)),Field,Track),3,FALSE)&amp;" "&amp;G82</f>
        <v xml:space="preserve">High Jump </v>
      </c>
      <c r="I82" s="118"/>
      <c r="J82" s="224" t="s">
        <v>204</v>
      </c>
    </row>
    <row r="83" spans="3:10" x14ac:dyDescent="0.3">
      <c r="C83" s="16">
        <v>2</v>
      </c>
      <c r="D83" s="221">
        <f t="shared" si="20"/>
        <v>11</v>
      </c>
      <c r="E83" s="222" t="str">
        <f t="shared" si="21"/>
        <v>1500m</v>
      </c>
      <c r="F83" s="222" t="str">
        <f t="shared" si="22"/>
        <v>U14 Female</v>
      </c>
      <c r="G83" s="222" t="str">
        <f t="shared" si="23"/>
        <v/>
      </c>
      <c r="H83" s="222" t="str">
        <f t="shared" si="24"/>
        <v xml:space="preserve">1500m </v>
      </c>
      <c r="I83" s="118"/>
      <c r="J83" s="224"/>
    </row>
    <row r="84" spans="3:10" x14ac:dyDescent="0.3">
      <c r="C84" s="16">
        <v>3</v>
      </c>
      <c r="D84" s="221">
        <f t="shared" si="20"/>
        <v>11.1</v>
      </c>
      <c r="E84" s="222" t="str">
        <f t="shared" si="21"/>
        <v>1500m</v>
      </c>
      <c r="F84" s="222" t="str">
        <f t="shared" si="22"/>
        <v>U16 Female</v>
      </c>
      <c r="G84" s="222" t="str">
        <f t="shared" si="23"/>
        <v/>
      </c>
      <c r="H84" s="222" t="str">
        <f t="shared" si="24"/>
        <v xml:space="preserve">1500m </v>
      </c>
      <c r="I84" s="118"/>
      <c r="J84" s="224"/>
    </row>
    <row r="85" spans="3:10" x14ac:dyDescent="0.3">
      <c r="C85" s="16">
        <v>4</v>
      </c>
      <c r="D85" s="221">
        <f t="shared" si="20"/>
        <v>11.2</v>
      </c>
      <c r="E85" s="222" t="str">
        <f t="shared" si="21"/>
        <v>1500m (U18/U20)</v>
      </c>
      <c r="F85" s="222" t="str">
        <f t="shared" si="22"/>
        <v>U18 Female</v>
      </c>
      <c r="G85" s="222" t="str">
        <f t="shared" si="23"/>
        <v/>
      </c>
      <c r="H85" s="222" t="str">
        <f t="shared" si="24"/>
        <v xml:space="preserve">1500m (U18/U20) </v>
      </c>
      <c r="I85" s="118"/>
      <c r="J85" s="224"/>
    </row>
    <row r="86" spans="3:10" x14ac:dyDescent="0.3">
      <c r="C86" s="16">
        <v>5</v>
      </c>
      <c r="D86" s="221">
        <f t="shared" si="20"/>
        <v>11.45</v>
      </c>
      <c r="E86" s="222" t="str">
        <f t="shared" si="21"/>
        <v>Howler</v>
      </c>
      <c r="F86" s="222" t="str">
        <f t="shared" si="22"/>
        <v>U12 Male</v>
      </c>
      <c r="G86" s="222" t="str">
        <f t="shared" si="23"/>
        <v/>
      </c>
      <c r="H86" s="222" t="str">
        <f t="shared" si="24"/>
        <v xml:space="preserve">Howler </v>
      </c>
      <c r="I86" s="118"/>
      <c r="J86" s="224"/>
    </row>
    <row r="87" spans="3:10" x14ac:dyDescent="0.3">
      <c r="C87" s="16">
        <v>6</v>
      </c>
      <c r="D87" s="221">
        <f t="shared" si="20"/>
        <v>11.45</v>
      </c>
      <c r="E87" s="222" t="str">
        <f t="shared" si="21"/>
        <v>Howler</v>
      </c>
      <c r="F87" s="222" t="str">
        <f t="shared" si="22"/>
        <v>U12 Female</v>
      </c>
      <c r="G87" s="222" t="str">
        <f t="shared" si="23"/>
        <v/>
      </c>
      <c r="H87" s="222" t="str">
        <f t="shared" si="24"/>
        <v xml:space="preserve">Howler </v>
      </c>
      <c r="I87" s="118"/>
      <c r="J87" s="224"/>
    </row>
    <row r="88" spans="3:10" x14ac:dyDescent="0.3">
      <c r="C88" s="16">
        <v>7</v>
      </c>
      <c r="D88" s="221">
        <f t="shared" si="20"/>
        <v>12</v>
      </c>
      <c r="E88" s="222" t="str">
        <f t="shared" si="21"/>
        <v>Long Jump</v>
      </c>
      <c r="F88" s="222" t="str">
        <f t="shared" si="22"/>
        <v>U16 Male</v>
      </c>
      <c r="G88" s="222" t="str">
        <f t="shared" si="23"/>
        <v>Pit 2</v>
      </c>
      <c r="H88" s="222" t="str">
        <f t="shared" si="24"/>
        <v>Long Jump Pit 2</v>
      </c>
      <c r="I88" s="118"/>
      <c r="J88" s="224"/>
    </row>
    <row r="89" spans="3:10" x14ac:dyDescent="0.3">
      <c r="C89" s="16">
        <v>8</v>
      </c>
      <c r="D89" s="221">
        <f t="shared" si="20"/>
        <v>11.3</v>
      </c>
      <c r="E89" s="222" t="str">
        <f t="shared" si="21"/>
        <v>75m hurdles</v>
      </c>
      <c r="F89" s="222" t="str">
        <f t="shared" si="22"/>
        <v>U14 Female</v>
      </c>
      <c r="G89" s="222" t="str">
        <f t="shared" si="23"/>
        <v/>
      </c>
      <c r="H89" s="222" t="str">
        <f t="shared" si="24"/>
        <v xml:space="preserve">75m hurdles </v>
      </c>
      <c r="I89" s="118"/>
      <c r="J89" s="224"/>
    </row>
    <row r="90" spans="3:10" x14ac:dyDescent="0.3">
      <c r="C90" s="16">
        <v>9</v>
      </c>
      <c r="D90" s="221">
        <f t="shared" si="20"/>
        <v>11.4</v>
      </c>
      <c r="E90" s="222" t="str">
        <f t="shared" si="21"/>
        <v>800m</v>
      </c>
      <c r="F90" s="222" t="str">
        <f t="shared" si="22"/>
        <v>U14 Male</v>
      </c>
      <c r="G90" s="222" t="str">
        <f t="shared" si="23"/>
        <v/>
      </c>
      <c r="H90" s="222" t="str">
        <f t="shared" si="24"/>
        <v xml:space="preserve">800m </v>
      </c>
      <c r="I90" s="118"/>
      <c r="J90" s="224"/>
    </row>
    <row r="91" spans="3:10" x14ac:dyDescent="0.3">
      <c r="C91" s="16">
        <v>10</v>
      </c>
      <c r="D91" s="221">
        <f t="shared" si="20"/>
        <v>11.5</v>
      </c>
      <c r="E91" s="222" t="str">
        <f t="shared" si="21"/>
        <v>80m hurdles</v>
      </c>
      <c r="F91" s="222" t="str">
        <f t="shared" si="22"/>
        <v>U16 Female</v>
      </c>
      <c r="G91" s="222" t="str">
        <f t="shared" si="23"/>
        <v/>
      </c>
      <c r="H91" s="222" t="str">
        <f t="shared" si="24"/>
        <v xml:space="preserve">80m hurdles </v>
      </c>
      <c r="I91" s="118"/>
      <c r="J91" s="224"/>
    </row>
    <row r="92" spans="3:10" x14ac:dyDescent="0.3">
      <c r="C92" s="16">
        <v>11</v>
      </c>
      <c r="D92" s="221">
        <f t="shared" si="20"/>
        <v>12.15</v>
      </c>
      <c r="E92" s="222" t="str">
        <f t="shared" si="21"/>
        <v>Shot (U18)</v>
      </c>
      <c r="F92" s="222" t="str">
        <f t="shared" si="22"/>
        <v>U18 Men</v>
      </c>
      <c r="G92" s="222" t="str">
        <f t="shared" si="23"/>
        <v/>
      </c>
      <c r="H92" s="222" t="str">
        <f t="shared" si="24"/>
        <v xml:space="preserve">Shot (U18) </v>
      </c>
      <c r="I92" s="118"/>
      <c r="J92" s="224" t="s">
        <v>222</v>
      </c>
    </row>
    <row r="93" spans="3:10" x14ac:dyDescent="0.3">
      <c r="C93" s="16">
        <v>12</v>
      </c>
      <c r="D93" s="221">
        <f t="shared" si="20"/>
        <v>12.15</v>
      </c>
      <c r="E93" s="222" t="str">
        <f t="shared" si="21"/>
        <v>Discus</v>
      </c>
      <c r="F93" s="222" t="str">
        <f t="shared" si="22"/>
        <v>U16 Female</v>
      </c>
      <c r="G93" s="222" t="str">
        <f t="shared" si="23"/>
        <v>Match 2</v>
      </c>
      <c r="H93" s="222" t="str">
        <f t="shared" si="24"/>
        <v>Discus Match 2</v>
      </c>
      <c r="I93" s="118"/>
      <c r="J93" s="224" t="s">
        <v>223</v>
      </c>
    </row>
    <row r="94" spans="3:10" x14ac:dyDescent="0.3">
      <c r="C94" s="16">
        <v>13</v>
      </c>
      <c r="D94" s="221">
        <f t="shared" si="20"/>
        <v>12.15</v>
      </c>
      <c r="E94" s="222" t="str">
        <f t="shared" si="21"/>
        <v>Javelin (U18)</v>
      </c>
      <c r="F94" s="222" t="str">
        <f t="shared" si="22"/>
        <v>U18 Female</v>
      </c>
      <c r="G94" s="222" t="str">
        <f t="shared" si="23"/>
        <v>Match 1 &amp; 3</v>
      </c>
      <c r="H94" s="222" t="str">
        <f t="shared" si="24"/>
        <v>Javelin (U18) Match 1 &amp; 3</v>
      </c>
      <c r="I94" s="118"/>
      <c r="J94" s="224" t="s">
        <v>502</v>
      </c>
    </row>
    <row r="95" spans="3:10" x14ac:dyDescent="0.3">
      <c r="C95" s="16">
        <v>14</v>
      </c>
      <c r="D95" s="221">
        <f t="shared" si="20"/>
        <v>12</v>
      </c>
      <c r="E95" s="222" t="str">
        <f t="shared" si="21"/>
        <v>80m hurdles</v>
      </c>
      <c r="F95" s="222" t="str">
        <f t="shared" si="22"/>
        <v>U14 Male</v>
      </c>
      <c r="G95" s="222" t="str">
        <f t="shared" si="23"/>
        <v/>
      </c>
      <c r="H95" s="222" t="str">
        <f t="shared" si="24"/>
        <v xml:space="preserve">80m hurdles </v>
      </c>
      <c r="I95" s="118"/>
      <c r="J95" s="224"/>
    </row>
    <row r="96" spans="3:10" x14ac:dyDescent="0.3">
      <c r="C96" s="16">
        <v>15</v>
      </c>
      <c r="D96" s="221">
        <f t="shared" si="20"/>
        <v>12.1</v>
      </c>
      <c r="E96" s="222" t="str">
        <f t="shared" si="21"/>
        <v>800m</v>
      </c>
      <c r="F96" s="222" t="str">
        <f t="shared" si="22"/>
        <v>U16 Male</v>
      </c>
      <c r="G96" s="222" t="str">
        <f t="shared" si="23"/>
        <v/>
      </c>
      <c r="H96" s="222" t="str">
        <f t="shared" si="24"/>
        <v xml:space="preserve">800m </v>
      </c>
      <c r="I96" s="118"/>
      <c r="J96" s="224"/>
    </row>
    <row r="97" spans="3:10" x14ac:dyDescent="0.3">
      <c r="C97" s="16">
        <v>16</v>
      </c>
      <c r="D97" s="221">
        <f t="shared" si="20"/>
        <v>12.3</v>
      </c>
      <c r="E97" s="222" t="str">
        <f t="shared" si="21"/>
        <v>Long Jump</v>
      </c>
      <c r="F97" s="222" t="str">
        <f t="shared" si="22"/>
        <v>U12 Male</v>
      </c>
      <c r="G97" s="222" t="str">
        <f t="shared" si="23"/>
        <v>Pit 1</v>
      </c>
      <c r="H97" s="222" t="str">
        <f t="shared" si="24"/>
        <v>Long Jump Pit 1</v>
      </c>
      <c r="I97" s="118"/>
      <c r="J97" s="224"/>
    </row>
    <row r="98" spans="3:10" x14ac:dyDescent="0.3">
      <c r="C98" s="16">
        <v>17</v>
      </c>
      <c r="D98" s="221">
        <f t="shared" si="20"/>
        <v>12.3</v>
      </c>
      <c r="E98" s="222" t="str">
        <f t="shared" si="21"/>
        <v>High Jump</v>
      </c>
      <c r="F98" s="222" t="str">
        <f t="shared" si="22"/>
        <v>U16 Female</v>
      </c>
      <c r="G98" s="222" t="str">
        <f t="shared" si="23"/>
        <v/>
      </c>
      <c r="H98" s="222" t="str">
        <f t="shared" si="24"/>
        <v xml:space="preserve">High Jump </v>
      </c>
      <c r="I98" s="118"/>
      <c r="J98" s="224" t="s">
        <v>204</v>
      </c>
    </row>
    <row r="99" spans="3:10" x14ac:dyDescent="0.3">
      <c r="C99" s="16">
        <v>18</v>
      </c>
      <c r="D99" s="221">
        <f t="shared" si="20"/>
        <v>12.2</v>
      </c>
      <c r="E99" s="222" t="str">
        <f t="shared" si="21"/>
        <v>800m (U18/U20)</v>
      </c>
      <c r="F99" s="222" t="str">
        <f t="shared" si="22"/>
        <v>U18 Men</v>
      </c>
      <c r="G99" s="222" t="str">
        <f t="shared" si="23"/>
        <v/>
      </c>
      <c r="H99" s="222" t="str">
        <f t="shared" si="24"/>
        <v xml:space="preserve">800m (U18/U20) </v>
      </c>
      <c r="I99" s="118"/>
      <c r="J99" s="224"/>
    </row>
    <row r="100" spans="3:10" x14ac:dyDescent="0.3">
      <c r="C100" s="16">
        <v>19</v>
      </c>
      <c r="D100" s="221">
        <f t="shared" si="20"/>
        <v>12.3</v>
      </c>
      <c r="E100" s="222" t="str">
        <f t="shared" si="21"/>
        <v>100m hurdles (U18)</v>
      </c>
      <c r="F100" s="222" t="str">
        <f t="shared" si="22"/>
        <v>U18 Female</v>
      </c>
      <c r="G100" s="222" t="str">
        <f t="shared" si="23"/>
        <v/>
      </c>
      <c r="H100" s="222" t="str">
        <f t="shared" si="24"/>
        <v xml:space="preserve">100m hurdles (U18) </v>
      </c>
      <c r="I100" s="118"/>
      <c r="J100" s="224"/>
    </row>
    <row r="101" spans="3:10" x14ac:dyDescent="0.3">
      <c r="C101" s="16">
        <v>20</v>
      </c>
      <c r="D101" s="221">
        <f t="shared" si="20"/>
        <v>12.5</v>
      </c>
      <c r="E101" s="222" t="str">
        <f t="shared" si="21"/>
        <v>100m hurdles</v>
      </c>
      <c r="F101" s="222" t="str">
        <f t="shared" si="22"/>
        <v>U16 Male</v>
      </c>
      <c r="G101" s="222" t="str">
        <f t="shared" si="23"/>
        <v/>
      </c>
      <c r="H101" s="222" t="str">
        <f t="shared" si="24"/>
        <v xml:space="preserve">100m hurdles </v>
      </c>
      <c r="I101" s="118"/>
      <c r="J101" s="224"/>
    </row>
    <row r="102" spans="3:10" x14ac:dyDescent="0.3">
      <c r="C102" s="16">
        <v>21</v>
      </c>
      <c r="D102" s="221">
        <f t="shared" si="20"/>
        <v>1</v>
      </c>
      <c r="E102" s="222" t="str">
        <f t="shared" si="21"/>
        <v>Long Jump</v>
      </c>
      <c r="F102" s="222" t="str">
        <f t="shared" si="22"/>
        <v>U16 Female</v>
      </c>
      <c r="G102" s="222" t="str">
        <f t="shared" si="23"/>
        <v>Pit 2</v>
      </c>
      <c r="H102" s="222" t="str">
        <f t="shared" si="24"/>
        <v>Long Jump Pit 2</v>
      </c>
      <c r="I102" s="118"/>
      <c r="J102" s="224"/>
    </row>
    <row r="103" spans="3:10" x14ac:dyDescent="0.3">
      <c r="C103" s="16">
        <v>22</v>
      </c>
      <c r="D103" s="221">
        <f t="shared" si="20"/>
        <v>1</v>
      </c>
      <c r="E103" s="222" t="str">
        <f t="shared" si="21"/>
        <v>Shot</v>
      </c>
      <c r="F103" s="222" t="str">
        <f t="shared" si="22"/>
        <v>U16 Male</v>
      </c>
      <c r="G103" s="222" t="str">
        <f t="shared" si="23"/>
        <v/>
      </c>
      <c r="H103" s="222" t="str">
        <f t="shared" si="24"/>
        <v xml:space="preserve">Shot </v>
      </c>
      <c r="I103" s="118"/>
      <c r="J103" s="224" t="s">
        <v>225</v>
      </c>
    </row>
    <row r="104" spans="3:10" x14ac:dyDescent="0.3">
      <c r="C104" s="16">
        <v>23</v>
      </c>
      <c r="D104" s="221">
        <f t="shared" si="20"/>
        <v>1</v>
      </c>
      <c r="E104" s="222" t="str">
        <f t="shared" si="21"/>
        <v>Discus (U18)</v>
      </c>
      <c r="F104" s="222" t="str">
        <f t="shared" si="22"/>
        <v>U18 Men</v>
      </c>
      <c r="G104" s="222" t="str">
        <f t="shared" si="23"/>
        <v>Match 2</v>
      </c>
      <c r="H104" s="222" t="str">
        <f t="shared" si="24"/>
        <v>Discus (U18) Match 2</v>
      </c>
      <c r="I104" s="118"/>
      <c r="J104" s="224" t="s">
        <v>226</v>
      </c>
    </row>
    <row r="105" spans="3:10" x14ac:dyDescent="0.3">
      <c r="C105" s="16">
        <v>24</v>
      </c>
      <c r="D105" s="221">
        <f t="shared" si="20"/>
        <v>1</v>
      </c>
      <c r="E105" s="222" t="str">
        <f t="shared" si="21"/>
        <v>Javelin</v>
      </c>
      <c r="F105" s="222" t="str">
        <f t="shared" si="22"/>
        <v>U14 Male</v>
      </c>
      <c r="G105" s="222" t="str">
        <f t="shared" si="23"/>
        <v>Match 1 &amp; 3</v>
      </c>
      <c r="H105" s="222" t="str">
        <f t="shared" si="24"/>
        <v>Javelin Match 1 &amp; 3</v>
      </c>
      <c r="I105" s="118"/>
      <c r="J105" s="224" t="s">
        <v>231</v>
      </c>
    </row>
    <row r="106" spans="3:10" x14ac:dyDescent="0.3">
      <c r="C106" s="16">
        <v>25</v>
      </c>
      <c r="D106" s="221">
        <f t="shared" si="20"/>
        <v>12.4</v>
      </c>
      <c r="E106" s="222" t="str">
        <f t="shared" si="21"/>
        <v>800m</v>
      </c>
      <c r="F106" s="222" t="str">
        <f t="shared" si="22"/>
        <v>U14 Female</v>
      </c>
      <c r="G106" s="222" t="str">
        <f t="shared" si="23"/>
        <v/>
      </c>
      <c r="H106" s="222" t="str">
        <f t="shared" si="24"/>
        <v xml:space="preserve">800m </v>
      </c>
      <c r="I106" s="118"/>
      <c r="J106" s="224"/>
    </row>
    <row r="107" spans="3:10" x14ac:dyDescent="0.3">
      <c r="C107" s="16">
        <v>26</v>
      </c>
      <c r="D107" s="221">
        <f t="shared" si="20"/>
        <v>1</v>
      </c>
      <c r="E107" s="222" t="str">
        <f t="shared" si="21"/>
        <v>800m</v>
      </c>
      <c r="F107" s="222" t="str">
        <f t="shared" si="22"/>
        <v>U16 Female</v>
      </c>
      <c r="G107" s="222" t="str">
        <f t="shared" si="23"/>
        <v/>
      </c>
      <c r="H107" s="222" t="str">
        <f t="shared" si="24"/>
        <v xml:space="preserve">800m </v>
      </c>
      <c r="I107" s="118"/>
      <c r="J107" s="224"/>
    </row>
    <row r="108" spans="3:10" x14ac:dyDescent="0.3">
      <c r="C108" s="16">
        <v>27</v>
      </c>
      <c r="D108" s="221">
        <f t="shared" si="20"/>
        <v>1.1000000000000001</v>
      </c>
      <c r="E108" s="222" t="str">
        <f t="shared" si="21"/>
        <v>110m hurdles (U18)</v>
      </c>
      <c r="F108" s="222" t="str">
        <f t="shared" si="22"/>
        <v>U18 Men</v>
      </c>
      <c r="G108" s="222" t="str">
        <f t="shared" si="23"/>
        <v/>
      </c>
      <c r="H108" s="222" t="str">
        <f t="shared" si="24"/>
        <v xml:space="preserve">110m hurdles (U18) </v>
      </c>
      <c r="I108" s="118"/>
      <c r="J108" s="224"/>
    </row>
    <row r="109" spans="3:10" x14ac:dyDescent="0.3">
      <c r="C109" s="16">
        <v>28</v>
      </c>
      <c r="D109" s="221">
        <f t="shared" si="20"/>
        <v>1.2</v>
      </c>
      <c r="E109" s="222" t="str">
        <f t="shared" si="21"/>
        <v>800m (U18/U20)</v>
      </c>
      <c r="F109" s="222" t="str">
        <f t="shared" si="22"/>
        <v>U18 Female</v>
      </c>
      <c r="G109" s="222" t="str">
        <f t="shared" si="23"/>
        <v/>
      </c>
      <c r="H109" s="222" t="str">
        <f t="shared" si="24"/>
        <v xml:space="preserve">800m (U18/U20) </v>
      </c>
      <c r="I109" s="118"/>
      <c r="J109" s="224"/>
    </row>
    <row r="110" spans="3:10" x14ac:dyDescent="0.3">
      <c r="C110" s="16">
        <v>29</v>
      </c>
      <c r="D110" s="221">
        <f t="shared" si="20"/>
        <v>1.3</v>
      </c>
      <c r="E110" s="222" t="str">
        <f t="shared" si="21"/>
        <v>High Jump</v>
      </c>
      <c r="F110" s="222" t="str">
        <f t="shared" si="22"/>
        <v>U14 Female</v>
      </c>
      <c r="G110" s="222" t="str">
        <f t="shared" si="23"/>
        <v/>
      </c>
      <c r="H110" s="222" t="str">
        <f t="shared" si="24"/>
        <v xml:space="preserve">High Jump </v>
      </c>
      <c r="I110" s="118"/>
      <c r="J110" s="224" t="s">
        <v>205</v>
      </c>
    </row>
    <row r="111" spans="3:10" x14ac:dyDescent="0.3">
      <c r="C111" s="16">
        <v>30</v>
      </c>
      <c r="D111" s="221">
        <f t="shared" si="20"/>
        <v>1.3</v>
      </c>
      <c r="E111" s="222" t="str">
        <f t="shared" si="21"/>
        <v>Long Jump (U18/20)</v>
      </c>
      <c r="F111" s="222" t="str">
        <f t="shared" si="22"/>
        <v>U18 Men</v>
      </c>
      <c r="G111" s="222" t="str">
        <f t="shared" si="23"/>
        <v>Pit1</v>
      </c>
      <c r="H111" s="222" t="str">
        <f t="shared" si="24"/>
        <v>Long Jump (U18/20) Pit1</v>
      </c>
      <c r="I111" s="118"/>
      <c r="J111" s="224"/>
    </row>
    <row r="112" spans="3:10" x14ac:dyDescent="0.3">
      <c r="C112" s="16">
        <v>31</v>
      </c>
      <c r="D112" s="221">
        <f t="shared" si="20"/>
        <v>1.35</v>
      </c>
      <c r="E112" s="222" t="str">
        <f t="shared" si="21"/>
        <v>400m (U18/U20)</v>
      </c>
      <c r="F112" s="222" t="str">
        <f t="shared" si="22"/>
        <v>U18 Men</v>
      </c>
      <c r="G112" s="222" t="str">
        <f t="shared" si="23"/>
        <v/>
      </c>
      <c r="H112" s="222" t="str">
        <f t="shared" si="24"/>
        <v xml:space="preserve">400m (U18/U20) </v>
      </c>
      <c r="I112" s="118"/>
      <c r="J112" s="224"/>
    </row>
    <row r="113" spans="3:10" x14ac:dyDescent="0.3">
      <c r="C113" s="16">
        <v>32</v>
      </c>
      <c r="D113" s="221">
        <f t="shared" si="20"/>
        <v>1.5</v>
      </c>
      <c r="E113" s="222" t="str">
        <f t="shared" si="21"/>
        <v>600m</v>
      </c>
      <c r="F113" s="222" t="str">
        <f t="shared" si="22"/>
        <v>U12 Female</v>
      </c>
      <c r="G113" s="222" t="str">
        <f t="shared" si="23"/>
        <v/>
      </c>
      <c r="H113" s="222" t="str">
        <f t="shared" si="24"/>
        <v xml:space="preserve">600m </v>
      </c>
      <c r="I113" s="118"/>
      <c r="J113" s="224"/>
    </row>
    <row r="114" spans="3:10" x14ac:dyDescent="0.3">
      <c r="C114" s="16">
        <v>33</v>
      </c>
      <c r="D114" s="221">
        <f t="shared" ref="D114:D145" si="25">VLOOKUP($C114,IF(ISNA(VLOOKUP($C114,Track,1,FALSE)),Field,Track),2,FALSE)</f>
        <v>1.3</v>
      </c>
      <c r="E114" s="222" t="str">
        <f t="shared" ref="E114:E145" si="26">VLOOKUP($C114,IF(ISNA(VLOOKUP($C114,Track,1,FALSE)),Field,Track),3,FALSE)</f>
        <v>400m (U18/U20)</v>
      </c>
      <c r="F114" s="222" t="str">
        <f t="shared" ref="F114:F145" si="27">VLOOKUP($C114,IF(ISNA(VLOOKUP($C114,Track,1,FALSE)),Field,Track),4,FALSE)</f>
        <v>U18 Female</v>
      </c>
      <c r="G114" s="222" t="str">
        <f t="shared" ref="G114:G145" si="28">VLOOKUP($C114,IF(ISNA(VLOOKUP($C114,Track,1,FALSE)),Field,Track),5,FALSE)</f>
        <v/>
      </c>
      <c r="H114" s="222" t="str">
        <f t="shared" ref="H114:H145" si="29">VLOOKUP($C114,IF(ISNA(VLOOKUP($C114,Track,1,FALSE)),Field,Track),3,FALSE)&amp;" "&amp;G114</f>
        <v xml:space="preserve">400m (U18/U20) </v>
      </c>
      <c r="I114" s="118"/>
      <c r="J114" s="224"/>
    </row>
    <row r="115" spans="3:10" x14ac:dyDescent="0.3">
      <c r="C115" s="16">
        <v>34</v>
      </c>
      <c r="D115" s="221">
        <f t="shared" si="25"/>
        <v>2</v>
      </c>
      <c r="E115" s="222" t="str">
        <f t="shared" si="26"/>
        <v>600m</v>
      </c>
      <c r="F115" s="222" t="str">
        <f t="shared" si="27"/>
        <v>U12 Male</v>
      </c>
      <c r="G115" s="222" t="str">
        <f t="shared" si="28"/>
        <v/>
      </c>
      <c r="H115" s="222" t="str">
        <f t="shared" si="29"/>
        <v xml:space="preserve">600m </v>
      </c>
      <c r="I115" s="118"/>
      <c r="J115" s="224"/>
    </row>
    <row r="116" spans="3:10" x14ac:dyDescent="0.3">
      <c r="C116" s="16">
        <v>35</v>
      </c>
      <c r="D116" s="221">
        <f t="shared" si="25"/>
        <v>1.5</v>
      </c>
      <c r="E116" s="222" t="str">
        <f t="shared" si="26"/>
        <v>Shot (U18)</v>
      </c>
      <c r="F116" s="222" t="str">
        <f t="shared" si="27"/>
        <v>U18 Female</v>
      </c>
      <c r="G116" s="222" t="str">
        <f t="shared" si="28"/>
        <v/>
      </c>
      <c r="H116" s="222" t="str">
        <f t="shared" si="29"/>
        <v xml:space="preserve">Shot (U18) </v>
      </c>
      <c r="I116" s="118"/>
      <c r="J116" s="224" t="s">
        <v>503</v>
      </c>
    </row>
    <row r="117" spans="3:10" x14ac:dyDescent="0.3">
      <c r="C117" s="16">
        <v>36</v>
      </c>
      <c r="D117" s="221">
        <f t="shared" si="25"/>
        <v>1.5</v>
      </c>
      <c r="E117" s="222" t="str">
        <f t="shared" si="26"/>
        <v>Discus</v>
      </c>
      <c r="F117" s="222" t="str">
        <f t="shared" si="27"/>
        <v>U14 Female</v>
      </c>
      <c r="G117" s="222" t="str">
        <f t="shared" si="28"/>
        <v>Match 2</v>
      </c>
      <c r="H117" s="222" t="str">
        <f t="shared" si="29"/>
        <v>Discus Match 2</v>
      </c>
      <c r="I117" s="118"/>
      <c r="J117" s="224" t="s">
        <v>228</v>
      </c>
    </row>
    <row r="118" spans="3:10" x14ac:dyDescent="0.3">
      <c r="C118" s="16">
        <v>37</v>
      </c>
      <c r="D118" s="221">
        <f t="shared" si="25"/>
        <v>1.5</v>
      </c>
      <c r="E118" s="222" t="str">
        <f t="shared" si="26"/>
        <v>Javelin</v>
      </c>
      <c r="F118" s="222" t="str">
        <f t="shared" si="27"/>
        <v>U16 Male</v>
      </c>
      <c r="G118" s="222" t="str">
        <f t="shared" si="28"/>
        <v>Match 1 &amp; 3</v>
      </c>
      <c r="H118" s="222" t="str">
        <f t="shared" si="29"/>
        <v>Javelin Match 1 &amp; 3</v>
      </c>
      <c r="I118" s="118"/>
      <c r="J118" s="224" t="s">
        <v>229</v>
      </c>
    </row>
    <row r="119" spans="3:10" x14ac:dyDescent="0.3">
      <c r="C119" s="16">
        <v>38</v>
      </c>
      <c r="D119" s="221" t="e">
        <f t="shared" si="25"/>
        <v>#N/A</v>
      </c>
      <c r="E119" s="222" t="e">
        <f t="shared" si="26"/>
        <v>#N/A</v>
      </c>
      <c r="F119" s="222" t="e">
        <f t="shared" si="27"/>
        <v>#N/A</v>
      </c>
      <c r="G119" s="222" t="e">
        <f t="shared" si="28"/>
        <v>#N/A</v>
      </c>
      <c r="H119" s="222" t="e">
        <f t="shared" si="29"/>
        <v>#N/A</v>
      </c>
      <c r="I119" s="118"/>
      <c r="J119" s="224"/>
    </row>
    <row r="120" spans="3:10" x14ac:dyDescent="0.3">
      <c r="C120" s="16">
        <v>39</v>
      </c>
      <c r="D120" s="221">
        <f t="shared" si="25"/>
        <v>2.2000000000000002</v>
      </c>
      <c r="E120" s="222" t="str">
        <f t="shared" si="26"/>
        <v>100m</v>
      </c>
      <c r="F120" s="222" t="str">
        <f t="shared" si="27"/>
        <v>U14 Female</v>
      </c>
      <c r="G120" s="222" t="str">
        <f t="shared" si="28"/>
        <v/>
      </c>
      <c r="H120" s="222" t="str">
        <f t="shared" si="29"/>
        <v xml:space="preserve">100m </v>
      </c>
      <c r="I120" s="118"/>
      <c r="J120" s="224"/>
    </row>
    <row r="121" spans="3:10" x14ac:dyDescent="0.3">
      <c r="C121" s="16">
        <v>40</v>
      </c>
      <c r="D121" s="221">
        <f t="shared" si="25"/>
        <v>2.1</v>
      </c>
      <c r="E121" s="222" t="str">
        <f t="shared" si="26"/>
        <v>Long Jump</v>
      </c>
      <c r="F121" s="222" t="str">
        <f t="shared" si="27"/>
        <v>U12 Female</v>
      </c>
      <c r="G121" s="222" t="str">
        <f t="shared" si="28"/>
        <v>Pit 2</v>
      </c>
      <c r="H121" s="222" t="str">
        <f t="shared" si="29"/>
        <v>Long Jump Pit 2</v>
      </c>
      <c r="I121" s="118"/>
      <c r="J121" s="224"/>
    </row>
    <row r="122" spans="3:10" x14ac:dyDescent="0.3">
      <c r="C122" s="16">
        <v>41</v>
      </c>
      <c r="D122" s="221">
        <f t="shared" si="25"/>
        <v>2.25</v>
      </c>
      <c r="E122" s="222" t="str">
        <f t="shared" si="26"/>
        <v>100m</v>
      </c>
      <c r="F122" s="222" t="str">
        <f t="shared" si="27"/>
        <v>U16 Female</v>
      </c>
      <c r="G122" s="222" t="str">
        <f t="shared" si="28"/>
        <v/>
      </c>
      <c r="H122" s="222" t="str">
        <f t="shared" si="29"/>
        <v xml:space="preserve">100m </v>
      </c>
      <c r="I122" s="118"/>
      <c r="J122" s="224"/>
    </row>
    <row r="123" spans="3:10" x14ac:dyDescent="0.3">
      <c r="C123" s="16">
        <v>42</v>
      </c>
      <c r="D123" s="221">
        <f t="shared" si="25"/>
        <v>2.2999999999999998</v>
      </c>
      <c r="E123" s="222" t="str">
        <f t="shared" si="26"/>
        <v>100m (U18/U20)</v>
      </c>
      <c r="F123" s="222" t="str">
        <f t="shared" si="27"/>
        <v>U18 Female</v>
      </c>
      <c r="G123" s="222" t="str">
        <f t="shared" si="28"/>
        <v/>
      </c>
      <c r="H123" s="222" t="str">
        <f t="shared" si="29"/>
        <v xml:space="preserve">100m (U18/U20) </v>
      </c>
      <c r="I123" s="118"/>
      <c r="J123" s="224"/>
    </row>
    <row r="124" spans="3:10" x14ac:dyDescent="0.3">
      <c r="C124" s="16">
        <v>43</v>
      </c>
      <c r="D124" s="221">
        <f t="shared" si="25"/>
        <v>2.35</v>
      </c>
      <c r="E124" s="222" t="str">
        <f t="shared" si="26"/>
        <v>100m</v>
      </c>
      <c r="F124" s="222" t="str">
        <f t="shared" si="27"/>
        <v>U14 Male</v>
      </c>
      <c r="G124" s="222" t="str">
        <f t="shared" si="28"/>
        <v/>
      </c>
      <c r="H124" s="222" t="str">
        <f t="shared" si="29"/>
        <v xml:space="preserve">100m </v>
      </c>
      <c r="I124" s="118"/>
      <c r="J124" s="224"/>
    </row>
    <row r="125" spans="3:10" x14ac:dyDescent="0.3">
      <c r="C125" s="16">
        <v>44</v>
      </c>
      <c r="D125" s="221">
        <f t="shared" si="25"/>
        <v>2.4</v>
      </c>
      <c r="E125" s="222" t="str">
        <f t="shared" si="26"/>
        <v>100m</v>
      </c>
      <c r="F125" s="222" t="str">
        <f t="shared" si="27"/>
        <v>U16 Male</v>
      </c>
      <c r="G125" s="222" t="str">
        <f t="shared" si="28"/>
        <v/>
      </c>
      <c r="H125" s="222" t="str">
        <f t="shared" si="29"/>
        <v xml:space="preserve">100m </v>
      </c>
      <c r="I125" s="118"/>
      <c r="J125" s="224"/>
    </row>
    <row r="126" spans="3:10" x14ac:dyDescent="0.3">
      <c r="C126" s="16">
        <v>45</v>
      </c>
      <c r="D126" s="221">
        <f t="shared" si="25"/>
        <v>2.2999999999999998</v>
      </c>
      <c r="E126" s="222" t="str">
        <f t="shared" si="26"/>
        <v>High Jump</v>
      </c>
      <c r="F126" s="222" t="str">
        <f t="shared" si="27"/>
        <v>U16 Male</v>
      </c>
      <c r="G126" s="222" t="str">
        <f t="shared" si="28"/>
        <v/>
      </c>
      <c r="H126" s="222" t="str">
        <f t="shared" si="29"/>
        <v xml:space="preserve">High Jump </v>
      </c>
      <c r="I126" s="118"/>
      <c r="J126" s="224" t="s">
        <v>206</v>
      </c>
    </row>
    <row r="127" spans="3:10" x14ac:dyDescent="0.3">
      <c r="C127" s="16">
        <v>46</v>
      </c>
      <c r="D127" s="221">
        <f t="shared" si="25"/>
        <v>2.4500000000000002</v>
      </c>
      <c r="E127" s="222" t="str">
        <f t="shared" si="26"/>
        <v>100m (U18/U20)</v>
      </c>
      <c r="F127" s="222" t="str">
        <f t="shared" si="27"/>
        <v>U18 Men</v>
      </c>
      <c r="G127" s="222" t="str">
        <f t="shared" si="28"/>
        <v/>
      </c>
      <c r="H127" s="222" t="str">
        <f t="shared" si="29"/>
        <v xml:space="preserve">100m (U18/U20) </v>
      </c>
      <c r="I127" s="118"/>
      <c r="J127" s="224"/>
    </row>
    <row r="128" spans="3:10" x14ac:dyDescent="0.3">
      <c r="C128" s="16">
        <v>47</v>
      </c>
      <c r="D128" s="221">
        <f t="shared" si="25"/>
        <v>2.4</v>
      </c>
      <c r="E128" s="222" t="str">
        <f t="shared" si="26"/>
        <v>Shot</v>
      </c>
      <c r="F128" s="222" t="str">
        <f t="shared" si="27"/>
        <v>U14 Male</v>
      </c>
      <c r="G128" s="222" t="str">
        <f t="shared" si="28"/>
        <v/>
      </c>
      <c r="H128" s="222" t="str">
        <f t="shared" si="29"/>
        <v xml:space="preserve">Shot </v>
      </c>
      <c r="I128" s="118"/>
      <c r="J128" s="224" t="s">
        <v>230</v>
      </c>
    </row>
    <row r="129" spans="3:10" x14ac:dyDescent="0.3">
      <c r="C129" s="16">
        <v>48</v>
      </c>
      <c r="D129" s="221">
        <f t="shared" si="25"/>
        <v>2.4</v>
      </c>
      <c r="E129" s="222" t="str">
        <f t="shared" si="26"/>
        <v>Discus (U18)</v>
      </c>
      <c r="F129" s="222" t="str">
        <f t="shared" si="27"/>
        <v>U18 Female</v>
      </c>
      <c r="G129" s="222" t="str">
        <f t="shared" si="28"/>
        <v>Match 2</v>
      </c>
      <c r="H129" s="222" t="str">
        <f t="shared" si="29"/>
        <v>Discus (U18) Match 2</v>
      </c>
      <c r="I129" s="118"/>
      <c r="J129" s="224" t="s">
        <v>223</v>
      </c>
    </row>
    <row r="130" spans="3:10" x14ac:dyDescent="0.3">
      <c r="C130" s="16">
        <v>49</v>
      </c>
      <c r="D130" s="221">
        <f t="shared" si="25"/>
        <v>2.4</v>
      </c>
      <c r="E130" s="222" t="str">
        <f t="shared" si="26"/>
        <v>Javelin</v>
      </c>
      <c r="F130" s="222" t="str">
        <f t="shared" si="27"/>
        <v>U16 Female</v>
      </c>
      <c r="G130" s="222" t="str">
        <f t="shared" si="28"/>
        <v>Match 1 &amp; 3</v>
      </c>
      <c r="H130" s="222" t="str">
        <f t="shared" si="29"/>
        <v>Javelin Match 1 &amp; 3</v>
      </c>
      <c r="I130" s="118"/>
      <c r="J130" s="224" t="s">
        <v>231</v>
      </c>
    </row>
    <row r="131" spans="3:10" x14ac:dyDescent="0.3">
      <c r="C131" s="16">
        <v>50</v>
      </c>
      <c r="D131" s="221">
        <f t="shared" si="25"/>
        <v>3</v>
      </c>
      <c r="E131" s="222" t="str">
        <f t="shared" si="26"/>
        <v>75m</v>
      </c>
      <c r="F131" s="222" t="str">
        <f t="shared" si="27"/>
        <v>U12 Female</v>
      </c>
      <c r="G131" s="222" t="str">
        <f t="shared" si="28"/>
        <v/>
      </c>
      <c r="H131" s="222" t="str">
        <f t="shared" si="29"/>
        <v xml:space="preserve">75m </v>
      </c>
      <c r="I131" s="118"/>
      <c r="J131" s="224"/>
    </row>
    <row r="132" spans="3:10" x14ac:dyDescent="0.3">
      <c r="C132" s="16">
        <v>51</v>
      </c>
      <c r="D132" s="221">
        <f t="shared" si="25"/>
        <v>3.4</v>
      </c>
      <c r="E132" s="222" t="str">
        <f t="shared" si="26"/>
        <v>150m</v>
      </c>
      <c r="F132" s="222" t="str">
        <f t="shared" si="27"/>
        <v>U12 Female</v>
      </c>
      <c r="G132" s="222" t="str">
        <f t="shared" si="28"/>
        <v/>
      </c>
      <c r="H132" s="222" t="str">
        <f t="shared" si="29"/>
        <v xml:space="preserve">150m </v>
      </c>
      <c r="I132" s="118"/>
      <c r="J132" s="224"/>
    </row>
    <row r="133" spans="3:10" x14ac:dyDescent="0.3">
      <c r="C133" s="16">
        <v>52</v>
      </c>
      <c r="D133" s="221">
        <f t="shared" si="25"/>
        <v>2.5</v>
      </c>
      <c r="E133" s="222" t="str">
        <f t="shared" si="26"/>
        <v>Long Jump</v>
      </c>
      <c r="F133" s="222" t="str">
        <f t="shared" si="27"/>
        <v>U14 Female</v>
      </c>
      <c r="G133" s="222" t="str">
        <f t="shared" si="28"/>
        <v>Pit 1</v>
      </c>
      <c r="H133" s="222" t="str">
        <f t="shared" si="29"/>
        <v>Long Jump Pit 1</v>
      </c>
      <c r="I133" s="118"/>
      <c r="J133" s="224"/>
    </row>
    <row r="134" spans="3:10" x14ac:dyDescent="0.3">
      <c r="C134" s="16">
        <v>53</v>
      </c>
      <c r="D134" s="221">
        <f t="shared" si="25"/>
        <v>2.5499999999999998</v>
      </c>
      <c r="E134" s="222" t="str">
        <f t="shared" si="26"/>
        <v>75m</v>
      </c>
      <c r="F134" s="222" t="str">
        <f t="shared" si="27"/>
        <v>U12 Male</v>
      </c>
      <c r="G134" s="222" t="str">
        <f t="shared" si="28"/>
        <v/>
      </c>
      <c r="H134" s="222" t="str">
        <f t="shared" si="29"/>
        <v xml:space="preserve">75m </v>
      </c>
      <c r="I134" s="222"/>
      <c r="J134" s="224"/>
    </row>
    <row r="135" spans="3:10" x14ac:dyDescent="0.3">
      <c r="C135" s="16">
        <v>54</v>
      </c>
      <c r="D135" s="221">
        <f t="shared" si="25"/>
        <v>3.45</v>
      </c>
      <c r="E135" s="222" t="str">
        <f t="shared" si="26"/>
        <v>150m</v>
      </c>
      <c r="F135" s="222" t="str">
        <f t="shared" si="27"/>
        <v>U12 Male</v>
      </c>
      <c r="G135" s="222" t="str">
        <f t="shared" si="28"/>
        <v/>
      </c>
      <c r="H135" s="222" t="str">
        <f t="shared" si="29"/>
        <v xml:space="preserve">150m </v>
      </c>
      <c r="I135" s="222"/>
      <c r="J135" s="224"/>
    </row>
    <row r="136" spans="3:10" x14ac:dyDescent="0.3">
      <c r="C136" s="16">
        <v>55</v>
      </c>
      <c r="D136" s="221">
        <f t="shared" si="25"/>
        <v>3.1</v>
      </c>
      <c r="E136" s="222" t="str">
        <f t="shared" si="26"/>
        <v>1500m</v>
      </c>
      <c r="F136" s="222" t="str">
        <f t="shared" si="27"/>
        <v>U14 Male</v>
      </c>
      <c r="G136" s="222" t="str">
        <f t="shared" si="28"/>
        <v/>
      </c>
      <c r="H136" s="222" t="str">
        <f t="shared" si="29"/>
        <v xml:space="preserve">1500m </v>
      </c>
      <c r="I136" s="222"/>
      <c r="J136" s="224"/>
    </row>
    <row r="137" spans="3:10" x14ac:dyDescent="0.3">
      <c r="C137" s="16">
        <v>56</v>
      </c>
      <c r="D137" s="221">
        <f t="shared" si="25"/>
        <v>3.2</v>
      </c>
      <c r="E137" s="222" t="str">
        <f t="shared" si="26"/>
        <v>1500m</v>
      </c>
      <c r="F137" s="222" t="str">
        <f t="shared" si="27"/>
        <v>U16 Male</v>
      </c>
      <c r="G137" s="222" t="str">
        <f t="shared" si="28"/>
        <v/>
      </c>
      <c r="H137" s="222" t="str">
        <f t="shared" si="29"/>
        <v xml:space="preserve">1500m </v>
      </c>
      <c r="I137" s="222"/>
      <c r="J137" s="224"/>
    </row>
    <row r="138" spans="3:10" x14ac:dyDescent="0.3">
      <c r="C138" s="16">
        <v>57</v>
      </c>
      <c r="D138" s="221">
        <f t="shared" si="25"/>
        <v>3.2</v>
      </c>
      <c r="E138" s="222" t="str">
        <f t="shared" si="26"/>
        <v>High Jump (U18/U20)</v>
      </c>
      <c r="F138" s="222" t="str">
        <f t="shared" si="27"/>
        <v>U18 Female</v>
      </c>
      <c r="G138" s="222" t="str">
        <f t="shared" si="28"/>
        <v/>
      </c>
      <c r="H138" s="222" t="str">
        <f t="shared" si="29"/>
        <v xml:space="preserve">High Jump (U18/U20) </v>
      </c>
      <c r="I138" s="222"/>
      <c r="J138" s="224" t="s">
        <v>206</v>
      </c>
    </row>
    <row r="139" spans="3:10" x14ac:dyDescent="0.3">
      <c r="C139" s="16">
        <v>58</v>
      </c>
      <c r="D139" s="221">
        <f t="shared" si="25"/>
        <v>3.2</v>
      </c>
      <c r="E139" s="222" t="str">
        <f t="shared" si="26"/>
        <v>Long Jump</v>
      </c>
      <c r="F139" s="222" t="str">
        <f t="shared" si="27"/>
        <v>U14 Male</v>
      </c>
      <c r="G139" s="222" t="str">
        <f t="shared" si="28"/>
        <v>Pit 2</v>
      </c>
      <c r="H139" s="222" t="str">
        <f t="shared" si="29"/>
        <v>Long Jump Pit 2</v>
      </c>
      <c r="I139" s="222"/>
      <c r="J139" s="224"/>
    </row>
    <row r="140" spans="3:10" x14ac:dyDescent="0.3">
      <c r="C140" s="16">
        <v>59</v>
      </c>
      <c r="D140" s="221">
        <f t="shared" si="25"/>
        <v>3.3</v>
      </c>
      <c r="E140" s="222" t="str">
        <f t="shared" si="26"/>
        <v>Shot</v>
      </c>
      <c r="F140" s="222" t="str">
        <f t="shared" si="27"/>
        <v>U14 Female</v>
      </c>
      <c r="G140" s="222" t="str">
        <f t="shared" si="28"/>
        <v/>
      </c>
      <c r="H140" s="222" t="str">
        <f t="shared" si="29"/>
        <v xml:space="preserve">Shot </v>
      </c>
      <c r="I140" s="222"/>
      <c r="J140" s="224" t="s">
        <v>232</v>
      </c>
    </row>
    <row r="141" spans="3:10" x14ac:dyDescent="0.3">
      <c r="C141" s="16">
        <v>60</v>
      </c>
      <c r="D141" s="221">
        <f t="shared" si="25"/>
        <v>3.3</v>
      </c>
      <c r="E141" s="222" t="str">
        <f t="shared" si="26"/>
        <v>Discus</v>
      </c>
      <c r="F141" s="222" t="str">
        <f t="shared" si="27"/>
        <v>U16 Male</v>
      </c>
      <c r="G141" s="222" t="str">
        <f t="shared" si="28"/>
        <v>Match 2</v>
      </c>
      <c r="H141" s="222" t="str">
        <f t="shared" si="29"/>
        <v>Discus Match 2</v>
      </c>
      <c r="I141" s="222"/>
      <c r="J141" s="224" t="s">
        <v>233</v>
      </c>
    </row>
    <row r="142" spans="3:10" x14ac:dyDescent="0.3">
      <c r="C142" s="16">
        <v>61</v>
      </c>
      <c r="D142" s="221">
        <f t="shared" si="25"/>
        <v>3.3</v>
      </c>
      <c r="E142" s="222" t="str">
        <f t="shared" si="26"/>
        <v>Javelin (U18)</v>
      </c>
      <c r="F142" s="222" t="str">
        <f t="shared" si="27"/>
        <v>U18 Men</v>
      </c>
      <c r="G142" s="222" t="str">
        <f t="shared" si="28"/>
        <v>Match 1 &amp; 3</v>
      </c>
      <c r="H142" s="222" t="str">
        <f t="shared" si="29"/>
        <v>Javelin (U18) Match 1 &amp; 3</v>
      </c>
      <c r="I142" s="222"/>
      <c r="J142" s="224" t="s">
        <v>234</v>
      </c>
    </row>
    <row r="143" spans="3:10" x14ac:dyDescent="0.3">
      <c r="C143" s="16">
        <v>62</v>
      </c>
      <c r="D143" s="221">
        <f t="shared" si="25"/>
        <v>3.3</v>
      </c>
      <c r="E143" s="222" t="str">
        <f t="shared" si="26"/>
        <v>1500m (U18/U20)</v>
      </c>
      <c r="F143" s="222" t="str">
        <f t="shared" si="27"/>
        <v>U18 Men</v>
      </c>
      <c r="G143" s="222" t="str">
        <f t="shared" si="28"/>
        <v/>
      </c>
      <c r="H143" s="222" t="str">
        <f t="shared" si="29"/>
        <v xml:space="preserve">1500m (U18/U20) </v>
      </c>
      <c r="I143" s="222"/>
      <c r="J143" s="224"/>
    </row>
    <row r="144" spans="3:10" x14ac:dyDescent="0.3">
      <c r="C144" s="16">
        <v>63</v>
      </c>
      <c r="D144" s="221">
        <f t="shared" si="25"/>
        <v>1.4</v>
      </c>
      <c r="E144" s="222" t="str">
        <f t="shared" si="26"/>
        <v>300m</v>
      </c>
      <c r="F144" s="222" t="str">
        <f t="shared" si="27"/>
        <v>U16 Female</v>
      </c>
      <c r="G144" s="222" t="str">
        <f t="shared" si="28"/>
        <v/>
      </c>
      <c r="H144" s="222" t="str">
        <f t="shared" si="29"/>
        <v xml:space="preserve">300m </v>
      </c>
      <c r="I144" s="222"/>
      <c r="J144" s="224"/>
    </row>
    <row r="145" spans="3:10" x14ac:dyDescent="0.3">
      <c r="C145" s="16">
        <v>64</v>
      </c>
      <c r="D145" s="221">
        <f t="shared" si="25"/>
        <v>1.45</v>
      </c>
      <c r="E145" s="222" t="str">
        <f t="shared" si="26"/>
        <v xml:space="preserve">300m </v>
      </c>
      <c r="F145" s="222" t="str">
        <f t="shared" si="27"/>
        <v>U16 Male</v>
      </c>
      <c r="G145" s="222" t="str">
        <f t="shared" si="28"/>
        <v/>
      </c>
      <c r="H145" s="222" t="str">
        <f t="shared" si="29"/>
        <v xml:space="preserve">300m  </v>
      </c>
      <c r="I145" s="222"/>
      <c r="J145" s="224"/>
    </row>
    <row r="146" spans="3:10" x14ac:dyDescent="0.3">
      <c r="C146" s="16">
        <v>65</v>
      </c>
      <c r="D146" s="221" t="e">
        <f t="shared" ref="D146:D180" si="30">VLOOKUP($C146,IF(ISNA(VLOOKUP($C146,Track,1,FALSE)),Field,Track),2,FALSE)</f>
        <v>#N/A</v>
      </c>
      <c r="E146" s="222" t="e">
        <f t="shared" ref="E146:E180" si="31">VLOOKUP($C146,IF(ISNA(VLOOKUP($C146,Track,1,FALSE)),Field,Track),3,FALSE)</f>
        <v>#N/A</v>
      </c>
      <c r="F146" s="222" t="e">
        <f t="shared" ref="F146:F180" si="32">VLOOKUP($C146,IF(ISNA(VLOOKUP($C146,Track,1,FALSE)),Field,Track),4,FALSE)</f>
        <v>#N/A</v>
      </c>
      <c r="G146" s="222" t="e">
        <f t="shared" ref="G146:G180" si="33">VLOOKUP($C146,IF(ISNA(VLOOKUP($C146,Track,1,FALSE)),Field,Track),5,FALSE)</f>
        <v>#N/A</v>
      </c>
      <c r="H146" s="222" t="e">
        <f t="shared" ref="H146:H168" si="34">VLOOKUP($C146,IF(ISNA(VLOOKUP($C146,Track,1,FALSE)),Field,Track),3,FALSE)&amp;" "&amp;G146</f>
        <v>#N/A</v>
      </c>
      <c r="I146" s="222"/>
      <c r="J146" s="224"/>
    </row>
    <row r="147" spans="3:10" x14ac:dyDescent="0.3">
      <c r="C147" s="16">
        <v>66</v>
      </c>
      <c r="D147" s="221">
        <f t="shared" si="30"/>
        <v>3.55</v>
      </c>
      <c r="E147" s="222" t="str">
        <f t="shared" si="31"/>
        <v>200m</v>
      </c>
      <c r="F147" s="222" t="str">
        <f t="shared" si="32"/>
        <v>U14 Female</v>
      </c>
      <c r="G147" s="222" t="str">
        <f t="shared" si="33"/>
        <v/>
      </c>
      <c r="H147" s="222" t="str">
        <f t="shared" si="34"/>
        <v xml:space="preserve">200m </v>
      </c>
      <c r="I147" s="222"/>
      <c r="J147" s="224"/>
    </row>
    <row r="148" spans="3:10" x14ac:dyDescent="0.3">
      <c r="C148" s="16">
        <v>67</v>
      </c>
      <c r="D148" s="221">
        <f t="shared" si="30"/>
        <v>4</v>
      </c>
      <c r="E148" s="222" t="str">
        <f t="shared" si="31"/>
        <v>Long Jump (U18/20)</v>
      </c>
      <c r="F148" s="222" t="str">
        <f t="shared" si="32"/>
        <v>U18 Female</v>
      </c>
      <c r="G148" s="222" t="str">
        <f t="shared" si="33"/>
        <v>Pit1</v>
      </c>
      <c r="H148" s="222" t="str">
        <f t="shared" si="34"/>
        <v>Long Jump (U18/20) Pit1</v>
      </c>
      <c r="I148" s="222"/>
      <c r="J148" s="224"/>
    </row>
    <row r="149" spans="3:10" x14ac:dyDescent="0.3">
      <c r="C149" s="16">
        <v>68</v>
      </c>
      <c r="D149" s="221">
        <f t="shared" si="30"/>
        <v>4.0999999999999996</v>
      </c>
      <c r="E149" s="222" t="str">
        <f t="shared" si="31"/>
        <v>200m</v>
      </c>
      <c r="F149" s="222" t="str">
        <f t="shared" si="32"/>
        <v>U16 Female</v>
      </c>
      <c r="G149" s="222" t="str">
        <f t="shared" si="33"/>
        <v/>
      </c>
      <c r="H149" s="222" t="str">
        <f t="shared" si="34"/>
        <v xml:space="preserve">200m </v>
      </c>
      <c r="I149" s="222"/>
      <c r="J149" s="224"/>
    </row>
    <row r="150" spans="3:10" x14ac:dyDescent="0.3">
      <c r="C150" s="16">
        <v>69</v>
      </c>
      <c r="D150" s="221">
        <f t="shared" si="30"/>
        <v>4.0999999999999996</v>
      </c>
      <c r="E150" s="222" t="str">
        <f t="shared" si="31"/>
        <v>High Jump (U18/U20)</v>
      </c>
      <c r="F150" s="222" t="str">
        <f t="shared" si="32"/>
        <v>U18 Men</v>
      </c>
      <c r="G150" s="222" t="str">
        <f t="shared" si="33"/>
        <v/>
      </c>
      <c r="H150" s="222" t="str">
        <f t="shared" si="34"/>
        <v xml:space="preserve">High Jump (U18/U20) </v>
      </c>
      <c r="I150" s="222"/>
      <c r="J150" s="224" t="s">
        <v>207</v>
      </c>
    </row>
    <row r="151" spans="3:10" x14ac:dyDescent="0.3">
      <c r="C151" s="16">
        <v>70</v>
      </c>
      <c r="D151" s="221">
        <f t="shared" si="30"/>
        <v>4.1500000000000004</v>
      </c>
      <c r="E151" s="222" t="str">
        <f t="shared" si="31"/>
        <v>200m (U18/U20)</v>
      </c>
      <c r="F151" s="222" t="str">
        <f t="shared" si="32"/>
        <v>U18 Female</v>
      </c>
      <c r="G151" s="222" t="str">
        <f t="shared" si="33"/>
        <v/>
      </c>
      <c r="H151" s="222" t="str">
        <f t="shared" si="34"/>
        <v xml:space="preserve">200m (U18/U20) </v>
      </c>
      <c r="I151" s="222"/>
      <c r="J151" s="224"/>
    </row>
    <row r="152" spans="3:10" x14ac:dyDescent="0.3">
      <c r="C152" s="16">
        <v>71</v>
      </c>
      <c r="D152" s="221">
        <f t="shared" si="30"/>
        <v>4.2</v>
      </c>
      <c r="E152" s="222" t="str">
        <f t="shared" si="31"/>
        <v>200m</v>
      </c>
      <c r="F152" s="222" t="str">
        <f t="shared" si="32"/>
        <v>U14 Male</v>
      </c>
      <c r="G152" s="222" t="str">
        <f t="shared" si="33"/>
        <v/>
      </c>
      <c r="H152" s="222" t="str">
        <f t="shared" si="34"/>
        <v xml:space="preserve">200m </v>
      </c>
      <c r="I152" s="222"/>
      <c r="J152" s="224"/>
    </row>
    <row r="153" spans="3:10" x14ac:dyDescent="0.3">
      <c r="C153" s="16">
        <v>72</v>
      </c>
      <c r="D153" s="221">
        <f t="shared" si="30"/>
        <v>4.25</v>
      </c>
      <c r="E153" s="222" t="str">
        <f t="shared" si="31"/>
        <v>200m</v>
      </c>
      <c r="F153" s="222" t="str">
        <f t="shared" si="32"/>
        <v>U16 Male</v>
      </c>
      <c r="G153" s="222" t="str">
        <f t="shared" si="33"/>
        <v/>
      </c>
      <c r="H153" s="222" t="str">
        <f t="shared" si="34"/>
        <v xml:space="preserve">200m </v>
      </c>
      <c r="I153" s="222"/>
      <c r="J153" s="224"/>
    </row>
    <row r="154" spans="3:10" x14ac:dyDescent="0.3">
      <c r="C154" s="16">
        <v>73</v>
      </c>
      <c r="D154" s="221">
        <f t="shared" si="30"/>
        <v>4.2</v>
      </c>
      <c r="E154" s="222" t="str">
        <f t="shared" si="31"/>
        <v>Shot</v>
      </c>
      <c r="F154" s="222" t="str">
        <f t="shared" si="32"/>
        <v>U16 Female</v>
      </c>
      <c r="G154" s="222" t="str">
        <f t="shared" si="33"/>
        <v/>
      </c>
      <c r="H154" s="222" t="str">
        <f t="shared" si="34"/>
        <v xml:space="preserve">Shot </v>
      </c>
      <c r="I154" s="222"/>
      <c r="J154" s="224" t="s">
        <v>235</v>
      </c>
    </row>
    <row r="155" spans="3:10" x14ac:dyDescent="0.3">
      <c r="C155" s="16">
        <v>74</v>
      </c>
      <c r="D155" s="221">
        <f t="shared" si="30"/>
        <v>4.2</v>
      </c>
      <c r="E155" s="222" t="str">
        <f t="shared" si="31"/>
        <v>Discus</v>
      </c>
      <c r="F155" s="222" t="str">
        <f t="shared" si="32"/>
        <v>U14 Male</v>
      </c>
      <c r="G155" s="222" t="str">
        <f t="shared" si="33"/>
        <v>Match 2</v>
      </c>
      <c r="H155" s="222" t="str">
        <f t="shared" si="34"/>
        <v>Discus Match 2</v>
      </c>
      <c r="I155" s="222"/>
      <c r="J155" s="224" t="s">
        <v>236</v>
      </c>
    </row>
    <row r="156" spans="3:10" x14ac:dyDescent="0.3">
      <c r="C156" s="16">
        <v>75</v>
      </c>
      <c r="D156" s="221">
        <f t="shared" si="30"/>
        <v>4.2</v>
      </c>
      <c r="E156" s="222" t="str">
        <f t="shared" si="31"/>
        <v>Javelin</v>
      </c>
      <c r="F156" s="222" t="str">
        <f t="shared" si="32"/>
        <v>U14 Female</v>
      </c>
      <c r="G156" s="222" t="str">
        <f t="shared" si="33"/>
        <v>Match 1 &amp; 3</v>
      </c>
      <c r="H156" s="222" t="str">
        <f t="shared" si="34"/>
        <v>Javelin Match 1 &amp; 3</v>
      </c>
      <c r="I156" s="222"/>
      <c r="J156" s="224" t="s">
        <v>227</v>
      </c>
    </row>
    <row r="157" spans="3:10" x14ac:dyDescent="0.3">
      <c r="C157" s="16">
        <v>76</v>
      </c>
      <c r="D157" s="221">
        <f t="shared" si="30"/>
        <v>4.3</v>
      </c>
      <c r="E157" s="222" t="str">
        <f t="shared" si="31"/>
        <v>200m (U18/U20)</v>
      </c>
      <c r="F157" s="222" t="str">
        <f t="shared" si="32"/>
        <v>U18 Men</v>
      </c>
      <c r="G157" s="222" t="str">
        <f t="shared" si="33"/>
        <v/>
      </c>
      <c r="H157" s="222" t="str">
        <f t="shared" si="34"/>
        <v xml:space="preserve">200m (U18/U20) </v>
      </c>
      <c r="I157" s="222"/>
      <c r="J157" s="224"/>
    </row>
    <row r="158" spans="3:10" x14ac:dyDescent="0.3">
      <c r="C158" s="16">
        <v>77</v>
      </c>
      <c r="D158" s="221" t="str">
        <f t="shared" si="30"/>
        <v/>
      </c>
      <c r="E158" s="222" t="str">
        <f t="shared" si="31"/>
        <v>20 Minute Break</v>
      </c>
      <c r="F158" s="222" t="str">
        <f t="shared" si="32"/>
        <v/>
      </c>
      <c r="G158" s="222" t="str">
        <f t="shared" si="33"/>
        <v/>
      </c>
      <c r="H158" s="222" t="str">
        <f t="shared" si="34"/>
        <v xml:space="preserve">20 Minute Break </v>
      </c>
      <c r="I158" s="222"/>
      <c r="J158" s="224"/>
    </row>
    <row r="159" spans="3:10" x14ac:dyDescent="0.3">
      <c r="C159" s="16">
        <v>78</v>
      </c>
      <c r="D159" s="221" t="str">
        <f t="shared" si="30"/>
        <v/>
      </c>
      <c r="E159" s="222" t="str">
        <f t="shared" si="31"/>
        <v/>
      </c>
      <c r="F159" s="222" t="str">
        <f t="shared" si="32"/>
        <v/>
      </c>
      <c r="G159" s="222" t="str">
        <f t="shared" si="33"/>
        <v/>
      </c>
      <c r="H159" s="222" t="str">
        <f t="shared" si="34"/>
        <v xml:space="preserve"> </v>
      </c>
      <c r="I159" s="222"/>
      <c r="J159" s="224"/>
    </row>
    <row r="160" spans="3:10" x14ac:dyDescent="0.3">
      <c r="C160" s="16">
        <v>79</v>
      </c>
      <c r="D160" s="221" t="str">
        <f t="shared" si="30"/>
        <v/>
      </c>
      <c r="E160" s="222" t="str">
        <f t="shared" si="31"/>
        <v/>
      </c>
      <c r="F160" s="222" t="str">
        <f t="shared" si="32"/>
        <v/>
      </c>
      <c r="G160" s="222" t="str">
        <f t="shared" si="33"/>
        <v/>
      </c>
      <c r="H160" s="222" t="str">
        <f t="shared" si="34"/>
        <v xml:space="preserve"> </v>
      </c>
      <c r="I160" s="222"/>
      <c r="J160" s="224"/>
    </row>
    <row r="161" spans="3:10" x14ac:dyDescent="0.3">
      <c r="C161" s="16">
        <v>80</v>
      </c>
      <c r="D161" s="221">
        <f t="shared" si="30"/>
        <v>4.45</v>
      </c>
      <c r="E161" s="222" t="str">
        <f t="shared" si="31"/>
        <v xml:space="preserve">4 x 100m </v>
      </c>
      <c r="F161" s="222" t="str">
        <f t="shared" si="32"/>
        <v>U12 Male</v>
      </c>
      <c r="G161" s="222" t="str">
        <f t="shared" si="33"/>
        <v/>
      </c>
      <c r="H161" s="222" t="str">
        <f t="shared" si="34"/>
        <v xml:space="preserve">4 x 100m  </v>
      </c>
      <c r="I161" s="222"/>
      <c r="J161" s="224"/>
    </row>
    <row r="162" spans="3:10" x14ac:dyDescent="0.3">
      <c r="C162" s="16">
        <v>81</v>
      </c>
      <c r="D162" s="221">
        <f t="shared" si="30"/>
        <v>4.4000000000000004</v>
      </c>
      <c r="E162" s="222" t="str">
        <f t="shared" si="31"/>
        <v xml:space="preserve">4 x 100m </v>
      </c>
      <c r="F162" s="222" t="str">
        <f t="shared" si="32"/>
        <v>U12 Female</v>
      </c>
      <c r="G162" s="222" t="str">
        <f t="shared" si="33"/>
        <v/>
      </c>
      <c r="H162" s="222" t="str">
        <f t="shared" si="34"/>
        <v xml:space="preserve">4 x 100m  </v>
      </c>
      <c r="I162" s="222"/>
      <c r="J162" s="224"/>
    </row>
    <row r="163" spans="3:10" x14ac:dyDescent="0.3">
      <c r="C163" s="16">
        <v>82</v>
      </c>
      <c r="D163" s="221">
        <f t="shared" si="30"/>
        <v>4.5</v>
      </c>
      <c r="E163" s="222" t="str">
        <f t="shared" si="31"/>
        <v>4 x 100m</v>
      </c>
      <c r="F163" s="222" t="str">
        <f t="shared" si="32"/>
        <v>U14 Female</v>
      </c>
      <c r="G163" s="222" t="str">
        <f t="shared" si="33"/>
        <v/>
      </c>
      <c r="H163" s="222" t="str">
        <f t="shared" si="34"/>
        <v xml:space="preserve">4 x 100m </v>
      </c>
      <c r="I163" s="222"/>
      <c r="J163" s="224"/>
    </row>
    <row r="164" spans="3:10" x14ac:dyDescent="0.3">
      <c r="C164" s="16">
        <v>83</v>
      </c>
      <c r="D164" s="221">
        <f t="shared" si="30"/>
        <v>4.55</v>
      </c>
      <c r="E164" s="222" t="str">
        <f t="shared" si="31"/>
        <v>4 x 100m</v>
      </c>
      <c r="F164" s="222" t="str">
        <f t="shared" si="32"/>
        <v>U16 Female</v>
      </c>
      <c r="G164" s="222" t="str">
        <f t="shared" si="33"/>
        <v/>
      </c>
      <c r="H164" s="222" t="str">
        <f t="shared" si="34"/>
        <v xml:space="preserve">4 x 100m </v>
      </c>
      <c r="I164" s="222"/>
      <c r="J164" s="224"/>
    </row>
    <row r="165" spans="3:10" x14ac:dyDescent="0.3">
      <c r="C165" s="16">
        <v>84</v>
      </c>
      <c r="D165" s="221">
        <f t="shared" si="30"/>
        <v>5</v>
      </c>
      <c r="E165" s="222" t="str">
        <f t="shared" si="31"/>
        <v>4 x 100m (U18/U20)</v>
      </c>
      <c r="F165" s="222" t="str">
        <f t="shared" si="32"/>
        <v>U18 Female</v>
      </c>
      <c r="G165" s="222" t="str">
        <f t="shared" si="33"/>
        <v/>
      </c>
      <c r="H165" s="222" t="str">
        <f t="shared" si="34"/>
        <v xml:space="preserve">4 x 100m (U18/U20) </v>
      </c>
      <c r="I165" s="222"/>
      <c r="J165" s="224"/>
    </row>
    <row r="166" spans="3:10" x14ac:dyDescent="0.3">
      <c r="C166" s="16">
        <v>85</v>
      </c>
      <c r="D166" s="221">
        <f t="shared" si="30"/>
        <v>5.05</v>
      </c>
      <c r="E166" s="222" t="str">
        <f t="shared" si="31"/>
        <v>4 x 100m</v>
      </c>
      <c r="F166" s="222" t="str">
        <f t="shared" si="32"/>
        <v>U14 Male</v>
      </c>
      <c r="G166" s="222" t="str">
        <f t="shared" si="33"/>
        <v/>
      </c>
      <c r="H166" s="222" t="str">
        <f t="shared" si="34"/>
        <v xml:space="preserve">4 x 100m </v>
      </c>
      <c r="I166" s="222"/>
      <c r="J166" s="224"/>
    </row>
    <row r="167" spans="3:10" x14ac:dyDescent="0.3">
      <c r="C167" s="16">
        <v>86</v>
      </c>
      <c r="D167" s="221">
        <f t="shared" si="30"/>
        <v>5.0999999999999996</v>
      </c>
      <c r="E167" s="222" t="str">
        <f t="shared" si="31"/>
        <v>4 x 100m</v>
      </c>
      <c r="F167" s="222" t="str">
        <f t="shared" si="32"/>
        <v>U16 Male</v>
      </c>
      <c r="G167" s="222" t="str">
        <f t="shared" si="33"/>
        <v/>
      </c>
      <c r="H167" s="222" t="str">
        <f t="shared" si="34"/>
        <v xml:space="preserve">4 x 100m </v>
      </c>
      <c r="I167" s="222"/>
      <c r="J167" s="224"/>
    </row>
    <row r="168" spans="3:10" x14ac:dyDescent="0.3">
      <c r="C168" s="16">
        <f>C167+1</f>
        <v>87</v>
      </c>
      <c r="D168" s="221">
        <f t="shared" si="30"/>
        <v>5.15</v>
      </c>
      <c r="E168" s="222" t="str">
        <f t="shared" si="31"/>
        <v>4 x 100m (U18/U20)</v>
      </c>
      <c r="F168" s="222" t="str">
        <f t="shared" si="32"/>
        <v>U18 Men</v>
      </c>
      <c r="G168" s="222" t="str">
        <f t="shared" si="33"/>
        <v/>
      </c>
      <c r="H168" s="222" t="str">
        <f t="shared" si="34"/>
        <v xml:space="preserve">4 x 100m (U18/U20) </v>
      </c>
      <c r="I168" s="222"/>
      <c r="J168" s="224"/>
    </row>
    <row r="169" spans="3:10" x14ac:dyDescent="0.3">
      <c r="C169" s="16">
        <f>C168+1</f>
        <v>88</v>
      </c>
      <c r="D169" s="221">
        <f t="shared" si="30"/>
        <v>11</v>
      </c>
      <c r="E169" s="222" t="str">
        <f t="shared" si="31"/>
        <v>1500m</v>
      </c>
      <c r="F169" s="222" t="str">
        <f t="shared" si="32"/>
        <v>U14 Female</v>
      </c>
      <c r="G169" s="222" t="str">
        <f t="shared" si="33"/>
        <v>NS</v>
      </c>
      <c r="H169" s="222" t="str">
        <f t="shared" ref="H169:H170" si="35">VLOOKUP($C169,IF(ISNA(VLOOKUP($C169,Track,1,FALSE)),Field,Track),3,FALSE)&amp;" "&amp;F169</f>
        <v>1500m U14 Female</v>
      </c>
      <c r="I169" s="222"/>
      <c r="J169" s="224"/>
    </row>
    <row r="170" spans="3:10" x14ac:dyDescent="0.3">
      <c r="C170" s="16">
        <f>C169+1</f>
        <v>89</v>
      </c>
      <c r="D170" s="221">
        <f t="shared" si="30"/>
        <v>11.1</v>
      </c>
      <c r="E170" s="222" t="str">
        <f t="shared" si="31"/>
        <v>1500m</v>
      </c>
      <c r="F170" s="222" t="str">
        <f t="shared" si="32"/>
        <v>U16 Female</v>
      </c>
      <c r="G170" s="222" t="str">
        <f t="shared" si="33"/>
        <v>NS</v>
      </c>
      <c r="H170" s="222" t="str">
        <f t="shared" si="35"/>
        <v>1500m U16 Female</v>
      </c>
      <c r="I170" s="222"/>
      <c r="J170" s="224"/>
    </row>
    <row r="171" spans="3:10" x14ac:dyDescent="0.3">
      <c r="C171" s="16">
        <f>C170+1</f>
        <v>90</v>
      </c>
      <c r="D171" s="221">
        <f t="shared" si="30"/>
        <v>11.2</v>
      </c>
      <c r="E171" s="222" t="str">
        <f t="shared" si="31"/>
        <v>1500m (U18/U20)</v>
      </c>
      <c r="F171" s="222" t="str">
        <f t="shared" si="32"/>
        <v>U18 Female</v>
      </c>
      <c r="G171" s="222" t="str">
        <f t="shared" si="33"/>
        <v>NS</v>
      </c>
      <c r="H171" s="222" t="str">
        <f>VLOOKUP($C171,IF(ISNA(VLOOKUP($C171,Track,1,FALSE)),Field,Track),3,FALSE)&amp;" Female"</f>
        <v>1500m (U18/U20) Female</v>
      </c>
      <c r="I171" s="222"/>
      <c r="J171" s="224"/>
    </row>
    <row r="172" spans="3:10" x14ac:dyDescent="0.3">
      <c r="C172" s="16">
        <v>91</v>
      </c>
      <c r="D172" s="221">
        <f t="shared" si="30"/>
        <v>11.4</v>
      </c>
      <c r="E172" s="222" t="str">
        <f t="shared" si="31"/>
        <v>800m</v>
      </c>
      <c r="F172" s="222" t="str">
        <f t="shared" si="32"/>
        <v>U14 Male</v>
      </c>
      <c r="G172" s="222" t="str">
        <f t="shared" si="33"/>
        <v>NS</v>
      </c>
      <c r="H172" s="222" t="str">
        <f t="shared" ref="H172:H179" si="36">VLOOKUP($C172,IF(ISNA(VLOOKUP($C172,Track,1,FALSE)),Field,Track),3,FALSE)&amp;" "&amp;F172</f>
        <v>800m U14 Male</v>
      </c>
      <c r="I172" s="222"/>
      <c r="J172" s="224"/>
    </row>
    <row r="173" spans="3:10" x14ac:dyDescent="0.3">
      <c r="C173" s="16">
        <v>92</v>
      </c>
      <c r="D173" s="221">
        <f t="shared" si="30"/>
        <v>12.1</v>
      </c>
      <c r="E173" s="222" t="str">
        <f t="shared" si="31"/>
        <v>800m</v>
      </c>
      <c r="F173" s="222" t="str">
        <f t="shared" si="32"/>
        <v>U16 Male</v>
      </c>
      <c r="G173" s="222" t="str">
        <f t="shared" si="33"/>
        <v>NS</v>
      </c>
      <c r="H173" s="222" t="str">
        <f t="shared" si="36"/>
        <v>800m U16 Male</v>
      </c>
      <c r="I173" s="222"/>
      <c r="J173" s="224"/>
    </row>
    <row r="174" spans="3:10" x14ac:dyDescent="0.3">
      <c r="C174" s="16">
        <v>93</v>
      </c>
      <c r="D174" s="221">
        <f t="shared" si="30"/>
        <v>12.2</v>
      </c>
      <c r="E174" s="222" t="str">
        <f t="shared" si="31"/>
        <v>800m (U18/U20)</v>
      </c>
      <c r="F174" s="222" t="str">
        <f t="shared" si="32"/>
        <v>U18 Men</v>
      </c>
      <c r="G174" s="222" t="str">
        <f t="shared" si="33"/>
        <v>NS</v>
      </c>
      <c r="H174" s="222" t="str">
        <f>VLOOKUP($C174,IF(ISNA(VLOOKUP($C174,Track,1,FALSE)),Field,Track),3,FALSE)&amp;" Men"</f>
        <v>800m (U18/U20) Men</v>
      </c>
      <c r="I174" s="222"/>
      <c r="J174" s="224"/>
    </row>
    <row r="175" spans="3:10" x14ac:dyDescent="0.3">
      <c r="C175" s="16">
        <v>94</v>
      </c>
      <c r="D175" s="221">
        <f t="shared" si="30"/>
        <v>12.4</v>
      </c>
      <c r="E175" s="222" t="str">
        <f t="shared" si="31"/>
        <v>800m</v>
      </c>
      <c r="F175" s="222" t="str">
        <f t="shared" si="32"/>
        <v>U14 Female</v>
      </c>
      <c r="G175" s="222" t="str">
        <f t="shared" si="33"/>
        <v>NS</v>
      </c>
      <c r="H175" s="222" t="str">
        <f t="shared" si="36"/>
        <v>800m U14 Female</v>
      </c>
      <c r="I175" s="222"/>
      <c r="J175" s="224"/>
    </row>
    <row r="176" spans="3:10" x14ac:dyDescent="0.3">
      <c r="C176" s="16">
        <v>95</v>
      </c>
      <c r="D176" s="221">
        <f t="shared" si="30"/>
        <v>1</v>
      </c>
      <c r="E176" s="222" t="str">
        <f t="shared" si="31"/>
        <v>800m</v>
      </c>
      <c r="F176" s="222" t="str">
        <f t="shared" si="32"/>
        <v>U16 Female</v>
      </c>
      <c r="G176" s="222" t="str">
        <f t="shared" si="33"/>
        <v>NS</v>
      </c>
      <c r="H176" s="222" t="str">
        <f t="shared" si="36"/>
        <v>800m U16 Female</v>
      </c>
      <c r="I176" s="222"/>
      <c r="J176" s="224"/>
    </row>
    <row r="177" spans="3:10" x14ac:dyDescent="0.3">
      <c r="C177" s="16">
        <v>96</v>
      </c>
      <c r="D177" s="221">
        <f t="shared" si="30"/>
        <v>1.2</v>
      </c>
      <c r="E177" s="222" t="str">
        <f t="shared" si="31"/>
        <v>800m (U18/U20)</v>
      </c>
      <c r="F177" s="222" t="str">
        <f t="shared" si="32"/>
        <v>U18 Female</v>
      </c>
      <c r="G177" s="222" t="str">
        <f t="shared" si="33"/>
        <v>NS</v>
      </c>
      <c r="H177" s="222" t="str">
        <f>VLOOKUP($C177,IF(ISNA(VLOOKUP($C177,Track,1,FALSE)),Field,Track),3,FALSE)&amp;" Female"</f>
        <v>800m (U18/U20) Female</v>
      </c>
      <c r="I177" s="222"/>
      <c r="J177" s="224"/>
    </row>
    <row r="178" spans="3:10" x14ac:dyDescent="0.3">
      <c r="C178" s="16">
        <v>97</v>
      </c>
      <c r="D178" s="221">
        <f t="shared" si="30"/>
        <v>3.1</v>
      </c>
      <c r="E178" s="222" t="str">
        <f t="shared" si="31"/>
        <v>1500m</v>
      </c>
      <c r="F178" s="222" t="str">
        <f t="shared" si="32"/>
        <v>U14 Male</v>
      </c>
      <c r="G178" s="222" t="str">
        <f t="shared" si="33"/>
        <v>NS</v>
      </c>
      <c r="H178" s="222" t="str">
        <f t="shared" si="36"/>
        <v>1500m U14 Male</v>
      </c>
      <c r="I178" s="222"/>
      <c r="J178" s="224"/>
    </row>
    <row r="179" spans="3:10" x14ac:dyDescent="0.3">
      <c r="C179" s="16">
        <v>98</v>
      </c>
      <c r="D179" s="221">
        <f t="shared" si="30"/>
        <v>3.2</v>
      </c>
      <c r="E179" s="222" t="str">
        <f t="shared" si="31"/>
        <v>1500m</v>
      </c>
      <c r="F179" s="222" t="str">
        <f t="shared" si="32"/>
        <v>U16 Male</v>
      </c>
      <c r="G179" s="222" t="str">
        <f t="shared" si="33"/>
        <v>NS</v>
      </c>
      <c r="H179" s="222" t="str">
        <f t="shared" si="36"/>
        <v>1500m U16 Male</v>
      </c>
      <c r="I179" s="222"/>
      <c r="J179" s="224"/>
    </row>
    <row r="180" spans="3:10" x14ac:dyDescent="0.3">
      <c r="C180" s="16">
        <v>99</v>
      </c>
      <c r="D180" s="221">
        <f t="shared" si="30"/>
        <v>3.3</v>
      </c>
      <c r="E180" s="222" t="str">
        <f t="shared" si="31"/>
        <v>1500m (U18/U20)</v>
      </c>
      <c r="F180" s="222" t="str">
        <f t="shared" si="32"/>
        <v>U18 Men</v>
      </c>
      <c r="G180" s="222" t="str">
        <f t="shared" si="33"/>
        <v>NS</v>
      </c>
      <c r="H180" s="222" t="str">
        <f>VLOOKUP($C180,IF(ISNA(VLOOKUP($C180,Track,1,FALSE)),Field,Track),3,FALSE)&amp;" Men"</f>
        <v>1500m (U18/U20) Men</v>
      </c>
      <c r="I180" s="222"/>
      <c r="J180" s="224"/>
    </row>
    <row r="181" spans="3:10" x14ac:dyDescent="0.3">
      <c r="C181" s="16"/>
      <c r="D181" s="221"/>
      <c r="E181" s="222"/>
      <c r="F181" s="222"/>
      <c r="G181" s="222"/>
      <c r="H181" s="222"/>
      <c r="I181" s="222"/>
      <c r="J181" s="224"/>
    </row>
    <row r="182" spans="3:10" x14ac:dyDescent="0.3">
      <c r="C182" s="16"/>
      <c r="D182" s="221"/>
      <c r="E182" s="222"/>
      <c r="F182" s="222"/>
      <c r="G182" s="222"/>
      <c r="H182" s="222"/>
      <c r="I182" s="222"/>
      <c r="J182" s="224"/>
    </row>
    <row r="183" spans="3:10" ht="15" thickBot="1" x14ac:dyDescent="0.35">
      <c r="C183" s="225"/>
      <c r="D183" s="226"/>
      <c r="E183" s="115"/>
      <c r="F183" s="227"/>
      <c r="G183" s="227"/>
      <c r="H183" s="227"/>
      <c r="I183" s="227"/>
      <c r="J183" s="117"/>
    </row>
    <row r="185" spans="3:10" x14ac:dyDescent="0.3">
      <c r="C185">
        <v>77</v>
      </c>
      <c r="D185" t="s">
        <v>148</v>
      </c>
      <c r="E185" s="118" t="s">
        <v>148</v>
      </c>
      <c r="F185" s="118" t="s">
        <v>148</v>
      </c>
      <c r="G185" s="32" t="s">
        <v>148</v>
      </c>
      <c r="H185" s="32" t="s">
        <v>237</v>
      </c>
    </row>
    <row r="186" spans="3:10" x14ac:dyDescent="0.3">
      <c r="C186">
        <v>78</v>
      </c>
      <c r="D186" t="s">
        <v>148</v>
      </c>
      <c r="E186" s="118" t="s">
        <v>148</v>
      </c>
      <c r="F186" s="118" t="s">
        <v>148</v>
      </c>
      <c r="G186" s="32" t="s">
        <v>148</v>
      </c>
      <c r="H186" s="32" t="s">
        <v>237</v>
      </c>
    </row>
    <row r="187" spans="3:10" x14ac:dyDescent="0.3">
      <c r="C187">
        <v>79</v>
      </c>
      <c r="D187" t="s">
        <v>148</v>
      </c>
      <c r="E187" s="118" t="s">
        <v>148</v>
      </c>
      <c r="F187" s="118" t="s">
        <v>148</v>
      </c>
      <c r="G187" s="32" t="s">
        <v>148</v>
      </c>
      <c r="H187" s="32" t="s">
        <v>237</v>
      </c>
    </row>
    <row r="188" spans="3:10" x14ac:dyDescent="0.3">
      <c r="C188">
        <v>80</v>
      </c>
      <c r="D188" t="s">
        <v>148</v>
      </c>
      <c r="E188" s="118" t="s">
        <v>148</v>
      </c>
      <c r="F188" s="118" t="s">
        <v>148</v>
      </c>
      <c r="G188" s="32" t="s">
        <v>148</v>
      </c>
      <c r="H188" s="32" t="s">
        <v>237</v>
      </c>
    </row>
  </sheetData>
  <sheetProtection sheet="1" objects="1" scenarios="1"/>
  <sortState xmlns:xlrd2="http://schemas.microsoft.com/office/spreadsheetml/2017/richdata2" ref="Y10:AB92">
    <sortCondition ref="AB10:AB92"/>
    <sortCondition ref="Y10:Y92"/>
  </sortState>
  <mergeCells count="1">
    <mergeCell ref="E62:F62"/>
  </mergeCells>
  <pageMargins left="0.7" right="0.7" top="0.75" bottom="0.75" header="0.3" footer="0.3"/>
  <pageSetup paperSize="9" scale="65" fitToWidth="2" orientation="portrait" r:id="rId1"/>
  <colBreaks count="2" manualBreakCount="2">
    <brk id="13" max="1048575" man="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30D488-AD9A-40E8-9F29-CD6FBF47A88C}">
  <sheetPr codeName="Sheet4">
    <tabColor rgb="FF00B0F0"/>
  </sheetPr>
  <dimension ref="A1:BC117"/>
  <sheetViews>
    <sheetView zoomScale="90" zoomScaleNormal="90" workbookViewId="0">
      <pane xSplit="4" ySplit="5" topLeftCell="AK63" activePane="bottomRight" state="frozen"/>
      <selection pane="topRight" activeCell="E1" sqref="E1"/>
      <selection pane="bottomLeft" activeCell="A6" sqref="A6"/>
      <selection pane="bottomRight" activeCell="AD43" sqref="AD43"/>
    </sheetView>
  </sheetViews>
  <sheetFormatPr defaultRowHeight="14.4" x14ac:dyDescent="0.3"/>
  <cols>
    <col min="1" max="1" width="6.5546875" customWidth="1"/>
    <col min="2" max="2" width="6.6640625" customWidth="1"/>
    <col min="3" max="3" width="7.6640625" style="32" customWidth="1"/>
    <col min="4" max="4" width="21.6640625" customWidth="1"/>
    <col min="5" max="7" width="5.6640625" customWidth="1"/>
    <col min="8" max="8" width="25.6640625" customWidth="1"/>
    <col min="9" max="9" width="5.6640625" customWidth="1"/>
    <col min="10" max="10" width="25.6640625" customWidth="1"/>
    <col min="11" max="11" width="5.6640625" customWidth="1"/>
    <col min="12" max="12" width="5.88671875" customWidth="1"/>
    <col min="13" max="13" width="25.6640625" customWidth="1"/>
    <col min="14" max="14" width="5.6640625" customWidth="1"/>
    <col min="15" max="15" width="25.6640625" customWidth="1"/>
    <col min="16" max="16" width="5.6640625" customWidth="1"/>
    <col min="17" max="17" width="5.88671875" customWidth="1"/>
    <col min="18" max="18" width="25.6640625" customWidth="1"/>
    <col min="19" max="19" width="5.6640625" customWidth="1"/>
    <col min="20" max="20" width="25.6640625" customWidth="1"/>
    <col min="21" max="22" width="5.6640625" customWidth="1"/>
    <col min="23" max="23" width="25.6640625" customWidth="1"/>
    <col min="24" max="24" width="5.6640625" customWidth="1"/>
    <col min="25" max="25" width="25.6640625" customWidth="1"/>
    <col min="26" max="26" width="5.6640625" customWidth="1"/>
    <col min="27" max="27" width="5.88671875" customWidth="1"/>
    <col min="28" max="28" width="25.6640625" customWidth="1"/>
    <col min="29" max="29" width="5.6640625" customWidth="1"/>
    <col min="30" max="30" width="25.6640625" customWidth="1"/>
    <col min="31" max="31" width="5.6640625" customWidth="1"/>
    <col min="32" max="32" width="5.88671875" customWidth="1"/>
    <col min="33" max="33" width="25.6640625" customWidth="1"/>
    <col min="34" max="34" width="5.6640625" customWidth="1"/>
    <col min="35" max="35" width="25.6640625" customWidth="1"/>
    <col min="36" max="36" width="5.6640625" customWidth="1"/>
    <col min="37" max="37" width="5.88671875" customWidth="1"/>
    <col min="38" max="38" width="25.6640625" customWidth="1"/>
    <col min="39" max="39" width="5.6640625" customWidth="1"/>
    <col min="40" max="40" width="25.6640625" customWidth="1"/>
    <col min="41" max="41" width="5.6640625" customWidth="1"/>
    <col min="42" max="42" width="5.88671875" customWidth="1"/>
    <col min="43" max="43" width="25.6640625" customWidth="1"/>
    <col min="44" max="44" width="5.6640625" customWidth="1"/>
    <col min="45" max="45" width="25.6640625" customWidth="1"/>
    <col min="47" max="47" width="5.6640625" customWidth="1"/>
    <col min="48" max="48" width="25.88671875" customWidth="1"/>
    <col min="49" max="49" width="5.6640625" customWidth="1"/>
    <col min="50" max="50" width="25" customWidth="1"/>
    <col min="52" max="52" width="5.6640625" customWidth="1"/>
    <col min="53" max="53" width="25.88671875" customWidth="1"/>
    <col min="54" max="54" width="5.6640625" customWidth="1"/>
    <col min="55" max="55" width="25" customWidth="1"/>
  </cols>
  <sheetData>
    <row r="1" spans="1:55" ht="15" thickBot="1" x14ac:dyDescent="0.35">
      <c r="B1" s="32"/>
      <c r="D1" s="118"/>
      <c r="E1" s="118"/>
      <c r="F1" s="118"/>
      <c r="G1" s="32"/>
      <c r="I1" s="32"/>
      <c r="U1" s="118"/>
      <c r="V1" s="32"/>
      <c r="X1" s="32"/>
      <c r="BA1" s="228" t="s">
        <v>238</v>
      </c>
    </row>
    <row r="2" spans="1:55" ht="17.399999999999999" x14ac:dyDescent="0.3">
      <c r="B2" s="229"/>
      <c r="C2" s="230" t="s">
        <v>62</v>
      </c>
      <c r="D2" s="231"/>
      <c r="E2" s="232"/>
      <c r="F2" s="118"/>
      <c r="G2" s="229"/>
      <c r="H2" s="233" t="s">
        <v>86</v>
      </c>
      <c r="I2" s="234"/>
      <c r="J2" s="235" t="s">
        <v>66</v>
      </c>
      <c r="L2" s="229"/>
      <c r="M2" s="233" t="s">
        <v>86</v>
      </c>
      <c r="N2" s="234"/>
      <c r="O2" s="235" t="s">
        <v>66</v>
      </c>
      <c r="Q2" s="229"/>
      <c r="R2" s="233" t="s">
        <v>86</v>
      </c>
      <c r="S2" s="234"/>
      <c r="T2" s="235" t="s">
        <v>66</v>
      </c>
      <c r="U2" s="118"/>
      <c r="V2" s="229"/>
      <c r="W2" s="233" t="s">
        <v>86</v>
      </c>
      <c r="X2" s="234"/>
      <c r="Y2" s="235" t="s">
        <v>66</v>
      </c>
      <c r="AA2" s="229"/>
      <c r="AB2" s="233" t="s">
        <v>86</v>
      </c>
      <c r="AC2" s="234"/>
      <c r="AD2" s="235" t="s">
        <v>66</v>
      </c>
      <c r="AF2" s="229"/>
      <c r="AG2" s="233" t="s">
        <v>86</v>
      </c>
      <c r="AH2" s="234"/>
      <c r="AI2" s="235" t="s">
        <v>66</v>
      </c>
      <c r="AK2" s="229"/>
      <c r="AL2" s="233" t="s">
        <v>86</v>
      </c>
      <c r="AM2" s="234"/>
      <c r="AN2" s="235" t="s">
        <v>66</v>
      </c>
      <c r="AP2" s="229"/>
      <c r="AQ2" s="233" t="s">
        <v>86</v>
      </c>
      <c r="AR2" s="234"/>
      <c r="AS2" s="235" t="s">
        <v>66</v>
      </c>
      <c r="BA2" s="228"/>
    </row>
    <row r="3" spans="1:55" ht="21" x14ac:dyDescent="0.4">
      <c r="B3" s="236"/>
      <c r="C3" s="237" t="s">
        <v>239</v>
      </c>
      <c r="D3" s="238"/>
      <c r="E3" s="239"/>
      <c r="F3" s="118"/>
      <c r="G3" s="240" t="str">
        <f>'Event Details'!D22</f>
        <v>S</v>
      </c>
      <c r="H3" s="241" t="str">
        <f>'Event Details'!$E$22</f>
        <v>BRAT</v>
      </c>
      <c r="I3" s="242"/>
      <c r="J3" s="243" t="str">
        <f>'Event Details'!$C$17</f>
        <v>17th May 2026</v>
      </c>
      <c r="L3" s="240" t="str">
        <f>'Event Details'!D23</f>
        <v>U</v>
      </c>
      <c r="M3" s="241" t="str">
        <f>'Event Details'!$E$23</f>
        <v>Kidder &amp; Stourport</v>
      </c>
      <c r="N3" s="242"/>
      <c r="O3" s="243" t="str">
        <f>'Event Details'!$C$17</f>
        <v>17th May 2026</v>
      </c>
      <c r="Q3" s="240" t="str">
        <f>'Event Details'!D24</f>
        <v>G</v>
      </c>
      <c r="R3" s="244" t="str">
        <f>'Event Details'!$E$24</f>
        <v>Royal Sutton</v>
      </c>
      <c r="S3" s="242"/>
      <c r="T3" s="243" t="str">
        <f>'Event Details'!$C$17</f>
        <v>17th May 2026</v>
      </c>
      <c r="U3" s="118"/>
      <c r="V3" s="240" t="str">
        <f>'Event Details'!D25</f>
        <v>R</v>
      </c>
      <c r="W3" s="241" t="str">
        <f>'Event Details'!$E$25</f>
        <v>Rugby &amp; N'hampton</v>
      </c>
      <c r="X3" s="242"/>
      <c r="Y3" s="243" t="str">
        <f>'Event Details'!$C$17</f>
        <v>17th May 2026</v>
      </c>
      <c r="AA3" s="240" t="str">
        <f>'Event Details'!D26</f>
        <v>M</v>
      </c>
      <c r="AB3" s="241" t="str">
        <f>'Event Details'!$E$26</f>
        <v>Solihull &amp; S.Heath</v>
      </c>
      <c r="AC3" s="242"/>
      <c r="AD3" s="243" t="str">
        <f>'Event Details'!$C$17</f>
        <v>17th May 2026</v>
      </c>
      <c r="AF3" s="240" t="str">
        <f>'Event Details'!D27</f>
        <v>D</v>
      </c>
      <c r="AG3" s="241" t="str">
        <f>'Event Details'!$E$27</f>
        <v>Stratford</v>
      </c>
      <c r="AH3" s="242"/>
      <c r="AI3" s="243" t="str">
        <f>'Event Details'!$C$17</f>
        <v>17th May 2026</v>
      </c>
      <c r="AK3" s="240" t="str">
        <f>'Event Details'!D28</f>
        <v>F</v>
      </c>
      <c r="AL3" s="244" t="str">
        <f>'Event Details'!$E$28</f>
        <v>Tamworth</v>
      </c>
      <c r="AM3" s="242"/>
      <c r="AN3" s="243" t="str">
        <f>'Event Details'!$C$17</f>
        <v>17th May 2026</v>
      </c>
      <c r="AP3" s="240" t="str">
        <f>'Event Details'!D29</f>
        <v>Y</v>
      </c>
      <c r="AQ3" s="244" t="str">
        <f>'Event Details'!$E$29</f>
        <v>Worcester</v>
      </c>
      <c r="AR3" s="242"/>
      <c r="AS3" s="243" t="str">
        <f>'Event Details'!$C$17</f>
        <v>17th May 2026</v>
      </c>
      <c r="BA3" s="228"/>
    </row>
    <row r="4" spans="1:55" x14ac:dyDescent="0.3">
      <c r="B4" s="236"/>
      <c r="C4" s="245" t="s">
        <v>240</v>
      </c>
      <c r="D4" s="246"/>
      <c r="E4" s="247"/>
      <c r="F4" s="118"/>
      <c r="G4" s="236"/>
      <c r="H4" s="246"/>
      <c r="I4" s="246"/>
      <c r="J4" s="248"/>
      <c r="L4" s="236"/>
      <c r="M4" s="246"/>
      <c r="N4" s="246"/>
      <c r="O4" s="248"/>
      <c r="Q4" s="236"/>
      <c r="R4" s="246"/>
      <c r="S4" s="246"/>
      <c r="T4" s="248"/>
      <c r="U4" s="118"/>
      <c r="V4" s="236"/>
      <c r="W4" s="246"/>
      <c r="X4" s="246"/>
      <c r="Y4" s="248"/>
      <c r="AA4" s="236"/>
      <c r="AB4" s="246"/>
      <c r="AC4" s="246"/>
      <c r="AD4" s="248"/>
      <c r="AF4" s="236"/>
      <c r="AG4" s="246"/>
      <c r="AH4" s="246"/>
      <c r="AI4" s="248"/>
      <c r="AK4" s="236"/>
      <c r="AL4" s="246"/>
      <c r="AM4" s="246"/>
      <c r="AN4" s="248"/>
      <c r="AP4" s="236"/>
      <c r="AQ4" s="246"/>
      <c r="AR4" s="246"/>
      <c r="AS4" s="248"/>
    </row>
    <row r="5" spans="1:55" ht="15" thickBot="1" x14ac:dyDescent="0.35">
      <c r="B5" s="249"/>
      <c r="C5" s="250"/>
      <c r="D5" s="251"/>
      <c r="E5" s="252"/>
      <c r="F5" s="118"/>
      <c r="G5" s="249"/>
      <c r="H5" s="253"/>
      <c r="I5" s="250"/>
      <c r="J5" s="254"/>
      <c r="L5" s="249"/>
      <c r="M5" s="253"/>
      <c r="N5" s="250"/>
      <c r="O5" s="254"/>
      <c r="Q5" s="249"/>
      <c r="R5" s="253"/>
      <c r="S5" s="250"/>
      <c r="T5" s="254"/>
      <c r="U5" s="118"/>
      <c r="V5" s="249"/>
      <c r="W5" s="253"/>
      <c r="X5" s="250"/>
      <c r="Y5" s="254"/>
      <c r="AA5" s="249"/>
      <c r="AB5" s="253"/>
      <c r="AC5" s="250"/>
      <c r="AD5" s="254"/>
      <c r="AF5" s="249"/>
      <c r="AG5" s="253"/>
      <c r="AH5" s="250"/>
      <c r="AI5" s="254"/>
      <c r="AK5" s="249"/>
      <c r="AL5" s="253"/>
      <c r="AM5" s="250"/>
      <c r="AN5" s="254"/>
      <c r="AP5" s="249"/>
      <c r="AQ5" s="253"/>
      <c r="AR5" s="250"/>
      <c r="AS5" s="254"/>
    </row>
    <row r="6" spans="1:55" ht="16.2" thickBot="1" x14ac:dyDescent="0.35">
      <c r="A6" s="140"/>
      <c r="B6" s="255" t="s">
        <v>165</v>
      </c>
      <c r="C6" s="256" t="s">
        <v>168</v>
      </c>
      <c r="D6" s="257" t="s">
        <v>241</v>
      </c>
      <c r="E6" s="258"/>
      <c r="F6" s="118"/>
      <c r="G6" s="255" t="s">
        <v>167</v>
      </c>
      <c r="H6" s="256" t="s">
        <v>242</v>
      </c>
      <c r="I6" s="256" t="s">
        <v>167</v>
      </c>
      <c r="J6" s="259" t="s">
        <v>243</v>
      </c>
      <c r="K6" s="140"/>
      <c r="L6" s="255" t="s">
        <v>167</v>
      </c>
      <c r="M6" s="256" t="s">
        <v>242</v>
      </c>
      <c r="N6" s="256" t="s">
        <v>167</v>
      </c>
      <c r="O6" s="259" t="s">
        <v>243</v>
      </c>
      <c r="P6" s="140"/>
      <c r="Q6" s="255" t="s">
        <v>167</v>
      </c>
      <c r="R6" s="256" t="s">
        <v>242</v>
      </c>
      <c r="S6" s="256" t="s">
        <v>167</v>
      </c>
      <c r="T6" s="259" t="s">
        <v>243</v>
      </c>
      <c r="U6" s="118"/>
      <c r="V6" s="255" t="s">
        <v>167</v>
      </c>
      <c r="W6" s="256" t="s">
        <v>242</v>
      </c>
      <c r="X6" s="256" t="s">
        <v>167</v>
      </c>
      <c r="Y6" s="259" t="s">
        <v>243</v>
      </c>
      <c r="Z6" s="140"/>
      <c r="AA6" s="255" t="s">
        <v>167</v>
      </c>
      <c r="AB6" s="256" t="s">
        <v>242</v>
      </c>
      <c r="AC6" s="256" t="s">
        <v>167</v>
      </c>
      <c r="AD6" s="259" t="s">
        <v>243</v>
      </c>
      <c r="AE6" s="140"/>
      <c r="AF6" s="255" t="s">
        <v>167</v>
      </c>
      <c r="AG6" s="256" t="s">
        <v>242</v>
      </c>
      <c r="AH6" s="256" t="s">
        <v>167</v>
      </c>
      <c r="AI6" s="259" t="s">
        <v>243</v>
      </c>
      <c r="AJ6" s="140"/>
      <c r="AK6" s="255" t="s">
        <v>167</v>
      </c>
      <c r="AL6" s="256" t="s">
        <v>242</v>
      </c>
      <c r="AM6" s="256" t="s">
        <v>167</v>
      </c>
      <c r="AN6" s="259" t="s">
        <v>243</v>
      </c>
      <c r="AO6" s="140"/>
      <c r="AP6" s="255" t="s">
        <v>167</v>
      </c>
      <c r="AQ6" s="256" t="s">
        <v>242</v>
      </c>
      <c r="AR6" s="256" t="s">
        <v>167</v>
      </c>
      <c r="AS6" s="259" t="s">
        <v>243</v>
      </c>
      <c r="AT6" s="140"/>
      <c r="AU6" s="255" t="s">
        <v>167</v>
      </c>
      <c r="AV6" s="256" t="s">
        <v>242</v>
      </c>
      <c r="AW6" s="256" t="s">
        <v>167</v>
      </c>
      <c r="AX6" s="259" t="s">
        <v>243</v>
      </c>
      <c r="AY6" s="140"/>
      <c r="AZ6" s="255" t="s">
        <v>167</v>
      </c>
      <c r="BA6" s="256" t="s">
        <v>242</v>
      </c>
      <c r="BB6" s="256" t="s">
        <v>167</v>
      </c>
      <c r="BC6" s="259" t="s">
        <v>243</v>
      </c>
    </row>
    <row r="7" spans="1:55" ht="15.6" x14ac:dyDescent="0.3">
      <c r="A7" s="140"/>
      <c r="B7" s="260"/>
      <c r="C7" s="261"/>
      <c r="D7" s="262" t="s">
        <v>479</v>
      </c>
      <c r="E7" s="263"/>
      <c r="F7" s="118"/>
      <c r="G7" s="264"/>
      <c r="H7" s="265"/>
      <c r="I7" s="266"/>
      <c r="J7" s="267"/>
      <c r="K7" s="140"/>
      <c r="L7" s="264"/>
      <c r="M7" s="265"/>
      <c r="N7" s="266"/>
      <c r="O7" s="267"/>
      <c r="P7" s="140"/>
      <c r="Q7" s="264"/>
      <c r="R7" s="265"/>
      <c r="S7" s="266"/>
      <c r="T7" s="267"/>
      <c r="U7" s="118"/>
      <c r="V7" s="264"/>
      <c r="W7" s="265"/>
      <c r="X7" s="266"/>
      <c r="Y7" s="267"/>
      <c r="Z7" s="140"/>
      <c r="AA7" s="264"/>
      <c r="AB7" s="265"/>
      <c r="AC7" s="266"/>
      <c r="AD7" s="267"/>
      <c r="AE7" s="140"/>
      <c r="AF7" s="264"/>
      <c r="AG7" s="265"/>
      <c r="AH7" s="266"/>
      <c r="AI7" s="267"/>
      <c r="AJ7" s="140"/>
      <c r="AK7" s="264"/>
      <c r="AL7" s="265"/>
      <c r="AM7" s="266"/>
      <c r="AN7" s="267"/>
      <c r="AO7" s="140"/>
      <c r="AP7" s="264"/>
      <c r="AQ7" s="265"/>
      <c r="AR7" s="266"/>
      <c r="AS7" s="267"/>
      <c r="AT7" s="140"/>
      <c r="AU7" s="264"/>
      <c r="AV7" s="265"/>
      <c r="AW7" s="266"/>
      <c r="AX7" s="267"/>
      <c r="AY7" s="140"/>
      <c r="AZ7" s="264"/>
      <c r="BA7" s="265"/>
      <c r="BB7" s="266"/>
      <c r="BC7" s="267"/>
    </row>
    <row r="8" spans="1:55" x14ac:dyDescent="0.3">
      <c r="A8" s="268"/>
      <c r="B8" s="269">
        <v>5</v>
      </c>
      <c r="C8" s="270">
        <f t="shared" ref="C8:C13" si="0">IF($B8&gt;0,VLOOKUP($B8,EventsOrder,2,FALSE)," ")</f>
        <v>11.45</v>
      </c>
      <c r="D8" s="270" t="str">
        <f t="shared" ref="D8:D13" si="1">IF($B8&gt;0,VLOOKUP($B8,EventsOrder,6,FALSE)," ")</f>
        <v xml:space="preserve">Howler </v>
      </c>
      <c r="E8" s="271"/>
      <c r="F8" s="118"/>
      <c r="G8" s="272" t="s">
        <v>100</v>
      </c>
      <c r="H8" s="1359" t="s">
        <v>650</v>
      </c>
      <c r="I8" s="274" t="s">
        <v>818</v>
      </c>
      <c r="J8" s="275" t="s">
        <v>651</v>
      </c>
      <c r="K8" s="276"/>
      <c r="L8" s="272" t="s">
        <v>130</v>
      </c>
      <c r="M8" s="273" t="s">
        <v>725</v>
      </c>
      <c r="N8" s="274" t="s">
        <v>726</v>
      </c>
      <c r="O8" s="275" t="s">
        <v>727</v>
      </c>
      <c r="P8" s="276"/>
      <c r="Q8" s="272" t="s">
        <v>110</v>
      </c>
      <c r="R8" s="1389" t="s">
        <v>895</v>
      </c>
      <c r="S8" s="274" t="s">
        <v>820</v>
      </c>
      <c r="T8" s="1390" t="s">
        <v>899</v>
      </c>
      <c r="U8" s="277"/>
      <c r="V8" s="272" t="s">
        <v>118</v>
      </c>
      <c r="W8" s="1365" t="s">
        <v>812</v>
      </c>
      <c r="X8" s="1368" t="s">
        <v>819</v>
      </c>
      <c r="Y8" s="1365" t="s">
        <v>813</v>
      </c>
      <c r="Z8" s="276"/>
      <c r="AA8" s="272" t="s">
        <v>127</v>
      </c>
      <c r="AB8" s="273" t="s">
        <v>785</v>
      </c>
      <c r="AC8" s="274" t="s">
        <v>821</v>
      </c>
      <c r="AD8" s="275" t="s">
        <v>786</v>
      </c>
      <c r="AE8" s="276"/>
      <c r="AF8" s="272" t="s">
        <v>136</v>
      </c>
      <c r="AG8" s="273" t="s">
        <v>512</v>
      </c>
      <c r="AH8" s="274" t="s">
        <v>513</v>
      </c>
      <c r="AI8" s="275" t="s">
        <v>514</v>
      </c>
      <c r="AJ8" s="276"/>
      <c r="AK8" s="272" t="s">
        <v>142</v>
      </c>
      <c r="AL8" s="273" t="s">
        <v>575</v>
      </c>
      <c r="AM8" s="274" t="s">
        <v>576</v>
      </c>
      <c r="AN8" s="275" t="s">
        <v>577</v>
      </c>
      <c r="AO8" s="276"/>
      <c r="AP8" s="272" t="s">
        <v>151</v>
      </c>
      <c r="AQ8" s="278" t="s">
        <v>616</v>
      </c>
      <c r="AR8" s="274" t="s">
        <v>822</v>
      </c>
      <c r="AS8" s="279" t="s">
        <v>618</v>
      </c>
      <c r="AT8" s="276"/>
      <c r="AU8" s="272"/>
      <c r="AV8" s="273"/>
      <c r="AW8" s="274"/>
      <c r="AX8" s="275"/>
      <c r="AZ8" s="272"/>
      <c r="BA8" s="273" t="str">
        <f>CONCATENATE(LEFT(BA$3,3),$B8,LEFT(BA$6,1))</f>
        <v>5A</v>
      </c>
      <c r="BB8" s="274"/>
      <c r="BC8" s="275" t="str">
        <f>CONCATENATE(LEFT(BA$3,3),$B8,LEFT(BC$6,1))</f>
        <v>5B</v>
      </c>
    </row>
    <row r="9" spans="1:55" x14ac:dyDescent="0.3">
      <c r="A9" s="268"/>
      <c r="B9" s="269">
        <v>16</v>
      </c>
      <c r="C9" s="270">
        <f t="shared" si="0"/>
        <v>12.3</v>
      </c>
      <c r="D9" s="270" t="str">
        <f t="shared" si="1"/>
        <v>Long Jump Pit 1</v>
      </c>
      <c r="E9" s="271"/>
      <c r="F9" s="118"/>
      <c r="G9" s="272" t="s">
        <v>100</v>
      </c>
      <c r="H9" s="1359" t="s">
        <v>650</v>
      </c>
      <c r="I9" s="274" t="s">
        <v>818</v>
      </c>
      <c r="J9" s="275" t="s">
        <v>652</v>
      </c>
      <c r="K9" s="276"/>
      <c r="L9" s="272" t="s">
        <v>130</v>
      </c>
      <c r="M9" s="273" t="s">
        <v>725</v>
      </c>
      <c r="N9" s="274" t="s">
        <v>726</v>
      </c>
      <c r="O9" s="275" t="s">
        <v>727</v>
      </c>
      <c r="P9" s="276"/>
      <c r="Q9" s="272" t="s">
        <v>110</v>
      </c>
      <c r="R9" s="1389" t="s">
        <v>896</v>
      </c>
      <c r="S9" s="274" t="s">
        <v>820</v>
      </c>
      <c r="T9" s="1390" t="s">
        <v>900</v>
      </c>
      <c r="U9" s="277"/>
      <c r="V9" s="272" t="s">
        <v>118</v>
      </c>
      <c r="W9" s="1365" t="s">
        <v>812</v>
      </c>
      <c r="X9" s="1368" t="s">
        <v>819</v>
      </c>
      <c r="Y9" s="1366" t="s">
        <v>814</v>
      </c>
      <c r="Z9" s="276"/>
      <c r="AA9" s="272" t="s">
        <v>127</v>
      </c>
      <c r="AB9" s="273" t="s">
        <v>785</v>
      </c>
      <c r="AC9" s="274" t="s">
        <v>821</v>
      </c>
      <c r="AD9" s="275" t="s">
        <v>787</v>
      </c>
      <c r="AE9" s="276"/>
      <c r="AF9" s="272" t="s">
        <v>136</v>
      </c>
      <c r="AG9" s="273" t="s">
        <v>515</v>
      </c>
      <c r="AH9" s="274" t="s">
        <v>513</v>
      </c>
      <c r="AI9" s="275" t="s">
        <v>516</v>
      </c>
      <c r="AJ9" s="276"/>
      <c r="AK9" s="272" t="s">
        <v>142</v>
      </c>
      <c r="AL9" s="273" t="s">
        <v>575</v>
      </c>
      <c r="AM9" s="274" t="s">
        <v>576</v>
      </c>
      <c r="AN9" s="275" t="s">
        <v>578</v>
      </c>
      <c r="AO9" s="276"/>
      <c r="AP9" s="272" t="s">
        <v>151</v>
      </c>
      <c r="AQ9" s="278" t="s">
        <v>616</v>
      </c>
      <c r="AR9" s="274" t="s">
        <v>822</v>
      </c>
      <c r="AS9" s="279" t="s">
        <v>618</v>
      </c>
      <c r="AT9" s="276"/>
      <c r="AU9" s="272"/>
      <c r="AV9" s="273"/>
      <c r="AW9" s="274"/>
      <c r="AX9" s="275"/>
      <c r="AZ9" s="272"/>
      <c r="BA9" s="273" t="str">
        <f t="shared" ref="BA9:BA10" si="2">CONCATENATE(LEFT(BA$3,3),$B9,LEFT(BA$6,1))</f>
        <v>16A</v>
      </c>
      <c r="BB9" s="274"/>
      <c r="BC9" s="275" t="str">
        <f t="shared" ref="BC9:BC10" si="3">CONCATENATE(LEFT(BA$3,3),$B9,LEFT(BC$6,1))</f>
        <v>16B</v>
      </c>
    </row>
    <row r="10" spans="1:55" x14ac:dyDescent="0.3">
      <c r="A10" s="268"/>
      <c r="B10" s="269">
        <v>34</v>
      </c>
      <c r="C10" s="270">
        <f t="shared" si="0"/>
        <v>2</v>
      </c>
      <c r="D10" s="270" t="str">
        <f t="shared" si="1"/>
        <v xml:space="preserve">600m </v>
      </c>
      <c r="E10" s="271"/>
      <c r="F10" s="118"/>
      <c r="G10" s="272" t="s">
        <v>100</v>
      </c>
      <c r="H10" s="1359" t="s">
        <v>652</v>
      </c>
      <c r="I10" s="274" t="s">
        <v>818</v>
      </c>
      <c r="J10" s="275" t="s">
        <v>651</v>
      </c>
      <c r="K10" s="276"/>
      <c r="L10" s="272" t="s">
        <v>130</v>
      </c>
      <c r="M10" s="273" t="s">
        <v>727</v>
      </c>
      <c r="N10" s="274" t="s">
        <v>726</v>
      </c>
      <c r="O10" s="275" t="s">
        <v>728</v>
      </c>
      <c r="P10" s="276"/>
      <c r="Q10" s="272" t="s">
        <v>110</v>
      </c>
      <c r="R10" s="1389" t="s">
        <v>896</v>
      </c>
      <c r="S10" s="274" t="s">
        <v>820</v>
      </c>
      <c r="T10" s="1390" t="s">
        <v>901</v>
      </c>
      <c r="U10" s="277"/>
      <c r="V10" s="272" t="s">
        <v>118</v>
      </c>
      <c r="W10" s="1365" t="s">
        <v>815</v>
      </c>
      <c r="X10" s="1368" t="s">
        <v>819</v>
      </c>
      <c r="Y10" s="1366" t="s">
        <v>813</v>
      </c>
      <c r="Z10" s="276"/>
      <c r="AA10" s="272" t="s">
        <v>127</v>
      </c>
      <c r="AB10" s="273" t="s">
        <v>785</v>
      </c>
      <c r="AC10" s="274" t="s">
        <v>821</v>
      </c>
      <c r="AD10" s="275" t="s">
        <v>787</v>
      </c>
      <c r="AE10" s="276"/>
      <c r="AF10" s="272" t="s">
        <v>136</v>
      </c>
      <c r="AG10" s="273" t="s">
        <v>517</v>
      </c>
      <c r="AH10" s="274" t="s">
        <v>513</v>
      </c>
      <c r="AI10" s="275" t="s">
        <v>514</v>
      </c>
      <c r="AJ10" s="276"/>
      <c r="AK10" s="272" t="s">
        <v>142</v>
      </c>
      <c r="AL10" s="273" t="s">
        <v>577</v>
      </c>
      <c r="AM10" s="274" t="s">
        <v>576</v>
      </c>
      <c r="AN10" s="275"/>
      <c r="AO10" s="276"/>
      <c r="AP10" s="272" t="s">
        <v>151</v>
      </c>
      <c r="AQ10" s="278" t="s">
        <v>617</v>
      </c>
      <c r="AR10" s="274" t="s">
        <v>822</v>
      </c>
      <c r="AS10" s="279" t="s">
        <v>618</v>
      </c>
      <c r="AT10" s="276"/>
      <c r="AU10" s="272"/>
      <c r="AV10" s="273"/>
      <c r="AW10" s="274"/>
      <c r="AX10" s="275"/>
      <c r="AZ10" s="272"/>
      <c r="BA10" s="273" t="str">
        <f t="shared" si="2"/>
        <v>34A</v>
      </c>
      <c r="BB10" s="274"/>
      <c r="BC10" s="275" t="str">
        <f t="shared" si="3"/>
        <v>34B</v>
      </c>
    </row>
    <row r="11" spans="1:55" x14ac:dyDescent="0.3">
      <c r="A11" s="268"/>
      <c r="B11" s="269">
        <v>53</v>
      </c>
      <c r="C11" s="270">
        <f t="shared" si="0"/>
        <v>2.5499999999999998</v>
      </c>
      <c r="D11" s="270" t="str">
        <f t="shared" si="1"/>
        <v xml:space="preserve">75m </v>
      </c>
      <c r="E11" s="271"/>
      <c r="F11" s="118"/>
      <c r="G11" s="272" t="s">
        <v>100</v>
      </c>
      <c r="H11" s="1360" t="s">
        <v>653</v>
      </c>
      <c r="I11" s="274" t="s">
        <v>818</v>
      </c>
      <c r="J11" s="279" t="s">
        <v>654</v>
      </c>
      <c r="K11" s="276"/>
      <c r="L11" s="272" t="s">
        <v>130</v>
      </c>
      <c r="M11" s="278" t="s">
        <v>728</v>
      </c>
      <c r="N11" s="274"/>
      <c r="O11" s="279"/>
      <c r="P11" s="276"/>
      <c r="Q11" s="272" t="s">
        <v>110</v>
      </c>
      <c r="R11" s="1389" t="s">
        <v>897</v>
      </c>
      <c r="S11" s="274" t="s">
        <v>820</v>
      </c>
      <c r="T11" s="1390" t="s">
        <v>902</v>
      </c>
      <c r="U11" s="277"/>
      <c r="V11" s="272" t="s">
        <v>118</v>
      </c>
      <c r="W11" s="1365" t="s">
        <v>816</v>
      </c>
      <c r="X11" s="1368" t="s">
        <v>819</v>
      </c>
      <c r="Y11" s="1366" t="s">
        <v>817</v>
      </c>
      <c r="Z11" s="276"/>
      <c r="AA11" s="272" t="s">
        <v>127</v>
      </c>
      <c r="AB11" s="278" t="s">
        <v>788</v>
      </c>
      <c r="AC11" s="274" t="s">
        <v>821</v>
      </c>
      <c r="AD11" s="279" t="s">
        <v>786</v>
      </c>
      <c r="AE11" s="276"/>
      <c r="AF11" s="272" t="s">
        <v>136</v>
      </c>
      <c r="AG11" s="278" t="s">
        <v>517</v>
      </c>
      <c r="AH11" s="274" t="s">
        <v>513</v>
      </c>
      <c r="AI11" s="279" t="s">
        <v>518</v>
      </c>
      <c r="AJ11" s="276"/>
      <c r="AK11" s="272" t="s">
        <v>142</v>
      </c>
      <c r="AL11" s="278" t="s">
        <v>575</v>
      </c>
      <c r="AM11" s="274" t="s">
        <v>576</v>
      </c>
      <c r="AN11" s="279" t="s">
        <v>578</v>
      </c>
      <c r="AO11" s="276"/>
      <c r="AP11" s="272" t="s">
        <v>151</v>
      </c>
      <c r="AQ11" s="278" t="s">
        <v>616</v>
      </c>
      <c r="AR11" s="274" t="s">
        <v>822</v>
      </c>
      <c r="AS11" s="279" t="s">
        <v>619</v>
      </c>
      <c r="AT11" s="276"/>
      <c r="AU11" s="272"/>
      <c r="AV11" s="278"/>
      <c r="AW11" s="274"/>
      <c r="AX11" s="279"/>
      <c r="AZ11" s="272"/>
      <c r="BA11" s="278"/>
      <c r="BB11" s="274"/>
      <c r="BC11" s="279"/>
    </row>
    <row r="12" spans="1:55" x14ac:dyDescent="0.3">
      <c r="A12" s="268"/>
      <c r="B12" s="269">
        <v>54</v>
      </c>
      <c r="C12" s="270">
        <f t="shared" si="0"/>
        <v>3.45</v>
      </c>
      <c r="D12" s="270" t="str">
        <f t="shared" si="1"/>
        <v xml:space="preserve">150m </v>
      </c>
      <c r="E12" s="271"/>
      <c r="F12" s="118"/>
      <c r="G12" s="272" t="s">
        <v>100</v>
      </c>
      <c r="H12" s="1360" t="s">
        <v>653</v>
      </c>
      <c r="I12" s="274" t="s">
        <v>818</v>
      </c>
      <c r="J12" s="279" t="s">
        <v>654</v>
      </c>
      <c r="K12" s="276"/>
      <c r="L12" s="272" t="s">
        <v>130</v>
      </c>
      <c r="M12" s="278" t="s">
        <v>725</v>
      </c>
      <c r="N12" s="274" t="s">
        <v>726</v>
      </c>
      <c r="O12" s="279" t="s">
        <v>729</v>
      </c>
      <c r="P12" s="276"/>
      <c r="Q12" s="272" t="s">
        <v>110</v>
      </c>
      <c r="R12" s="1389" t="s">
        <v>898</v>
      </c>
      <c r="S12" s="274" t="s">
        <v>820</v>
      </c>
      <c r="T12" s="1390" t="s">
        <v>901</v>
      </c>
      <c r="U12" s="277"/>
      <c r="V12" s="272" t="s">
        <v>118</v>
      </c>
      <c r="W12" s="1365" t="s">
        <v>812</v>
      </c>
      <c r="X12" s="1368" t="s">
        <v>819</v>
      </c>
      <c r="Y12" s="1369" t="s">
        <v>816</v>
      </c>
      <c r="Z12" s="276"/>
      <c r="AA12" s="272" t="s">
        <v>127</v>
      </c>
      <c r="AB12" s="278" t="s">
        <v>788</v>
      </c>
      <c r="AC12" s="274" t="s">
        <v>821</v>
      </c>
      <c r="AD12" s="279" t="s">
        <v>787</v>
      </c>
      <c r="AE12" s="276"/>
      <c r="AF12" s="272" t="s">
        <v>136</v>
      </c>
      <c r="AG12" s="278" t="s">
        <v>515</v>
      </c>
      <c r="AH12" s="274" t="s">
        <v>513</v>
      </c>
      <c r="AI12" s="279" t="s">
        <v>516</v>
      </c>
      <c r="AJ12" s="276"/>
      <c r="AK12" s="272" t="s">
        <v>142</v>
      </c>
      <c r="AL12" s="278" t="s">
        <v>577</v>
      </c>
      <c r="AM12" s="274" t="s">
        <v>576</v>
      </c>
      <c r="AN12" s="279" t="s">
        <v>578</v>
      </c>
      <c r="AO12" s="276"/>
      <c r="AP12" s="272" t="s">
        <v>151</v>
      </c>
      <c r="AQ12" s="278" t="s">
        <v>617</v>
      </c>
      <c r="AR12" s="274" t="s">
        <v>822</v>
      </c>
      <c r="AS12" s="279" t="s">
        <v>619</v>
      </c>
      <c r="AT12" s="276"/>
      <c r="AU12" s="269"/>
      <c r="AV12" s="278"/>
      <c r="AW12" s="281"/>
      <c r="AX12" s="279"/>
      <c r="AZ12" s="269">
        <f>$B12</f>
        <v>54</v>
      </c>
      <c r="BA12" s="278" t="str">
        <f>CONCATENATE(LEFT(BA$3,3),$B12,LEFT(BA$6,1))</f>
        <v>54A</v>
      </c>
      <c r="BB12" s="281">
        <f>$B12</f>
        <v>54</v>
      </c>
      <c r="BC12" s="279" t="str">
        <f>CONCATENATE(LEFT(BA$3,3),$B12,LEFT(BC$6,1))</f>
        <v>54B</v>
      </c>
    </row>
    <row r="13" spans="1:55" x14ac:dyDescent="0.3">
      <c r="A13" s="268"/>
      <c r="B13" s="269">
        <v>80</v>
      </c>
      <c r="C13" s="270">
        <f t="shared" si="0"/>
        <v>4.45</v>
      </c>
      <c r="D13" s="270" t="str">
        <f t="shared" si="1"/>
        <v xml:space="preserve">4 x 100m  </v>
      </c>
      <c r="E13" s="271"/>
      <c r="F13" s="118"/>
      <c r="G13" s="272"/>
      <c r="H13" s="1360" t="str">
        <f>H$3</f>
        <v>BRAT</v>
      </c>
      <c r="I13" s="274"/>
      <c r="J13" s="279"/>
      <c r="K13" s="276"/>
      <c r="L13" s="272"/>
      <c r="M13" s="278" t="str">
        <f>M$3</f>
        <v>Kidder &amp; Stourport</v>
      </c>
      <c r="N13" s="274"/>
      <c r="O13" s="279"/>
      <c r="P13" s="276"/>
      <c r="Q13" s="272"/>
      <c r="R13" s="278" t="str">
        <f>R$3</f>
        <v>Royal Sutton</v>
      </c>
      <c r="S13" s="274"/>
      <c r="T13" s="279"/>
      <c r="U13" s="277"/>
      <c r="V13" s="272"/>
      <c r="W13" s="278" t="str">
        <f>W$3</f>
        <v>Rugby &amp; N'hampton</v>
      </c>
      <c r="X13" s="274"/>
      <c r="Y13" s="279"/>
      <c r="Z13" s="276"/>
      <c r="AA13" s="272"/>
      <c r="AB13" s="278" t="str">
        <f>AB$3</f>
        <v>Solihull &amp; S.Heath</v>
      </c>
      <c r="AC13" s="274"/>
      <c r="AD13" s="279"/>
      <c r="AE13" s="276"/>
      <c r="AF13" s="272"/>
      <c r="AG13" s="278" t="str">
        <f>AG$3</f>
        <v>Stratford</v>
      </c>
      <c r="AH13" s="274"/>
      <c r="AI13" s="279"/>
      <c r="AJ13" s="276"/>
      <c r="AK13" s="272"/>
      <c r="AL13" s="278" t="str">
        <f>AL$3</f>
        <v>Tamworth</v>
      </c>
      <c r="AM13" s="274"/>
      <c r="AN13" s="279"/>
      <c r="AO13" s="276"/>
      <c r="AP13" s="272"/>
      <c r="AQ13" s="278" t="str">
        <f>AQ$3</f>
        <v>Worcester</v>
      </c>
      <c r="AR13" s="274"/>
      <c r="AS13" s="279"/>
      <c r="AT13" s="276"/>
      <c r="AU13" s="269"/>
      <c r="AV13" s="278"/>
      <c r="AW13" s="281"/>
      <c r="AX13" s="279"/>
      <c r="AZ13" s="269">
        <f>$B13</f>
        <v>80</v>
      </c>
      <c r="BA13" s="278" t="str">
        <f>CONCATENATE(LEFT(BA$3,3),$B13,LEFT(BA$6,1))</f>
        <v>80A</v>
      </c>
      <c r="BB13" s="281">
        <f>$B13</f>
        <v>80</v>
      </c>
      <c r="BC13" s="279" t="str">
        <f>CONCATENATE(LEFT(BA$3,3),$B13,LEFT(BC$6,1))</f>
        <v>80B</v>
      </c>
    </row>
    <row r="14" spans="1:55" ht="15.6" x14ac:dyDescent="0.3">
      <c r="A14" s="140"/>
      <c r="B14" s="269" t="str">
        <f>B13&amp;"R"</f>
        <v>80R</v>
      </c>
      <c r="C14" s="270"/>
      <c r="D14" s="270"/>
      <c r="E14" s="271"/>
      <c r="F14" s="118"/>
      <c r="G14" s="304">
        <v>1</v>
      </c>
      <c r="H14" s="273" t="s">
        <v>653</v>
      </c>
      <c r="I14" s="305">
        <v>2</v>
      </c>
      <c r="J14" s="279" t="s">
        <v>650</v>
      </c>
      <c r="K14" s="276"/>
      <c r="L14" s="304">
        <v>1</v>
      </c>
      <c r="M14" s="273"/>
      <c r="N14" s="305">
        <v>2</v>
      </c>
      <c r="O14" s="279"/>
      <c r="P14" s="276"/>
      <c r="Q14" s="1391">
        <v>1</v>
      </c>
      <c r="R14" s="1389" t="s">
        <v>897</v>
      </c>
      <c r="S14" s="1392">
        <v>2</v>
      </c>
      <c r="T14" s="1390" t="s">
        <v>899</v>
      </c>
      <c r="U14" s="277"/>
      <c r="V14" s="304">
        <v>1</v>
      </c>
      <c r="W14" s="1365" t="s">
        <v>816</v>
      </c>
      <c r="X14" s="1370">
        <v>2</v>
      </c>
      <c r="Y14" s="1365" t="s">
        <v>812</v>
      </c>
      <c r="Z14" s="276"/>
      <c r="AA14" s="304">
        <v>1</v>
      </c>
      <c r="AB14" s="273" t="s">
        <v>788</v>
      </c>
      <c r="AC14" s="305">
        <v>2</v>
      </c>
      <c r="AD14" s="279" t="s">
        <v>786</v>
      </c>
      <c r="AE14" s="276"/>
      <c r="AF14" s="304">
        <v>1</v>
      </c>
      <c r="AG14" s="273" t="s">
        <v>518</v>
      </c>
      <c r="AH14" s="305">
        <v>2</v>
      </c>
      <c r="AI14" s="279" t="s">
        <v>515</v>
      </c>
      <c r="AJ14" s="276"/>
      <c r="AK14" s="304">
        <v>1</v>
      </c>
      <c r="AL14" s="273" t="s">
        <v>578</v>
      </c>
      <c r="AM14" s="305">
        <v>2</v>
      </c>
      <c r="AN14" s="279" t="s">
        <v>575</v>
      </c>
      <c r="AO14" s="276"/>
      <c r="AP14" s="304">
        <v>1</v>
      </c>
      <c r="AQ14" s="278" t="s">
        <v>616</v>
      </c>
      <c r="AR14" s="305">
        <v>2</v>
      </c>
      <c r="AS14" s="279" t="s">
        <v>618</v>
      </c>
      <c r="AT14" s="276"/>
      <c r="AU14" s="304">
        <v>1</v>
      </c>
      <c r="AV14" s="273"/>
      <c r="AW14" s="305">
        <v>2</v>
      </c>
      <c r="AX14" s="279"/>
      <c r="AZ14" s="343">
        <v>1</v>
      </c>
      <c r="BA14" s="273"/>
      <c r="BB14" s="344">
        <v>2</v>
      </c>
      <c r="BC14" s="279" t="str">
        <f>CONCATENATE(LEFT(BC$3,3),$B14,LEFT(BC$6,1))</f>
        <v>80RB</v>
      </c>
    </row>
    <row r="15" spans="1:55" ht="15.6" x14ac:dyDescent="0.3">
      <c r="A15" s="140"/>
      <c r="B15" s="269" t="str">
        <f>B13&amp;"S"</f>
        <v>80S</v>
      </c>
      <c r="C15" s="270"/>
      <c r="D15" s="270"/>
      <c r="E15" s="271"/>
      <c r="F15" s="118"/>
      <c r="G15" s="304">
        <v>3</v>
      </c>
      <c r="H15" s="278" t="s">
        <v>652</v>
      </c>
      <c r="I15" s="305">
        <v>4</v>
      </c>
      <c r="J15" s="279" t="s">
        <v>654</v>
      </c>
      <c r="K15" s="276"/>
      <c r="L15" s="304">
        <v>3</v>
      </c>
      <c r="M15" s="278"/>
      <c r="N15" s="305">
        <v>4</v>
      </c>
      <c r="O15" s="279"/>
      <c r="P15" s="276"/>
      <c r="Q15" s="1391">
        <v>3</v>
      </c>
      <c r="R15" s="1389" t="s">
        <v>903</v>
      </c>
      <c r="S15" s="1392">
        <v>4</v>
      </c>
      <c r="T15" s="1390" t="s">
        <v>898</v>
      </c>
      <c r="U15" s="277"/>
      <c r="V15" s="304">
        <v>3</v>
      </c>
      <c r="W15" s="1365" t="s">
        <v>813</v>
      </c>
      <c r="X15" s="1370">
        <v>4</v>
      </c>
      <c r="Y15" s="1366" t="s">
        <v>817</v>
      </c>
      <c r="Z15" s="276"/>
      <c r="AA15" s="304">
        <v>3</v>
      </c>
      <c r="AB15" s="278" t="s">
        <v>785</v>
      </c>
      <c r="AC15" s="305">
        <v>4</v>
      </c>
      <c r="AD15" s="279" t="s">
        <v>787</v>
      </c>
      <c r="AE15" s="276"/>
      <c r="AF15" s="304">
        <v>3</v>
      </c>
      <c r="AG15" s="278" t="s">
        <v>512</v>
      </c>
      <c r="AH15" s="305">
        <v>4</v>
      </c>
      <c r="AI15" s="279" t="s">
        <v>516</v>
      </c>
      <c r="AJ15" s="276"/>
      <c r="AK15" s="304">
        <v>3</v>
      </c>
      <c r="AL15" s="278" t="s">
        <v>579</v>
      </c>
      <c r="AM15" s="305">
        <v>4</v>
      </c>
      <c r="AN15" s="279" t="s">
        <v>577</v>
      </c>
      <c r="AO15" s="276"/>
      <c r="AP15" s="304">
        <v>3</v>
      </c>
      <c r="AQ15" s="278" t="s">
        <v>617</v>
      </c>
      <c r="AR15" s="305">
        <v>4</v>
      </c>
      <c r="AS15" s="279" t="s">
        <v>619</v>
      </c>
      <c r="AT15" s="276"/>
      <c r="AU15" s="304">
        <v>3</v>
      </c>
      <c r="AV15" s="278"/>
      <c r="AW15" s="305">
        <v>4</v>
      </c>
      <c r="AX15" s="279"/>
      <c r="AZ15" s="343">
        <v>3</v>
      </c>
      <c r="BA15" s="278"/>
      <c r="BB15" s="344">
        <v>4</v>
      </c>
      <c r="BC15" s="279" t="str">
        <f>CONCATENATE(LEFT(BC$3,3),$B15,LEFT(BC$6,1))</f>
        <v>80SB</v>
      </c>
    </row>
    <row r="16" spans="1:55" ht="15" thickBot="1" x14ac:dyDescent="0.35">
      <c r="A16" s="268"/>
      <c r="B16" s="16"/>
      <c r="C16" s="221" t="s">
        <v>237</v>
      </c>
      <c r="D16" s="270" t="s">
        <v>237</v>
      </c>
      <c r="E16" s="224"/>
      <c r="F16" s="118"/>
      <c r="G16" s="282"/>
      <c r="H16" s="283"/>
      <c r="I16" s="284"/>
      <c r="J16" s="285"/>
      <c r="K16" s="276"/>
      <c r="L16" s="282"/>
      <c r="M16" s="283"/>
      <c r="N16" s="284"/>
      <c r="O16" s="285"/>
      <c r="P16" s="276"/>
      <c r="Q16" s="282"/>
      <c r="R16" s="283"/>
      <c r="S16" s="284"/>
      <c r="T16" s="285"/>
      <c r="U16" s="277"/>
      <c r="V16" s="282"/>
      <c r="W16" s="283"/>
      <c r="X16" s="284"/>
      <c r="Y16" s="285"/>
      <c r="Z16" s="276"/>
      <c r="AA16" s="282"/>
      <c r="AB16" s="283"/>
      <c r="AC16" s="284"/>
      <c r="AD16" s="285"/>
      <c r="AE16" s="276"/>
      <c r="AF16" s="282"/>
      <c r="AG16" s="283"/>
      <c r="AH16" s="284"/>
      <c r="AI16" s="285"/>
      <c r="AJ16" s="276"/>
      <c r="AK16" s="282"/>
      <c r="AL16" s="283"/>
      <c r="AM16" s="284"/>
      <c r="AN16" s="285"/>
      <c r="AO16" s="276"/>
      <c r="AP16" s="282"/>
      <c r="AQ16" s="283"/>
      <c r="AR16" s="284"/>
      <c r="AS16" s="285"/>
      <c r="AT16" s="276"/>
      <c r="AU16" s="282"/>
      <c r="AV16" s="283"/>
      <c r="AW16" s="284"/>
      <c r="AX16" s="285"/>
      <c r="AZ16" s="282"/>
      <c r="BA16" s="283"/>
      <c r="BB16" s="284"/>
      <c r="BC16" s="285"/>
    </row>
    <row r="17" spans="1:55" ht="15" thickBot="1" x14ac:dyDescent="0.35">
      <c r="A17" s="268"/>
      <c r="B17" s="286" t="s">
        <v>165</v>
      </c>
      <c r="C17" s="287" t="s">
        <v>168</v>
      </c>
      <c r="D17" s="288" t="s">
        <v>241</v>
      </c>
      <c r="E17" s="289"/>
      <c r="F17" s="118"/>
      <c r="G17" s="290" t="s">
        <v>167</v>
      </c>
      <c r="H17" s="291" t="s">
        <v>242</v>
      </c>
      <c r="I17" s="291" t="s">
        <v>167</v>
      </c>
      <c r="J17" s="292" t="s">
        <v>243</v>
      </c>
      <c r="K17" s="276"/>
      <c r="L17" s="290" t="s">
        <v>167</v>
      </c>
      <c r="M17" s="291" t="s">
        <v>242</v>
      </c>
      <c r="N17" s="291" t="s">
        <v>167</v>
      </c>
      <c r="O17" s="292" t="s">
        <v>243</v>
      </c>
      <c r="P17" s="276"/>
      <c r="Q17" s="290" t="s">
        <v>167</v>
      </c>
      <c r="R17" s="291" t="s">
        <v>242</v>
      </c>
      <c r="S17" s="291" t="s">
        <v>167</v>
      </c>
      <c r="T17" s="292" t="s">
        <v>243</v>
      </c>
      <c r="U17" s="277"/>
      <c r="V17" s="290" t="s">
        <v>167</v>
      </c>
      <c r="W17" s="291" t="s">
        <v>242</v>
      </c>
      <c r="X17" s="291" t="s">
        <v>167</v>
      </c>
      <c r="Y17" s="292" t="s">
        <v>243</v>
      </c>
      <c r="Z17" s="276"/>
      <c r="AA17" s="290" t="s">
        <v>167</v>
      </c>
      <c r="AB17" s="291" t="s">
        <v>242</v>
      </c>
      <c r="AC17" s="291" t="s">
        <v>167</v>
      </c>
      <c r="AD17" s="292" t="s">
        <v>243</v>
      </c>
      <c r="AE17" s="276"/>
      <c r="AF17" s="290" t="s">
        <v>167</v>
      </c>
      <c r="AG17" s="291" t="s">
        <v>242</v>
      </c>
      <c r="AH17" s="291" t="s">
        <v>167</v>
      </c>
      <c r="AI17" s="292" t="s">
        <v>243</v>
      </c>
      <c r="AJ17" s="276"/>
      <c r="AK17" s="290" t="s">
        <v>167</v>
      </c>
      <c r="AL17" s="291" t="s">
        <v>242</v>
      </c>
      <c r="AM17" s="291" t="s">
        <v>167</v>
      </c>
      <c r="AN17" s="292" t="s">
        <v>243</v>
      </c>
      <c r="AO17" s="276"/>
      <c r="AP17" s="290" t="s">
        <v>167</v>
      </c>
      <c r="AQ17" s="291" t="s">
        <v>242</v>
      </c>
      <c r="AR17" s="291" t="s">
        <v>167</v>
      </c>
      <c r="AS17" s="292" t="s">
        <v>243</v>
      </c>
      <c r="AT17" s="276"/>
      <c r="AU17" s="290" t="s">
        <v>167</v>
      </c>
      <c r="AV17" s="291" t="s">
        <v>242</v>
      </c>
      <c r="AW17" s="291" t="s">
        <v>167</v>
      </c>
      <c r="AX17" s="292" t="s">
        <v>243</v>
      </c>
      <c r="AZ17" s="290" t="s">
        <v>167</v>
      </c>
      <c r="BA17" s="291" t="s">
        <v>242</v>
      </c>
      <c r="BB17" s="291" t="s">
        <v>167</v>
      </c>
      <c r="BC17" s="292" t="s">
        <v>243</v>
      </c>
    </row>
    <row r="18" spans="1:55" ht="16.2" thickBot="1" x14ac:dyDescent="0.35">
      <c r="A18" s="293"/>
      <c r="B18" s="294"/>
      <c r="C18" s="295"/>
      <c r="D18" s="296" t="s">
        <v>480</v>
      </c>
      <c r="E18" s="297"/>
      <c r="F18" s="118"/>
      <c r="G18" s="298"/>
      <c r="H18" s="299"/>
      <c r="I18" s="300"/>
      <c r="J18" s="301"/>
      <c r="K18" s="302"/>
      <c r="L18" s="298"/>
      <c r="M18" s="299"/>
      <c r="N18" s="300"/>
      <c r="O18" s="301"/>
      <c r="P18" s="302"/>
      <c r="Q18" s="298"/>
      <c r="R18" s="299"/>
      <c r="S18" s="300"/>
      <c r="T18" s="301"/>
      <c r="U18" s="277"/>
      <c r="V18" s="298"/>
      <c r="W18" s="299"/>
      <c r="X18" s="300"/>
      <c r="Y18" s="301"/>
      <c r="Z18" s="302"/>
      <c r="AA18" s="298"/>
      <c r="AB18" s="299"/>
      <c r="AC18" s="300"/>
      <c r="AD18" s="301"/>
      <c r="AE18" s="302"/>
      <c r="AF18" s="298"/>
      <c r="AG18" s="299"/>
      <c r="AH18" s="300"/>
      <c r="AI18" s="301"/>
      <c r="AJ18" s="302"/>
      <c r="AK18" s="298"/>
      <c r="AL18" s="299"/>
      <c r="AM18" s="300"/>
      <c r="AN18" s="301"/>
      <c r="AO18" s="302"/>
      <c r="AP18" s="298"/>
      <c r="AQ18" s="299"/>
      <c r="AR18" s="300"/>
      <c r="AS18" s="301"/>
      <c r="AT18" s="302"/>
      <c r="AU18" s="298"/>
      <c r="AV18" s="299"/>
      <c r="AW18" s="300"/>
      <c r="AX18" s="301"/>
      <c r="AY18" s="140"/>
      <c r="AZ18" s="298"/>
      <c r="BA18" s="299"/>
      <c r="BB18" s="300"/>
      <c r="BC18" s="301"/>
    </row>
    <row r="19" spans="1:55" ht="15" thickBot="1" x14ac:dyDescent="0.35">
      <c r="A19" s="268"/>
      <c r="B19" s="269">
        <v>1</v>
      </c>
      <c r="C19" s="270">
        <f t="shared" ref="C19:C24" si="4">IF($B19&gt;0,VLOOKUP($B19,EventsOrder,2,FALSE)," ")</f>
        <v>11.3</v>
      </c>
      <c r="D19" s="270" t="str">
        <f t="shared" ref="D19:D24" si="5">IF($B19&gt;0,VLOOKUP($B19,EventsOrder,6,FALSE)," ")</f>
        <v xml:space="preserve">High Jump </v>
      </c>
      <c r="E19" s="271"/>
      <c r="F19" s="118"/>
      <c r="G19" s="272" t="s">
        <v>100</v>
      </c>
      <c r="H19" s="278" t="s">
        <v>655</v>
      </c>
      <c r="I19" s="274" t="s">
        <v>818</v>
      </c>
      <c r="J19" s="279" t="s">
        <v>656</v>
      </c>
      <c r="K19" s="276"/>
      <c r="L19" s="272"/>
      <c r="M19" s="278"/>
      <c r="N19" s="274"/>
      <c r="O19" s="279"/>
      <c r="P19" s="276"/>
      <c r="Q19" s="272" t="s">
        <v>110</v>
      </c>
      <c r="R19" s="1389" t="s">
        <v>904</v>
      </c>
      <c r="S19" s="274" t="s">
        <v>820</v>
      </c>
      <c r="T19" s="1390" t="s">
        <v>906</v>
      </c>
      <c r="U19" s="277"/>
      <c r="V19" s="272" t="s">
        <v>118</v>
      </c>
      <c r="W19" s="1372" t="s">
        <v>823</v>
      </c>
      <c r="X19" s="1373" t="s">
        <v>819</v>
      </c>
      <c r="Y19" s="1374" t="s">
        <v>824</v>
      </c>
      <c r="Z19" s="276"/>
      <c r="AA19" s="272" t="s">
        <v>127</v>
      </c>
      <c r="AB19" s="278" t="s">
        <v>789</v>
      </c>
      <c r="AC19" s="274"/>
      <c r="AD19" s="279"/>
      <c r="AE19" s="276"/>
      <c r="AF19" s="272" t="s">
        <v>136</v>
      </c>
      <c r="AG19" s="278" t="s">
        <v>519</v>
      </c>
      <c r="AH19" s="274" t="s">
        <v>513</v>
      </c>
      <c r="AI19" s="279" t="s">
        <v>520</v>
      </c>
      <c r="AJ19" s="276"/>
      <c r="AK19" s="272" t="s">
        <v>142</v>
      </c>
      <c r="AL19" s="278" t="s">
        <v>580</v>
      </c>
      <c r="AM19" s="274" t="s">
        <v>576</v>
      </c>
      <c r="AN19" s="279"/>
      <c r="AO19" s="276"/>
      <c r="AP19" s="272"/>
      <c r="AQ19" s="278"/>
      <c r="AR19" s="274"/>
      <c r="AS19" s="279"/>
      <c r="AT19" s="276"/>
      <c r="AU19" s="272"/>
      <c r="AV19" s="278"/>
      <c r="AW19" s="274"/>
      <c r="AX19" s="279"/>
      <c r="AZ19" s="272"/>
      <c r="BA19" s="278" t="str">
        <f>CONCATENATE(LEFT(BA$3,3),$B19,LEFT(BA$6,1))</f>
        <v>1A</v>
      </c>
      <c r="BB19" s="274"/>
      <c r="BC19" s="279" t="str">
        <f t="shared" ref="BC19:BC28" si="6">CONCATENATE(LEFT(BA$3,3),$B19,LEFT(BC$6,1))</f>
        <v>1B</v>
      </c>
    </row>
    <row r="20" spans="1:55" ht="15" thickBot="1" x14ac:dyDescent="0.35">
      <c r="A20" s="268"/>
      <c r="B20" s="269">
        <v>9</v>
      </c>
      <c r="C20" s="270">
        <f t="shared" si="4"/>
        <v>11.4</v>
      </c>
      <c r="D20" s="270" t="str">
        <f t="shared" si="5"/>
        <v xml:space="preserve">800m </v>
      </c>
      <c r="E20" s="271"/>
      <c r="F20" s="118"/>
      <c r="G20" s="272" t="s">
        <v>100</v>
      </c>
      <c r="H20" s="278" t="s">
        <v>657</v>
      </c>
      <c r="I20" s="274" t="s">
        <v>818</v>
      </c>
      <c r="J20" s="279" t="s">
        <v>658</v>
      </c>
      <c r="K20" s="276"/>
      <c r="L20" s="272" t="s">
        <v>130</v>
      </c>
      <c r="M20" s="278" t="s">
        <v>730</v>
      </c>
      <c r="N20" s="274"/>
      <c r="O20" s="279"/>
      <c r="P20" s="276"/>
      <c r="Q20" s="272" t="s">
        <v>110</v>
      </c>
      <c r="R20" s="1389" t="s">
        <v>905</v>
      </c>
      <c r="S20" s="274" t="s">
        <v>820</v>
      </c>
      <c r="T20" s="1390" t="s">
        <v>910</v>
      </c>
      <c r="U20" s="277"/>
      <c r="V20" s="272" t="s">
        <v>118</v>
      </c>
      <c r="W20" s="1375" t="s">
        <v>825</v>
      </c>
      <c r="X20" s="1376" t="s">
        <v>819</v>
      </c>
      <c r="Y20" s="1377" t="s">
        <v>826</v>
      </c>
      <c r="Z20" s="276"/>
      <c r="AA20" s="272" t="s">
        <v>127</v>
      </c>
      <c r="AB20" s="278" t="s">
        <v>790</v>
      </c>
      <c r="AC20" s="274" t="s">
        <v>821</v>
      </c>
      <c r="AD20" s="279" t="s">
        <v>791</v>
      </c>
      <c r="AE20" s="276"/>
      <c r="AF20" s="272" t="s">
        <v>136</v>
      </c>
      <c r="AG20" s="278" t="s">
        <v>521</v>
      </c>
      <c r="AH20" s="274" t="s">
        <v>513</v>
      </c>
      <c r="AI20" s="279" t="s">
        <v>522</v>
      </c>
      <c r="AJ20" s="276"/>
      <c r="AK20" s="272" t="s">
        <v>142</v>
      </c>
      <c r="AL20" s="278" t="s">
        <v>581</v>
      </c>
      <c r="AM20" s="274" t="s">
        <v>576</v>
      </c>
      <c r="AN20" s="279"/>
      <c r="AO20" s="276"/>
      <c r="AP20" s="272" t="s">
        <v>151</v>
      </c>
      <c r="AQ20" s="278" t="s">
        <v>620</v>
      </c>
      <c r="AR20" s="274"/>
      <c r="AS20" s="279"/>
      <c r="AT20" s="276"/>
      <c r="AU20" s="272"/>
      <c r="AV20" s="278"/>
      <c r="AW20" s="274"/>
      <c r="AX20" s="279"/>
      <c r="AZ20" s="272"/>
      <c r="BA20" s="278" t="str">
        <f t="shared" ref="BA20:BA28" si="7">CONCATENATE(LEFT(BA$3,3),$B20,LEFT(BA$6,1))</f>
        <v>9A</v>
      </c>
      <c r="BB20" s="274"/>
      <c r="BC20" s="279" t="str">
        <f t="shared" si="6"/>
        <v>9B</v>
      </c>
    </row>
    <row r="21" spans="1:55" ht="15" thickBot="1" x14ac:dyDescent="0.35">
      <c r="A21" s="268"/>
      <c r="B21" s="269">
        <v>14</v>
      </c>
      <c r="C21" s="270">
        <f t="shared" si="4"/>
        <v>12</v>
      </c>
      <c r="D21" s="270" t="str">
        <f t="shared" si="5"/>
        <v xml:space="preserve">80m hurdles </v>
      </c>
      <c r="E21" s="271"/>
      <c r="F21" s="118"/>
      <c r="G21" s="272" t="s">
        <v>100</v>
      </c>
      <c r="H21" s="278" t="s">
        <v>655</v>
      </c>
      <c r="I21" s="274" t="s">
        <v>818</v>
      </c>
      <c r="J21" s="279" t="s">
        <v>659</v>
      </c>
      <c r="K21" s="276"/>
      <c r="L21" s="272" t="s">
        <v>130</v>
      </c>
      <c r="M21" s="278" t="s">
        <v>731</v>
      </c>
      <c r="N21" s="274"/>
      <c r="O21" s="279"/>
      <c r="P21" s="276"/>
      <c r="Q21" s="272" t="s">
        <v>110</v>
      </c>
      <c r="R21" s="1389" t="s">
        <v>906</v>
      </c>
      <c r="S21" s="274" t="s">
        <v>820</v>
      </c>
      <c r="T21" s="1390" t="s">
        <v>904</v>
      </c>
      <c r="U21" s="277"/>
      <c r="V21" s="272" t="s">
        <v>118</v>
      </c>
      <c r="W21" s="1375" t="s">
        <v>827</v>
      </c>
      <c r="X21" s="1376" t="s">
        <v>819</v>
      </c>
      <c r="Y21" s="1377" t="s">
        <v>828</v>
      </c>
      <c r="Z21" s="276"/>
      <c r="AA21" s="272" t="s">
        <v>127</v>
      </c>
      <c r="AB21" s="278" t="s">
        <v>792</v>
      </c>
      <c r="AC21" s="274"/>
      <c r="AD21" s="279"/>
      <c r="AE21" s="276"/>
      <c r="AF21" s="272" t="s">
        <v>136</v>
      </c>
      <c r="AG21" s="278" t="s">
        <v>519</v>
      </c>
      <c r="AH21" s="274" t="s">
        <v>513</v>
      </c>
      <c r="AI21" s="279" t="s">
        <v>523</v>
      </c>
      <c r="AJ21" s="276"/>
      <c r="AK21" s="272" t="s">
        <v>142</v>
      </c>
      <c r="AL21" s="278" t="s">
        <v>582</v>
      </c>
      <c r="AM21" s="274" t="s">
        <v>576</v>
      </c>
      <c r="AN21" s="279"/>
      <c r="AO21" s="276"/>
      <c r="AP21" s="272" t="s">
        <v>151</v>
      </c>
      <c r="AQ21" s="278" t="s">
        <v>621</v>
      </c>
      <c r="AR21" s="274"/>
      <c r="AS21" s="279"/>
      <c r="AT21" s="276"/>
      <c r="AU21" s="272"/>
      <c r="AV21" s="278"/>
      <c r="AW21" s="274"/>
      <c r="AX21" s="279"/>
      <c r="AZ21" s="272"/>
      <c r="BA21" s="278" t="str">
        <f t="shared" si="7"/>
        <v>14A</v>
      </c>
      <c r="BB21" s="274"/>
      <c r="BC21" s="279" t="str">
        <f t="shared" si="6"/>
        <v>14B</v>
      </c>
    </row>
    <row r="22" spans="1:55" ht="15" thickBot="1" x14ac:dyDescent="0.35">
      <c r="A22" s="268"/>
      <c r="B22" s="269">
        <v>24</v>
      </c>
      <c r="C22" s="270">
        <f t="shared" si="4"/>
        <v>1</v>
      </c>
      <c r="D22" s="270" t="str">
        <f t="shared" si="5"/>
        <v>Javelin Match 1 &amp; 3</v>
      </c>
      <c r="E22" s="271"/>
      <c r="F22" s="118"/>
      <c r="G22" s="272" t="s">
        <v>100</v>
      </c>
      <c r="H22" s="278" t="s">
        <v>660</v>
      </c>
      <c r="I22" s="274" t="s">
        <v>818</v>
      </c>
      <c r="J22" s="279" t="s">
        <v>661</v>
      </c>
      <c r="K22" s="276"/>
      <c r="L22" s="272" t="s">
        <v>130</v>
      </c>
      <c r="M22" s="278" t="s">
        <v>731</v>
      </c>
      <c r="N22" s="274" t="s">
        <v>726</v>
      </c>
      <c r="O22" s="279" t="s">
        <v>732</v>
      </c>
      <c r="P22" s="276"/>
      <c r="Q22" s="272" t="s">
        <v>110</v>
      </c>
      <c r="R22" s="1393" t="s">
        <v>907</v>
      </c>
      <c r="S22" s="274" t="s">
        <v>820</v>
      </c>
      <c r="T22" s="1394" t="s">
        <v>906</v>
      </c>
      <c r="U22" s="277"/>
      <c r="V22" s="272" t="s">
        <v>118</v>
      </c>
      <c r="W22" s="1375" t="s">
        <v>827</v>
      </c>
      <c r="X22" s="1376" t="s">
        <v>819</v>
      </c>
      <c r="Y22" s="1377" t="s">
        <v>832</v>
      </c>
      <c r="Z22" s="276"/>
      <c r="AA22" s="272" t="s">
        <v>127</v>
      </c>
      <c r="AB22" s="278" t="s">
        <v>790</v>
      </c>
      <c r="AC22" s="274" t="s">
        <v>821</v>
      </c>
      <c r="AD22" s="279" t="s">
        <v>793</v>
      </c>
      <c r="AE22" s="276"/>
      <c r="AF22" s="272" t="s">
        <v>136</v>
      </c>
      <c r="AG22" s="278" t="s">
        <v>524</v>
      </c>
      <c r="AH22" s="274" t="s">
        <v>513</v>
      </c>
      <c r="AI22" s="279" t="s">
        <v>525</v>
      </c>
      <c r="AJ22" s="276"/>
      <c r="AK22" s="272" t="s">
        <v>142</v>
      </c>
      <c r="AL22" s="278" t="s">
        <v>581</v>
      </c>
      <c r="AM22" s="274" t="s">
        <v>576</v>
      </c>
      <c r="AN22" s="279" t="s">
        <v>580</v>
      </c>
      <c r="AO22" s="276"/>
      <c r="AP22" s="272" t="s">
        <v>151</v>
      </c>
      <c r="AQ22" s="278" t="s">
        <v>620</v>
      </c>
      <c r="AR22" s="274" t="s">
        <v>822</v>
      </c>
      <c r="AS22" s="279" t="s">
        <v>622</v>
      </c>
      <c r="AT22" s="276"/>
      <c r="AU22" s="272"/>
      <c r="AV22" s="278"/>
      <c r="AW22" s="274"/>
      <c r="AX22" s="279"/>
      <c r="AZ22" s="272"/>
      <c r="BA22" s="278" t="str">
        <f t="shared" si="7"/>
        <v>24A</v>
      </c>
      <c r="BB22" s="274"/>
      <c r="BC22" s="279" t="str">
        <f t="shared" si="6"/>
        <v>24B</v>
      </c>
    </row>
    <row r="23" spans="1:55" ht="27.6" thickBot="1" x14ac:dyDescent="0.35">
      <c r="A23" s="268"/>
      <c r="B23" s="269">
        <v>43</v>
      </c>
      <c r="C23" s="270">
        <f t="shared" si="4"/>
        <v>2.35</v>
      </c>
      <c r="D23" s="270" t="str">
        <f t="shared" si="5"/>
        <v xml:space="preserve">100m </v>
      </c>
      <c r="E23" s="271"/>
      <c r="F23" s="118"/>
      <c r="G23" s="272" t="s">
        <v>100</v>
      </c>
      <c r="H23" s="278" t="s">
        <v>655</v>
      </c>
      <c r="I23" s="274" t="s">
        <v>818</v>
      </c>
      <c r="J23" s="279" t="s">
        <v>662</v>
      </c>
      <c r="K23" s="276"/>
      <c r="L23" s="272" t="s">
        <v>130</v>
      </c>
      <c r="M23" s="278" t="s">
        <v>732</v>
      </c>
      <c r="N23" s="274"/>
      <c r="O23" s="279"/>
      <c r="P23" s="276"/>
      <c r="Q23" s="272" t="s">
        <v>110</v>
      </c>
      <c r="R23" s="1389" t="s">
        <v>908</v>
      </c>
      <c r="S23" s="274" t="s">
        <v>820</v>
      </c>
      <c r="T23" s="1390" t="s">
        <v>911</v>
      </c>
      <c r="U23" s="277"/>
      <c r="V23" s="272" t="s">
        <v>118</v>
      </c>
      <c r="W23" s="1375" t="s">
        <v>829</v>
      </c>
      <c r="X23" s="1376" t="s">
        <v>819</v>
      </c>
      <c r="Y23" s="1377" t="s">
        <v>830</v>
      </c>
      <c r="Z23" s="276"/>
      <c r="AA23" s="272" t="s">
        <v>127</v>
      </c>
      <c r="AB23" s="278" t="s">
        <v>793</v>
      </c>
      <c r="AC23" s="274" t="s">
        <v>821</v>
      </c>
      <c r="AD23" s="279" t="s">
        <v>792</v>
      </c>
      <c r="AE23" s="276"/>
      <c r="AF23" s="272" t="s">
        <v>136</v>
      </c>
      <c r="AG23" s="278" t="s">
        <v>520</v>
      </c>
      <c r="AH23" s="274" t="s">
        <v>513</v>
      </c>
      <c r="AI23" s="279" t="s">
        <v>523</v>
      </c>
      <c r="AJ23" s="276"/>
      <c r="AK23" s="272" t="s">
        <v>142</v>
      </c>
      <c r="AL23" s="278" t="s">
        <v>583</v>
      </c>
      <c r="AM23" s="274" t="s">
        <v>576</v>
      </c>
      <c r="AN23" s="279" t="s">
        <v>580</v>
      </c>
      <c r="AO23" s="276"/>
      <c r="AP23" s="272" t="s">
        <v>151</v>
      </c>
      <c r="AQ23" s="278" t="s">
        <v>621</v>
      </c>
      <c r="AR23" s="274"/>
      <c r="AS23" s="279"/>
      <c r="AT23" s="276"/>
      <c r="AU23" s="272"/>
      <c r="AV23" s="278"/>
      <c r="AW23" s="274"/>
      <c r="AX23" s="279"/>
      <c r="AZ23" s="272"/>
      <c r="BA23" s="278" t="str">
        <f t="shared" si="7"/>
        <v>43A</v>
      </c>
      <c r="BB23" s="274"/>
      <c r="BC23" s="279" t="str">
        <f t="shared" si="6"/>
        <v>43B</v>
      </c>
    </row>
    <row r="24" spans="1:55" ht="15" thickBot="1" x14ac:dyDescent="0.35">
      <c r="A24" s="268"/>
      <c r="B24" s="269">
        <v>47</v>
      </c>
      <c r="C24" s="270">
        <f t="shared" si="4"/>
        <v>2.4</v>
      </c>
      <c r="D24" s="270" t="str">
        <f t="shared" si="5"/>
        <v xml:space="preserve">Shot </v>
      </c>
      <c r="E24" s="271"/>
      <c r="F24" s="118"/>
      <c r="G24" s="272" t="s">
        <v>100</v>
      </c>
      <c r="H24" s="278" t="s">
        <v>663</v>
      </c>
      <c r="I24" s="274" t="s">
        <v>818</v>
      </c>
      <c r="J24" s="279" t="s">
        <v>664</v>
      </c>
      <c r="K24" s="276"/>
      <c r="L24" s="272"/>
      <c r="M24" s="278"/>
      <c r="N24" s="274"/>
      <c r="O24" s="279"/>
      <c r="P24" s="276"/>
      <c r="Q24" s="272" t="s">
        <v>110</v>
      </c>
      <c r="R24" s="1389" t="s">
        <v>907</v>
      </c>
      <c r="S24" s="274" t="s">
        <v>820</v>
      </c>
      <c r="T24" s="1390" t="s">
        <v>912</v>
      </c>
      <c r="U24" s="277"/>
      <c r="V24" s="272" t="s">
        <v>118</v>
      </c>
      <c r="W24" s="1375" t="s">
        <v>831</v>
      </c>
      <c r="X24" s="1376" t="s">
        <v>819</v>
      </c>
      <c r="Y24" s="1377" t="s">
        <v>823</v>
      </c>
      <c r="Z24" s="276"/>
      <c r="AA24" s="272" t="s">
        <v>127</v>
      </c>
      <c r="AB24" s="278" t="s">
        <v>794</v>
      </c>
      <c r="AC24" s="274" t="s">
        <v>821</v>
      </c>
      <c r="AD24" s="279" t="s">
        <v>795</v>
      </c>
      <c r="AE24" s="276"/>
      <c r="AF24" s="272" t="s">
        <v>136</v>
      </c>
      <c r="AG24" s="278" t="s">
        <v>523</v>
      </c>
      <c r="AH24" s="274" t="s">
        <v>513</v>
      </c>
      <c r="AI24" s="279" t="s">
        <v>522</v>
      </c>
      <c r="AJ24" s="276"/>
      <c r="AK24" s="272" t="s">
        <v>142</v>
      </c>
      <c r="AL24" s="278" t="s">
        <v>581</v>
      </c>
      <c r="AM24" s="274" t="s">
        <v>576</v>
      </c>
      <c r="AN24" s="279"/>
      <c r="AO24" s="276"/>
      <c r="AP24" s="272" t="s">
        <v>151</v>
      </c>
      <c r="AQ24" s="278" t="s">
        <v>622</v>
      </c>
      <c r="AR24" s="274" t="s">
        <v>822</v>
      </c>
      <c r="AS24" s="279" t="s">
        <v>623</v>
      </c>
      <c r="AT24" s="276"/>
      <c r="AU24" s="272"/>
      <c r="AV24" s="278"/>
      <c r="AW24" s="274"/>
      <c r="AX24" s="279"/>
      <c r="AZ24" s="272"/>
      <c r="BA24" s="278" t="str">
        <f t="shared" si="7"/>
        <v>47A</v>
      </c>
      <c r="BB24" s="274"/>
      <c r="BC24" s="279" t="str">
        <f t="shared" si="6"/>
        <v>47B</v>
      </c>
    </row>
    <row r="25" spans="1:55" ht="15" thickBot="1" x14ac:dyDescent="0.35">
      <c r="A25" s="268"/>
      <c r="B25" s="269">
        <v>55</v>
      </c>
      <c r="C25" s="270">
        <f t="shared" ref="C25:C32" si="8">IF($B25&gt;0,VLOOKUP($B25,EventsOrder,2,FALSE)," ")</f>
        <v>3.1</v>
      </c>
      <c r="D25" s="270" t="str">
        <f t="shared" ref="D25:D32" si="9">IF($B25&gt;0,VLOOKUP($B25,EventsOrder,6,FALSE)," ")</f>
        <v xml:space="preserve">1500m </v>
      </c>
      <c r="E25" s="271"/>
      <c r="F25" s="118"/>
      <c r="G25" s="272" t="s">
        <v>100</v>
      </c>
      <c r="H25" s="278" t="s">
        <v>665</v>
      </c>
      <c r="I25" s="274" t="s">
        <v>818</v>
      </c>
      <c r="J25" s="279" t="s">
        <v>666</v>
      </c>
      <c r="K25" s="276"/>
      <c r="L25" s="272"/>
      <c r="M25" s="278"/>
      <c r="N25" s="274"/>
      <c r="O25" s="279"/>
      <c r="P25" s="276"/>
      <c r="Q25" s="272" t="s">
        <v>110</v>
      </c>
      <c r="R25" s="1389" t="s">
        <v>909</v>
      </c>
      <c r="S25" s="274" t="s">
        <v>820</v>
      </c>
      <c r="T25" s="1390" t="s">
        <v>913</v>
      </c>
      <c r="U25" s="277"/>
      <c r="V25" s="272" t="s">
        <v>118</v>
      </c>
      <c r="W25" s="1375" t="s">
        <v>832</v>
      </c>
      <c r="X25" s="1376" t="s">
        <v>819</v>
      </c>
      <c r="Y25" s="1377" t="s">
        <v>833</v>
      </c>
      <c r="Z25" s="276"/>
      <c r="AA25" s="272" t="s">
        <v>127</v>
      </c>
      <c r="AB25" s="278" t="s">
        <v>794</v>
      </c>
      <c r="AC25" s="274" t="s">
        <v>821</v>
      </c>
      <c r="AD25" s="279" t="s">
        <v>795</v>
      </c>
      <c r="AE25" s="276"/>
      <c r="AF25" s="272" t="s">
        <v>136</v>
      </c>
      <c r="AG25" s="278" t="s">
        <v>524</v>
      </c>
      <c r="AH25" s="274" t="s">
        <v>513</v>
      </c>
      <c r="AI25" s="279" t="s">
        <v>525</v>
      </c>
      <c r="AJ25" s="276"/>
      <c r="AK25" s="272" t="s">
        <v>142</v>
      </c>
      <c r="AL25" s="278"/>
      <c r="AM25" s="274" t="s">
        <v>576</v>
      </c>
      <c r="AN25" s="279"/>
      <c r="AO25" s="276"/>
      <c r="AP25" s="272" t="s">
        <v>151</v>
      </c>
      <c r="AQ25" s="278" t="s">
        <v>621</v>
      </c>
      <c r="AR25" s="274" t="s">
        <v>822</v>
      </c>
      <c r="AS25" s="279" t="s">
        <v>623</v>
      </c>
      <c r="AT25" s="276"/>
      <c r="AU25" s="272"/>
      <c r="AV25" s="278"/>
      <c r="AW25" s="274"/>
      <c r="AX25" s="279"/>
      <c r="AZ25" s="272"/>
      <c r="BA25" s="278" t="str">
        <f t="shared" si="7"/>
        <v>55A</v>
      </c>
      <c r="BB25" s="274"/>
      <c r="BC25" s="279" t="str">
        <f t="shared" si="6"/>
        <v>55B</v>
      </c>
    </row>
    <row r="26" spans="1:55" ht="15" thickBot="1" x14ac:dyDescent="0.35">
      <c r="A26" s="268"/>
      <c r="B26" s="269">
        <v>58</v>
      </c>
      <c r="C26" s="270">
        <f t="shared" si="8"/>
        <v>3.2</v>
      </c>
      <c r="D26" s="270" t="str">
        <f t="shared" si="9"/>
        <v>Long Jump Pit 2</v>
      </c>
      <c r="E26" s="303"/>
      <c r="F26" s="118"/>
      <c r="G26" s="272" t="s">
        <v>100</v>
      </c>
      <c r="H26" s="278" t="s">
        <v>662</v>
      </c>
      <c r="I26" s="274" t="s">
        <v>818</v>
      </c>
      <c r="J26" s="279" t="s">
        <v>659</v>
      </c>
      <c r="K26" s="276"/>
      <c r="L26" s="272" t="s">
        <v>130</v>
      </c>
      <c r="M26" s="278" t="s">
        <v>731</v>
      </c>
      <c r="N26" s="274" t="s">
        <v>726</v>
      </c>
      <c r="O26" s="279" t="s">
        <v>732</v>
      </c>
      <c r="P26" s="276"/>
      <c r="Q26" s="272" t="s">
        <v>110</v>
      </c>
      <c r="R26" s="1389" t="s">
        <v>904</v>
      </c>
      <c r="S26" s="274" t="s">
        <v>820</v>
      </c>
      <c r="T26" s="1390" t="s">
        <v>911</v>
      </c>
      <c r="U26" s="277"/>
      <c r="V26" s="272" t="s">
        <v>118</v>
      </c>
      <c r="W26" s="1375" t="s">
        <v>827</v>
      </c>
      <c r="X26" s="1376" t="s">
        <v>819</v>
      </c>
      <c r="Y26" s="1377" t="s">
        <v>834</v>
      </c>
      <c r="Z26" s="276"/>
      <c r="AA26" s="272" t="s">
        <v>127</v>
      </c>
      <c r="AB26" s="278" t="s">
        <v>791</v>
      </c>
      <c r="AC26" s="274"/>
      <c r="AD26" s="279"/>
      <c r="AE26" s="276"/>
      <c r="AF26" s="272" t="s">
        <v>136</v>
      </c>
      <c r="AG26" s="278" t="s">
        <v>526</v>
      </c>
      <c r="AH26" s="274" t="s">
        <v>513</v>
      </c>
      <c r="AI26" s="279" t="s">
        <v>522</v>
      </c>
      <c r="AJ26" s="276"/>
      <c r="AK26" s="272" t="s">
        <v>142</v>
      </c>
      <c r="AL26" s="278" t="s">
        <v>582</v>
      </c>
      <c r="AM26" s="274" t="s">
        <v>576</v>
      </c>
      <c r="AN26" s="279" t="s">
        <v>583</v>
      </c>
      <c r="AO26" s="276"/>
      <c r="AP26" s="272" t="s">
        <v>151</v>
      </c>
      <c r="AQ26" s="278" t="s">
        <v>622</v>
      </c>
      <c r="AR26" s="274"/>
      <c r="AS26" s="279"/>
      <c r="AT26" s="276"/>
      <c r="AU26" s="272"/>
      <c r="AV26" s="278"/>
      <c r="AW26" s="274"/>
      <c r="AX26" s="279"/>
      <c r="AZ26" s="272"/>
      <c r="BA26" s="278" t="str">
        <f t="shared" si="7"/>
        <v>58A</v>
      </c>
      <c r="BB26" s="274"/>
      <c r="BC26" s="279" t="str">
        <f t="shared" si="6"/>
        <v>58B</v>
      </c>
    </row>
    <row r="27" spans="1:55" ht="15" thickBot="1" x14ac:dyDescent="0.35">
      <c r="A27" s="268"/>
      <c r="B27" s="269">
        <v>71</v>
      </c>
      <c r="C27" s="270">
        <f t="shared" si="8"/>
        <v>4.2</v>
      </c>
      <c r="D27" s="270" t="str">
        <f t="shared" si="9"/>
        <v xml:space="preserve">200m </v>
      </c>
      <c r="E27" s="271"/>
      <c r="F27" s="118"/>
      <c r="G27" s="272" t="s">
        <v>100</v>
      </c>
      <c r="H27" s="278" t="s">
        <v>667</v>
      </c>
      <c r="I27" s="274" t="s">
        <v>818</v>
      </c>
      <c r="J27" s="279" t="s">
        <v>668</v>
      </c>
      <c r="K27" s="276"/>
      <c r="L27" s="272" t="s">
        <v>130</v>
      </c>
      <c r="M27" s="278" t="s">
        <v>730</v>
      </c>
      <c r="N27" s="274"/>
      <c r="O27" s="279"/>
      <c r="P27" s="276"/>
      <c r="Q27" s="272" t="s">
        <v>110</v>
      </c>
      <c r="R27" s="1389" t="s">
        <v>908</v>
      </c>
      <c r="S27" s="274" t="s">
        <v>820</v>
      </c>
      <c r="T27" s="1390" t="s">
        <v>912</v>
      </c>
      <c r="U27" s="277"/>
      <c r="V27" s="272" t="s">
        <v>118</v>
      </c>
      <c r="W27" s="1375" t="s">
        <v>823</v>
      </c>
      <c r="X27" s="1376" t="s">
        <v>819</v>
      </c>
      <c r="Y27" s="1377" t="s">
        <v>834</v>
      </c>
      <c r="Z27" s="276"/>
      <c r="AA27" s="272" t="s">
        <v>127</v>
      </c>
      <c r="AB27" s="278" t="s">
        <v>790</v>
      </c>
      <c r="AC27" s="274" t="s">
        <v>821</v>
      </c>
      <c r="AD27" s="279" t="s">
        <v>794</v>
      </c>
      <c r="AE27" s="276"/>
      <c r="AF27" s="272" t="s">
        <v>136</v>
      </c>
      <c r="AG27" s="278" t="s">
        <v>519</v>
      </c>
      <c r="AH27" s="274" t="s">
        <v>513</v>
      </c>
      <c r="AI27" s="279" t="s">
        <v>520</v>
      </c>
      <c r="AJ27" s="276"/>
      <c r="AK27" s="272" t="s">
        <v>142</v>
      </c>
      <c r="AL27" s="278" t="s">
        <v>583</v>
      </c>
      <c r="AM27" s="274" t="s">
        <v>576</v>
      </c>
      <c r="AN27" s="279" t="s">
        <v>582</v>
      </c>
      <c r="AO27" s="276"/>
      <c r="AP27" s="272" t="s">
        <v>151</v>
      </c>
      <c r="AQ27" s="278" t="s">
        <v>620</v>
      </c>
      <c r="AR27" s="274"/>
      <c r="AS27" s="279"/>
      <c r="AT27" s="276"/>
      <c r="AU27" s="272"/>
      <c r="AV27" s="278"/>
      <c r="AW27" s="274"/>
      <c r="AX27" s="279"/>
      <c r="AZ27" s="272"/>
      <c r="BA27" s="278" t="str">
        <f t="shared" si="7"/>
        <v>71A</v>
      </c>
      <c r="BB27" s="274"/>
      <c r="BC27" s="279" t="str">
        <f t="shared" si="6"/>
        <v>71B</v>
      </c>
    </row>
    <row r="28" spans="1:55" x14ac:dyDescent="0.3">
      <c r="A28" s="268"/>
      <c r="B28" s="269">
        <v>74</v>
      </c>
      <c r="C28" s="270">
        <f t="shared" si="8"/>
        <v>4.2</v>
      </c>
      <c r="D28" s="270" t="str">
        <f t="shared" si="9"/>
        <v>Discus Match 2</v>
      </c>
      <c r="E28" s="271"/>
      <c r="F28" s="118"/>
      <c r="G28" s="272"/>
      <c r="H28" s="278"/>
      <c r="I28" s="274"/>
      <c r="J28" s="279"/>
      <c r="K28" s="276"/>
      <c r="L28" s="272"/>
      <c r="M28" s="278"/>
      <c r="N28" s="274"/>
      <c r="O28" s="279"/>
      <c r="P28" s="276"/>
      <c r="Q28" s="272" t="s">
        <v>110</v>
      </c>
      <c r="R28" s="278"/>
      <c r="S28" s="274" t="s">
        <v>820</v>
      </c>
      <c r="T28" s="279"/>
      <c r="U28" s="277"/>
      <c r="V28" s="272"/>
      <c r="W28" s="278"/>
      <c r="X28" s="274"/>
      <c r="Y28" s="279"/>
      <c r="Z28" s="276"/>
      <c r="AA28" s="272"/>
      <c r="AB28" s="278"/>
      <c r="AC28" s="274"/>
      <c r="AD28" s="279"/>
      <c r="AE28" s="276"/>
      <c r="AF28" s="272"/>
      <c r="AG28" s="278"/>
      <c r="AH28" s="274"/>
      <c r="AI28" s="279"/>
      <c r="AJ28" s="276"/>
      <c r="AK28" s="272"/>
      <c r="AL28" s="278"/>
      <c r="AM28" s="274"/>
      <c r="AN28" s="279"/>
      <c r="AO28" s="276"/>
      <c r="AP28" s="272"/>
      <c r="AQ28" s="278"/>
      <c r="AR28" s="274"/>
      <c r="AS28" s="279"/>
      <c r="AT28" s="276"/>
      <c r="AU28" s="272"/>
      <c r="AV28" s="278"/>
      <c r="AW28" s="274"/>
      <c r="AX28" s="279"/>
      <c r="AZ28" s="272"/>
      <c r="BA28" s="278" t="str">
        <f t="shared" si="7"/>
        <v>74A</v>
      </c>
      <c r="BB28" s="274"/>
      <c r="BC28" s="279" t="str">
        <f t="shared" si="6"/>
        <v>74B</v>
      </c>
    </row>
    <row r="29" spans="1:55" x14ac:dyDescent="0.3">
      <c r="A29" s="268"/>
      <c r="B29" s="269">
        <v>85</v>
      </c>
      <c r="C29" s="270">
        <f t="shared" si="8"/>
        <v>5.05</v>
      </c>
      <c r="D29" s="270" t="str">
        <f t="shared" si="9"/>
        <v xml:space="preserve">4 x 100m </v>
      </c>
      <c r="E29" s="303"/>
      <c r="F29" s="118"/>
      <c r="G29" s="272"/>
      <c r="H29" s="278" t="str">
        <f>H$3</f>
        <v>BRAT</v>
      </c>
      <c r="I29" s="274"/>
      <c r="J29" s="279"/>
      <c r="K29" s="276"/>
      <c r="L29" s="272"/>
      <c r="M29" s="278" t="str">
        <f>M$3</f>
        <v>Kidder &amp; Stourport</v>
      </c>
      <c r="N29" s="274"/>
      <c r="O29" s="279"/>
      <c r="P29" s="276"/>
      <c r="Q29" s="272"/>
      <c r="R29" s="278" t="str">
        <f>R$3</f>
        <v>Royal Sutton</v>
      </c>
      <c r="S29" s="274"/>
      <c r="T29" s="279"/>
      <c r="U29" s="277"/>
      <c r="V29" s="272"/>
      <c r="W29" s="278" t="str">
        <f>W$3</f>
        <v>Rugby &amp; N'hampton</v>
      </c>
      <c r="X29" s="274"/>
      <c r="Y29" s="279"/>
      <c r="Z29" s="276"/>
      <c r="AA29" s="272"/>
      <c r="AB29" s="278" t="str">
        <f>AB$3</f>
        <v>Solihull &amp; S.Heath</v>
      </c>
      <c r="AC29" s="274"/>
      <c r="AD29" s="279"/>
      <c r="AE29" s="276"/>
      <c r="AF29" s="272"/>
      <c r="AG29" s="278" t="str">
        <f>AG$3</f>
        <v>Stratford</v>
      </c>
      <c r="AH29" s="274"/>
      <c r="AI29" s="279"/>
      <c r="AJ29" s="276"/>
      <c r="AK29" s="272"/>
      <c r="AL29" s="278" t="str">
        <f>AL$3</f>
        <v>Tamworth</v>
      </c>
      <c r="AM29" s="274"/>
      <c r="AN29" s="279"/>
      <c r="AO29" s="276"/>
      <c r="AP29" s="272"/>
      <c r="AQ29" s="278" t="str">
        <f>AQ$3</f>
        <v>Worcester</v>
      </c>
      <c r="AR29" s="274"/>
      <c r="AS29" s="279"/>
      <c r="AT29" s="276"/>
      <c r="AU29" s="272"/>
      <c r="AV29" s="278">
        <f>AV$3</f>
        <v>0</v>
      </c>
      <c r="AW29" s="274"/>
      <c r="AX29" s="279"/>
      <c r="AZ29" s="272"/>
      <c r="BA29" s="278">
        <f>BA$3</f>
        <v>0</v>
      </c>
      <c r="BB29" s="274"/>
      <c r="BC29" s="279"/>
    </row>
    <row r="30" spans="1:55" x14ac:dyDescent="0.3">
      <c r="A30" s="268"/>
      <c r="B30" s="269" t="str">
        <f>B29&amp;"R"</f>
        <v>85R</v>
      </c>
      <c r="C30" s="270"/>
      <c r="D30" s="270"/>
      <c r="E30" s="271"/>
      <c r="F30" s="118"/>
      <c r="G30" s="304">
        <v>1</v>
      </c>
      <c r="H30" s="278" t="s">
        <v>655</v>
      </c>
      <c r="I30" s="305">
        <v>2</v>
      </c>
      <c r="J30" s="279" t="s">
        <v>662</v>
      </c>
      <c r="K30" s="276"/>
      <c r="L30" s="304">
        <v>1</v>
      </c>
      <c r="M30" s="278"/>
      <c r="N30" s="305">
        <v>2</v>
      </c>
      <c r="O30" s="279"/>
      <c r="P30" s="276"/>
      <c r="Q30" s="1395">
        <v>1</v>
      </c>
      <c r="R30" s="1389" t="s">
        <v>911</v>
      </c>
      <c r="S30" s="1396">
        <v>2</v>
      </c>
      <c r="T30" s="1390" t="s">
        <v>908</v>
      </c>
      <c r="U30" s="277"/>
      <c r="V30" s="304">
        <v>1</v>
      </c>
      <c r="W30" s="1378" t="s">
        <v>823</v>
      </c>
      <c r="X30" s="305">
        <v>2</v>
      </c>
      <c r="Y30" s="1379" t="s">
        <v>829</v>
      </c>
      <c r="Z30" s="276"/>
      <c r="AA30" s="304">
        <v>1</v>
      </c>
      <c r="AB30" s="278" t="s">
        <v>790</v>
      </c>
      <c r="AC30" s="305">
        <v>2</v>
      </c>
      <c r="AD30" s="279" t="s">
        <v>793</v>
      </c>
      <c r="AE30" s="276"/>
      <c r="AF30" s="304">
        <v>1</v>
      </c>
      <c r="AG30" s="278" t="s">
        <v>525</v>
      </c>
      <c r="AH30" s="305">
        <v>2</v>
      </c>
      <c r="AI30" s="279" t="s">
        <v>519</v>
      </c>
      <c r="AJ30" s="276"/>
      <c r="AK30" s="304">
        <v>1</v>
      </c>
      <c r="AL30" s="278" t="s">
        <v>580</v>
      </c>
      <c r="AM30" s="305">
        <v>2</v>
      </c>
      <c r="AN30" s="279" t="s">
        <v>582</v>
      </c>
      <c r="AO30" s="276"/>
      <c r="AP30" s="304">
        <v>1</v>
      </c>
      <c r="AQ30" s="278"/>
      <c r="AR30" s="305">
        <v>2</v>
      </c>
      <c r="AS30" s="279"/>
      <c r="AT30" s="276"/>
      <c r="AU30" s="304">
        <v>1</v>
      </c>
      <c r="AV30" s="278"/>
      <c r="AW30" s="305">
        <v>2</v>
      </c>
      <c r="AX30" s="279"/>
      <c r="AZ30" s="304">
        <v>1</v>
      </c>
      <c r="BA30" s="278"/>
      <c r="BB30" s="305">
        <v>2</v>
      </c>
      <c r="BC30" s="279"/>
    </row>
    <row r="31" spans="1:55" x14ac:dyDescent="0.3">
      <c r="A31" s="268"/>
      <c r="B31" s="269" t="str">
        <f>B29&amp;"S"</f>
        <v>85S</v>
      </c>
      <c r="C31" s="270"/>
      <c r="D31" s="270"/>
      <c r="E31" s="271"/>
      <c r="F31" s="118"/>
      <c r="G31" s="304">
        <v>3</v>
      </c>
      <c r="H31" s="278" t="s">
        <v>667</v>
      </c>
      <c r="I31" s="305">
        <v>4</v>
      </c>
      <c r="J31" s="279" t="s">
        <v>668</v>
      </c>
      <c r="K31" s="276"/>
      <c r="L31" s="304">
        <v>3</v>
      </c>
      <c r="M31" s="278"/>
      <c r="N31" s="305">
        <v>4</v>
      </c>
      <c r="O31" s="279"/>
      <c r="P31" s="276"/>
      <c r="Q31" s="1395">
        <v>3</v>
      </c>
      <c r="R31" s="1389" t="s">
        <v>912</v>
      </c>
      <c r="S31" s="1396">
        <v>4</v>
      </c>
      <c r="T31" s="1390" t="s">
        <v>904</v>
      </c>
      <c r="U31" s="277"/>
      <c r="V31" s="304">
        <v>3</v>
      </c>
      <c r="W31" s="1378" t="s">
        <v>827</v>
      </c>
      <c r="X31" s="305">
        <v>4</v>
      </c>
      <c r="Y31" s="1379" t="s">
        <v>834</v>
      </c>
      <c r="Z31" s="276"/>
      <c r="AA31" s="304">
        <v>3</v>
      </c>
      <c r="AB31" s="278" t="s">
        <v>794</v>
      </c>
      <c r="AC31" s="305">
        <v>4</v>
      </c>
      <c r="AD31" s="279" t="s">
        <v>791</v>
      </c>
      <c r="AE31" s="276"/>
      <c r="AF31" s="304">
        <v>3</v>
      </c>
      <c r="AG31" s="278" t="s">
        <v>526</v>
      </c>
      <c r="AH31" s="305">
        <v>4</v>
      </c>
      <c r="AI31" s="279" t="s">
        <v>520</v>
      </c>
      <c r="AJ31" s="276"/>
      <c r="AK31" s="304">
        <v>3</v>
      </c>
      <c r="AL31" s="278" t="s">
        <v>581</v>
      </c>
      <c r="AM31" s="305">
        <v>4</v>
      </c>
      <c r="AN31" s="279" t="s">
        <v>583</v>
      </c>
      <c r="AO31" s="276"/>
      <c r="AP31" s="304">
        <v>3</v>
      </c>
      <c r="AQ31" s="278"/>
      <c r="AR31" s="305">
        <v>4</v>
      </c>
      <c r="AS31" s="279"/>
      <c r="AT31" s="276"/>
      <c r="AU31" s="304">
        <v>3</v>
      </c>
      <c r="AV31" s="278"/>
      <c r="AW31" s="305">
        <v>4</v>
      </c>
      <c r="AX31" s="279"/>
      <c r="AZ31" s="304">
        <v>3</v>
      </c>
      <c r="BA31" s="278"/>
      <c r="BB31" s="305">
        <v>4</v>
      </c>
      <c r="BC31" s="279"/>
    </row>
    <row r="32" spans="1:55" x14ac:dyDescent="0.3">
      <c r="A32" s="268"/>
      <c r="B32" s="269"/>
      <c r="C32" s="270" t="str">
        <f t="shared" si="8"/>
        <v xml:space="preserve"> </v>
      </c>
      <c r="D32" s="270" t="str">
        <f t="shared" si="9"/>
        <v xml:space="preserve"> </v>
      </c>
      <c r="E32" s="271"/>
      <c r="F32" s="118"/>
      <c r="G32" s="272"/>
      <c r="H32" s="278"/>
      <c r="I32" s="274"/>
      <c r="J32" s="279"/>
      <c r="K32" s="276"/>
      <c r="L32" s="272"/>
      <c r="M32" s="278"/>
      <c r="N32" s="274"/>
      <c r="O32" s="279"/>
      <c r="P32" s="276"/>
      <c r="Q32" s="272"/>
      <c r="R32" s="278"/>
      <c r="S32" s="274"/>
      <c r="T32" s="279"/>
      <c r="U32" s="277"/>
      <c r="V32" s="272"/>
      <c r="W32" s="278"/>
      <c r="X32" s="274"/>
      <c r="Y32" s="279"/>
      <c r="Z32" s="276"/>
      <c r="AA32" s="272"/>
      <c r="AB32" s="278"/>
      <c r="AC32" s="274"/>
      <c r="AD32" s="279"/>
      <c r="AE32" s="276"/>
      <c r="AF32" s="272"/>
      <c r="AG32" s="278"/>
      <c r="AH32" s="274"/>
      <c r="AI32" s="279"/>
      <c r="AJ32" s="276"/>
      <c r="AK32" s="272"/>
      <c r="AL32" s="278"/>
      <c r="AM32" s="274"/>
      <c r="AN32" s="279"/>
      <c r="AO32" s="276"/>
      <c r="AP32" s="272"/>
      <c r="AQ32" s="278"/>
      <c r="AR32" s="274"/>
      <c r="AS32" s="279"/>
      <c r="AT32" s="276"/>
      <c r="AU32" s="272"/>
      <c r="AV32" s="278"/>
      <c r="AW32" s="274"/>
      <c r="AX32" s="279"/>
      <c r="AZ32" s="272"/>
      <c r="BA32" s="278"/>
      <c r="BB32" s="274"/>
      <c r="BC32" s="279"/>
    </row>
    <row r="33" spans="1:55" ht="15" thickBot="1" x14ac:dyDescent="0.35">
      <c r="A33" s="268"/>
      <c r="B33" s="16"/>
      <c r="C33" s="221"/>
      <c r="D33" s="118"/>
      <c r="E33" s="139"/>
      <c r="F33" s="118"/>
      <c r="G33" s="306"/>
      <c r="H33" s="276"/>
      <c r="I33" s="307"/>
      <c r="J33" s="280"/>
      <c r="K33" s="276"/>
      <c r="L33" s="306"/>
      <c r="M33" s="276"/>
      <c r="N33" s="307"/>
      <c r="O33" s="280"/>
      <c r="P33" s="276"/>
      <c r="Q33" s="306"/>
      <c r="R33" s="276"/>
      <c r="S33" s="307"/>
      <c r="T33" s="280"/>
      <c r="U33" s="277"/>
      <c r="V33" s="306"/>
      <c r="W33" s="276"/>
      <c r="X33" s="307"/>
      <c r="Y33" s="280"/>
      <c r="Z33" s="276"/>
      <c r="AA33" s="306"/>
      <c r="AB33" s="276"/>
      <c r="AC33" s="307"/>
      <c r="AD33" s="280"/>
      <c r="AE33" s="276"/>
      <c r="AF33" s="306"/>
      <c r="AG33" s="276"/>
      <c r="AH33" s="307"/>
      <c r="AI33" s="280"/>
      <c r="AJ33" s="276"/>
      <c r="AK33" s="306"/>
      <c r="AL33" s="276"/>
      <c r="AM33" s="307"/>
      <c r="AN33" s="280"/>
      <c r="AO33" s="276"/>
      <c r="AP33" s="306"/>
      <c r="AQ33" s="276"/>
      <c r="AR33" s="307"/>
      <c r="AS33" s="280"/>
      <c r="AT33" s="276"/>
      <c r="AU33" s="306"/>
      <c r="AV33" s="276"/>
      <c r="AW33" s="307"/>
      <c r="AX33" s="280"/>
      <c r="AZ33" s="306"/>
      <c r="BA33" s="276"/>
      <c r="BB33" s="307"/>
      <c r="BC33" s="280"/>
    </row>
    <row r="34" spans="1:55" ht="15" thickBot="1" x14ac:dyDescent="0.35">
      <c r="A34" s="268"/>
      <c r="B34" s="286" t="s">
        <v>165</v>
      </c>
      <c r="C34" s="287" t="s">
        <v>168</v>
      </c>
      <c r="D34" s="288" t="s">
        <v>241</v>
      </c>
      <c r="E34" s="289"/>
      <c r="F34" s="118"/>
      <c r="G34" s="290" t="s">
        <v>167</v>
      </c>
      <c r="H34" s="291" t="s">
        <v>242</v>
      </c>
      <c r="I34" s="291" t="s">
        <v>167</v>
      </c>
      <c r="J34" s="292" t="s">
        <v>243</v>
      </c>
      <c r="K34" s="276"/>
      <c r="L34" s="290" t="s">
        <v>167</v>
      </c>
      <c r="M34" s="291" t="s">
        <v>242</v>
      </c>
      <c r="N34" s="291" t="s">
        <v>167</v>
      </c>
      <c r="O34" s="292" t="s">
        <v>243</v>
      </c>
      <c r="P34" s="276"/>
      <c r="Q34" s="290" t="s">
        <v>167</v>
      </c>
      <c r="R34" s="291" t="s">
        <v>242</v>
      </c>
      <c r="S34" s="291" t="s">
        <v>167</v>
      </c>
      <c r="T34" s="292" t="s">
        <v>243</v>
      </c>
      <c r="U34" s="277"/>
      <c r="V34" s="290" t="s">
        <v>167</v>
      </c>
      <c r="W34" s="291" t="s">
        <v>242</v>
      </c>
      <c r="X34" s="291" t="s">
        <v>167</v>
      </c>
      <c r="Y34" s="292" t="s">
        <v>243</v>
      </c>
      <c r="Z34" s="276"/>
      <c r="AA34" s="290" t="s">
        <v>167</v>
      </c>
      <c r="AB34" s="291" t="s">
        <v>242</v>
      </c>
      <c r="AC34" s="291" t="s">
        <v>167</v>
      </c>
      <c r="AD34" s="292" t="s">
        <v>243</v>
      </c>
      <c r="AE34" s="276"/>
      <c r="AF34" s="290" t="s">
        <v>167</v>
      </c>
      <c r="AG34" s="291" t="s">
        <v>242</v>
      </c>
      <c r="AH34" s="291" t="s">
        <v>167</v>
      </c>
      <c r="AI34" s="292" t="s">
        <v>243</v>
      </c>
      <c r="AJ34" s="276"/>
      <c r="AK34" s="290" t="s">
        <v>167</v>
      </c>
      <c r="AL34" s="291" t="s">
        <v>242</v>
      </c>
      <c r="AM34" s="291" t="s">
        <v>167</v>
      </c>
      <c r="AN34" s="292" t="s">
        <v>243</v>
      </c>
      <c r="AO34" s="276"/>
      <c r="AP34" s="290" t="s">
        <v>167</v>
      </c>
      <c r="AQ34" s="291" t="s">
        <v>242</v>
      </c>
      <c r="AR34" s="291" t="s">
        <v>167</v>
      </c>
      <c r="AS34" s="292" t="s">
        <v>243</v>
      </c>
      <c r="AT34" s="276"/>
      <c r="AU34" s="290" t="s">
        <v>167</v>
      </c>
      <c r="AV34" s="291" t="s">
        <v>242</v>
      </c>
      <c r="AW34" s="291" t="s">
        <v>167</v>
      </c>
      <c r="AX34" s="292" t="s">
        <v>243</v>
      </c>
      <c r="AZ34" s="290" t="s">
        <v>167</v>
      </c>
      <c r="BA34" s="291" t="s">
        <v>242</v>
      </c>
      <c r="BB34" s="291" t="s">
        <v>167</v>
      </c>
      <c r="BC34" s="292" t="s">
        <v>243</v>
      </c>
    </row>
    <row r="35" spans="1:55" ht="16.2" thickBot="1" x14ac:dyDescent="0.35">
      <c r="A35" s="293"/>
      <c r="B35" s="294"/>
      <c r="C35" s="295"/>
      <c r="D35" s="296" t="s">
        <v>481</v>
      </c>
      <c r="E35" s="297"/>
      <c r="F35" s="143"/>
      <c r="G35" s="298"/>
      <c r="H35" s="299"/>
      <c r="I35" s="300"/>
      <c r="J35" s="301"/>
      <c r="K35" s="302"/>
      <c r="L35" s="298"/>
      <c r="M35" s="299"/>
      <c r="N35" s="300"/>
      <c r="O35" s="301"/>
      <c r="P35" s="302"/>
      <c r="Q35" s="298"/>
      <c r="R35" s="299"/>
      <c r="S35" s="300"/>
      <c r="T35" s="301"/>
      <c r="U35" s="308"/>
      <c r="V35" s="298"/>
      <c r="W35" s="299"/>
      <c r="X35" s="300"/>
      <c r="Y35" s="301"/>
      <c r="Z35" s="302"/>
      <c r="AA35" s="298"/>
      <c r="AB35" s="299"/>
      <c r="AC35" s="300"/>
      <c r="AD35" s="301"/>
      <c r="AE35" s="302"/>
      <c r="AF35" s="298"/>
      <c r="AG35" s="299"/>
      <c r="AH35" s="300"/>
      <c r="AI35" s="301"/>
      <c r="AJ35" s="302"/>
      <c r="AK35" s="298"/>
      <c r="AL35" s="299"/>
      <c r="AM35" s="300"/>
      <c r="AN35" s="301"/>
      <c r="AO35" s="302"/>
      <c r="AP35" s="298"/>
      <c r="AQ35" s="299"/>
      <c r="AR35" s="300"/>
      <c r="AS35" s="301"/>
      <c r="AT35" s="302"/>
      <c r="AU35" s="298"/>
      <c r="AV35" s="299"/>
      <c r="AW35" s="300"/>
      <c r="AX35" s="301"/>
      <c r="AY35" s="140"/>
      <c r="AZ35" s="298"/>
      <c r="BA35" s="299"/>
      <c r="BB35" s="300"/>
      <c r="BC35" s="301"/>
    </row>
    <row r="36" spans="1:55" ht="15" thickBot="1" x14ac:dyDescent="0.35">
      <c r="A36" s="268"/>
      <c r="B36" s="269">
        <v>7</v>
      </c>
      <c r="C36" s="270">
        <f t="shared" ref="C36:C42" si="10">IF($B36&gt;0,VLOOKUP($B36,EventsOrder,2,FALSE)," ")</f>
        <v>12</v>
      </c>
      <c r="D36" s="270" t="str">
        <f t="shared" ref="D36:D42" si="11">IF($B36&gt;0,VLOOKUP($B36,EventsOrder,6,FALSE)," ")</f>
        <v>Long Jump Pit 2</v>
      </c>
      <c r="E36" s="271"/>
      <c r="F36" s="118"/>
      <c r="G36" s="272" t="s">
        <v>100</v>
      </c>
      <c r="H36" s="278" t="s">
        <v>669</v>
      </c>
      <c r="I36" s="274" t="s">
        <v>818</v>
      </c>
      <c r="J36" s="279" t="s">
        <v>670</v>
      </c>
      <c r="K36" s="276"/>
      <c r="L36" s="272" t="s">
        <v>130</v>
      </c>
      <c r="M36" s="278" t="s">
        <v>733</v>
      </c>
      <c r="N36" s="274"/>
      <c r="O36" s="279"/>
      <c r="P36" s="276"/>
      <c r="Q36" s="272" t="s">
        <v>110</v>
      </c>
      <c r="R36" s="1389" t="s">
        <v>914</v>
      </c>
      <c r="S36" s="274" t="s">
        <v>820</v>
      </c>
      <c r="T36" s="1390" t="s">
        <v>918</v>
      </c>
      <c r="U36" s="277"/>
      <c r="V36" s="272" t="s">
        <v>118</v>
      </c>
      <c r="W36" s="1372" t="s">
        <v>835</v>
      </c>
      <c r="X36" s="274" t="s">
        <v>819</v>
      </c>
      <c r="Y36" s="1372" t="s">
        <v>842</v>
      </c>
      <c r="Z36" s="276"/>
      <c r="AA36" s="272" t="s">
        <v>127</v>
      </c>
      <c r="AB36" s="278" t="s">
        <v>796</v>
      </c>
      <c r="AC36" s="274" t="s">
        <v>821</v>
      </c>
      <c r="AD36" s="279" t="s">
        <v>797</v>
      </c>
      <c r="AE36" s="276"/>
      <c r="AF36" s="272" t="s">
        <v>136</v>
      </c>
      <c r="AG36" s="278" t="s">
        <v>527</v>
      </c>
      <c r="AH36" s="274" t="s">
        <v>513</v>
      </c>
      <c r="AI36" s="279" t="s">
        <v>536</v>
      </c>
      <c r="AJ36" s="276"/>
      <c r="AK36" s="272" t="s">
        <v>142</v>
      </c>
      <c r="AL36" s="278" t="s">
        <v>584</v>
      </c>
      <c r="AM36" s="274" t="s">
        <v>576</v>
      </c>
      <c r="AN36" s="279"/>
      <c r="AO36" s="276"/>
      <c r="AP36" s="272" t="s">
        <v>151</v>
      </c>
      <c r="AQ36" s="278" t="s">
        <v>624</v>
      </c>
      <c r="AR36" s="274" t="s">
        <v>822</v>
      </c>
      <c r="AS36" s="279" t="s">
        <v>626</v>
      </c>
      <c r="AT36" s="276"/>
      <c r="AU36" s="272"/>
      <c r="AV36" s="278"/>
      <c r="AW36" s="274"/>
      <c r="AX36" s="279"/>
      <c r="AZ36" s="272"/>
      <c r="BA36" s="278"/>
      <c r="BB36" s="274"/>
      <c r="BC36" s="279"/>
    </row>
    <row r="37" spans="1:55" ht="15" thickBot="1" x14ac:dyDescent="0.35">
      <c r="A37" s="268"/>
      <c r="B37" s="269">
        <v>15</v>
      </c>
      <c r="C37" s="270">
        <f t="shared" si="10"/>
        <v>12.1</v>
      </c>
      <c r="D37" s="270" t="str">
        <f t="shared" si="11"/>
        <v xml:space="preserve">800m </v>
      </c>
      <c r="E37" s="271"/>
      <c r="F37" s="118"/>
      <c r="G37" s="272" t="s">
        <v>100</v>
      </c>
      <c r="H37" s="278" t="s">
        <v>671</v>
      </c>
      <c r="I37" s="274" t="s">
        <v>818</v>
      </c>
      <c r="J37" s="279" t="s">
        <v>672</v>
      </c>
      <c r="K37" s="276"/>
      <c r="L37" s="272"/>
      <c r="M37" s="278"/>
      <c r="N37" s="274"/>
      <c r="O37" s="279"/>
      <c r="P37" s="276"/>
      <c r="Q37" s="272" t="s">
        <v>110</v>
      </c>
      <c r="R37" s="1389" t="s">
        <v>915</v>
      </c>
      <c r="S37" s="274" t="s">
        <v>820</v>
      </c>
      <c r="T37" s="279"/>
      <c r="U37" s="277"/>
      <c r="V37" s="272" t="s">
        <v>118</v>
      </c>
      <c r="W37" s="1375" t="s">
        <v>836</v>
      </c>
      <c r="X37" s="274" t="s">
        <v>819</v>
      </c>
      <c r="Y37" s="1375" t="s">
        <v>843</v>
      </c>
      <c r="Z37" s="276"/>
      <c r="AA37" s="272" t="s">
        <v>127</v>
      </c>
      <c r="AB37" s="278" t="s">
        <v>798</v>
      </c>
      <c r="AC37" s="274" t="s">
        <v>821</v>
      </c>
      <c r="AD37" s="279" t="s">
        <v>799</v>
      </c>
      <c r="AE37" s="276"/>
      <c r="AF37" s="272" t="s">
        <v>136</v>
      </c>
      <c r="AG37" s="278" t="s">
        <v>529</v>
      </c>
      <c r="AH37" s="274" t="s">
        <v>513</v>
      </c>
      <c r="AI37" s="279" t="s">
        <v>530</v>
      </c>
      <c r="AJ37" s="276"/>
      <c r="AK37" s="272" t="s">
        <v>142</v>
      </c>
      <c r="AL37" s="278" t="s">
        <v>585</v>
      </c>
      <c r="AM37" s="274" t="s">
        <v>576</v>
      </c>
      <c r="AN37" s="279" t="s">
        <v>586</v>
      </c>
      <c r="AO37" s="276"/>
      <c r="AP37" s="272" t="s">
        <v>151</v>
      </c>
      <c r="AQ37" s="278" t="s">
        <v>625</v>
      </c>
      <c r="AR37" s="274"/>
      <c r="AS37" s="279"/>
      <c r="AT37" s="276"/>
      <c r="AU37" s="272"/>
      <c r="AV37" s="278"/>
      <c r="AW37" s="274"/>
      <c r="AX37" s="279"/>
      <c r="AZ37" s="272"/>
      <c r="BA37" s="278"/>
      <c r="BB37" s="274"/>
      <c r="BC37" s="279"/>
    </row>
    <row r="38" spans="1:55" ht="15" thickBot="1" x14ac:dyDescent="0.35">
      <c r="A38" s="268"/>
      <c r="B38" s="269">
        <v>20</v>
      </c>
      <c r="C38" s="270">
        <f t="shared" si="10"/>
        <v>12.5</v>
      </c>
      <c r="D38" s="270" t="str">
        <f t="shared" si="11"/>
        <v xml:space="preserve">100m hurdles </v>
      </c>
      <c r="E38" s="271"/>
      <c r="F38" s="118"/>
      <c r="G38" s="272" t="s">
        <v>100</v>
      </c>
      <c r="H38" s="273" t="s">
        <v>673</v>
      </c>
      <c r="I38" s="274" t="s">
        <v>818</v>
      </c>
      <c r="J38" s="279" t="s">
        <v>674</v>
      </c>
      <c r="K38" s="276"/>
      <c r="L38" s="272" t="s">
        <v>130</v>
      </c>
      <c r="M38" s="273" t="s">
        <v>733</v>
      </c>
      <c r="N38" s="274"/>
      <c r="O38" s="279"/>
      <c r="P38" s="276"/>
      <c r="Q38" s="272" t="s">
        <v>110</v>
      </c>
      <c r="R38" s="273"/>
      <c r="S38" s="274" t="s">
        <v>820</v>
      </c>
      <c r="T38" s="279"/>
      <c r="U38" s="277"/>
      <c r="V38" s="272" t="s">
        <v>118</v>
      </c>
      <c r="W38" s="1375" t="s">
        <v>837</v>
      </c>
      <c r="X38" s="274" t="s">
        <v>819</v>
      </c>
      <c r="Y38" s="1375" t="s">
        <v>844</v>
      </c>
      <c r="Z38" s="276"/>
      <c r="AA38" s="272" t="s">
        <v>127</v>
      </c>
      <c r="AB38" s="273" t="s">
        <v>800</v>
      </c>
      <c r="AC38" s="274"/>
      <c r="AD38" s="279"/>
      <c r="AE38" s="276"/>
      <c r="AF38" s="272" t="s">
        <v>136</v>
      </c>
      <c r="AG38" s="273" t="s">
        <v>531</v>
      </c>
      <c r="AH38" s="274" t="s">
        <v>513</v>
      </c>
      <c r="AI38" s="279" t="s">
        <v>532</v>
      </c>
      <c r="AJ38" s="276"/>
      <c r="AK38" s="272" t="s">
        <v>142</v>
      </c>
      <c r="AL38" s="273"/>
      <c r="AM38" s="274" t="s">
        <v>576</v>
      </c>
      <c r="AN38" s="279"/>
      <c r="AO38" s="276"/>
      <c r="AP38" s="272" t="s">
        <v>151</v>
      </c>
      <c r="AQ38" s="278" t="s">
        <v>624</v>
      </c>
      <c r="AR38" s="274"/>
      <c r="AS38" s="279"/>
      <c r="AT38" s="276"/>
      <c r="AU38" s="272"/>
      <c r="AV38" s="273"/>
      <c r="AW38" s="274"/>
      <c r="AX38" s="279"/>
      <c r="AZ38" s="272"/>
      <c r="BA38" s="273"/>
      <c r="BB38" s="274"/>
      <c r="BC38" s="279"/>
    </row>
    <row r="39" spans="1:55" ht="15" thickBot="1" x14ac:dyDescent="0.35">
      <c r="A39" s="268"/>
      <c r="B39" s="269">
        <v>22</v>
      </c>
      <c r="C39" s="270">
        <f t="shared" si="10"/>
        <v>1</v>
      </c>
      <c r="D39" s="270" t="str">
        <f t="shared" si="11"/>
        <v xml:space="preserve">Shot </v>
      </c>
      <c r="E39" s="271"/>
      <c r="F39" s="118"/>
      <c r="G39" s="272" t="s">
        <v>100</v>
      </c>
      <c r="H39" s="278" t="s">
        <v>675</v>
      </c>
      <c r="I39" s="274" t="s">
        <v>818</v>
      </c>
      <c r="J39" s="279" t="s">
        <v>676</v>
      </c>
      <c r="K39" s="276"/>
      <c r="L39" s="272"/>
      <c r="M39" s="278"/>
      <c r="N39" s="274"/>
      <c r="O39" s="279"/>
      <c r="P39" s="276"/>
      <c r="Q39" s="272" t="s">
        <v>110</v>
      </c>
      <c r="R39" s="1389" t="s">
        <v>916</v>
      </c>
      <c r="S39" s="274" t="s">
        <v>820</v>
      </c>
      <c r="T39" s="1390" t="s">
        <v>921</v>
      </c>
      <c r="U39" s="277"/>
      <c r="V39" s="272" t="s">
        <v>118</v>
      </c>
      <c r="W39" s="1375" t="s">
        <v>838</v>
      </c>
      <c r="X39" s="274" t="s">
        <v>819</v>
      </c>
      <c r="Y39" s="1375" t="s">
        <v>839</v>
      </c>
      <c r="Z39" s="276"/>
      <c r="AA39" s="272" t="s">
        <v>127</v>
      </c>
      <c r="AB39" s="278" t="s">
        <v>801</v>
      </c>
      <c r="AC39" s="274" t="s">
        <v>821</v>
      </c>
      <c r="AD39" s="279" t="s">
        <v>799</v>
      </c>
      <c r="AE39" s="276"/>
      <c r="AF39" s="272" t="s">
        <v>136</v>
      </c>
      <c r="AG39" s="278" t="s">
        <v>533</v>
      </c>
      <c r="AH39" s="274" t="s">
        <v>513</v>
      </c>
      <c r="AI39" s="279" t="s">
        <v>534</v>
      </c>
      <c r="AJ39" s="276"/>
      <c r="AK39" s="272" t="s">
        <v>142</v>
      </c>
      <c r="AL39" s="278" t="s">
        <v>587</v>
      </c>
      <c r="AM39" s="274" t="s">
        <v>576</v>
      </c>
      <c r="AN39" s="279"/>
      <c r="AO39" s="276"/>
      <c r="AP39" s="272" t="s">
        <v>151</v>
      </c>
      <c r="AQ39" s="278" t="s">
        <v>625</v>
      </c>
      <c r="AR39" s="274" t="s">
        <v>822</v>
      </c>
      <c r="AS39" s="279" t="s">
        <v>624</v>
      </c>
      <c r="AT39" s="276"/>
      <c r="AU39" s="272"/>
      <c r="AV39" s="278"/>
      <c r="AW39" s="274"/>
      <c r="AX39" s="279"/>
      <c r="AZ39" s="272"/>
      <c r="BA39" s="278"/>
      <c r="BB39" s="274"/>
      <c r="BC39" s="279"/>
    </row>
    <row r="40" spans="1:55" ht="15" thickBot="1" x14ac:dyDescent="0.35">
      <c r="A40" s="268"/>
      <c r="B40" s="269">
        <v>64</v>
      </c>
      <c r="C40" s="270">
        <f t="shared" si="10"/>
        <v>1.45</v>
      </c>
      <c r="D40" s="270" t="str">
        <f t="shared" si="11"/>
        <v xml:space="preserve">300m  </v>
      </c>
      <c r="E40" s="271"/>
      <c r="F40" s="118"/>
      <c r="G40" s="272" t="s">
        <v>100</v>
      </c>
      <c r="H40" s="273" t="s">
        <v>669</v>
      </c>
      <c r="I40" s="274" t="s">
        <v>818</v>
      </c>
      <c r="J40" s="279" t="s">
        <v>670</v>
      </c>
      <c r="K40" s="276"/>
      <c r="L40" s="272"/>
      <c r="M40" s="273"/>
      <c r="N40" s="274"/>
      <c r="O40" s="279"/>
      <c r="P40" s="276"/>
      <c r="Q40" s="272" t="s">
        <v>110</v>
      </c>
      <c r="R40" s="1390" t="s">
        <v>916</v>
      </c>
      <c r="S40" s="274" t="s">
        <v>820</v>
      </c>
      <c r="T40" s="1394" t="s">
        <v>914</v>
      </c>
      <c r="U40" s="277"/>
      <c r="V40" s="272" t="s">
        <v>118</v>
      </c>
      <c r="W40" s="1375" t="s">
        <v>845</v>
      </c>
      <c r="X40" s="274"/>
      <c r="Y40" s="1375"/>
      <c r="Z40" s="276"/>
      <c r="AA40" s="272" t="s">
        <v>127</v>
      </c>
      <c r="AB40" s="273" t="s">
        <v>798</v>
      </c>
      <c r="AC40" s="274" t="s">
        <v>821</v>
      </c>
      <c r="AD40" s="279" t="s">
        <v>799</v>
      </c>
      <c r="AE40" s="276"/>
      <c r="AF40" s="272" t="s">
        <v>136</v>
      </c>
      <c r="AG40" s="273" t="s">
        <v>531</v>
      </c>
      <c r="AH40" s="274" t="s">
        <v>513</v>
      </c>
      <c r="AI40" s="279" t="s">
        <v>535</v>
      </c>
      <c r="AJ40" s="276"/>
      <c r="AK40" s="272" t="s">
        <v>142</v>
      </c>
      <c r="AL40" s="273" t="s">
        <v>588</v>
      </c>
      <c r="AM40" s="274" t="s">
        <v>576</v>
      </c>
      <c r="AN40" s="279" t="s">
        <v>586</v>
      </c>
      <c r="AO40" s="276"/>
      <c r="AP40" s="272" t="s">
        <v>151</v>
      </c>
      <c r="AQ40" s="278" t="s">
        <v>626</v>
      </c>
      <c r="AR40" s="274" t="s">
        <v>822</v>
      </c>
      <c r="AS40" s="279" t="s">
        <v>625</v>
      </c>
      <c r="AT40" s="276"/>
      <c r="AU40" s="272"/>
      <c r="AV40" s="273"/>
      <c r="AW40" s="274"/>
      <c r="AX40" s="279"/>
      <c r="AZ40" s="272"/>
      <c r="BA40" s="273"/>
      <c r="BB40" s="274"/>
      <c r="BC40" s="279"/>
    </row>
    <row r="41" spans="1:55" ht="15" thickBot="1" x14ac:dyDescent="0.35">
      <c r="A41" s="268"/>
      <c r="B41" s="269">
        <v>37</v>
      </c>
      <c r="C41" s="270">
        <f t="shared" si="10"/>
        <v>1.5</v>
      </c>
      <c r="D41" s="270" t="str">
        <f t="shared" si="11"/>
        <v>Javelin Match 1 &amp; 3</v>
      </c>
      <c r="E41" s="271"/>
      <c r="F41" s="118"/>
      <c r="G41" s="272" t="s">
        <v>100</v>
      </c>
      <c r="H41" s="278" t="s">
        <v>672</v>
      </c>
      <c r="I41" s="274" t="s">
        <v>818</v>
      </c>
      <c r="J41" s="279" t="s">
        <v>673</v>
      </c>
      <c r="K41" s="276"/>
      <c r="L41" s="272" t="s">
        <v>130</v>
      </c>
      <c r="M41" s="278" t="s">
        <v>734</v>
      </c>
      <c r="N41" s="274"/>
      <c r="O41" s="279"/>
      <c r="P41" s="276"/>
      <c r="Q41" s="272" t="s">
        <v>110</v>
      </c>
      <c r="R41" s="1389" t="s">
        <v>916</v>
      </c>
      <c r="S41" s="274" t="s">
        <v>820</v>
      </c>
      <c r="T41" s="1390" t="s">
        <v>921</v>
      </c>
      <c r="U41" s="277"/>
      <c r="V41" s="272" t="s">
        <v>118</v>
      </c>
      <c r="W41" s="1375" t="s">
        <v>839</v>
      </c>
      <c r="X41" s="274" t="s">
        <v>819</v>
      </c>
      <c r="Y41" s="1375" t="s">
        <v>846</v>
      </c>
      <c r="Z41" s="276"/>
      <c r="AA41" s="272" t="s">
        <v>127</v>
      </c>
      <c r="AB41" s="278" t="s">
        <v>801</v>
      </c>
      <c r="AC41" s="274" t="s">
        <v>821</v>
      </c>
      <c r="AD41" s="279" t="s">
        <v>800</v>
      </c>
      <c r="AE41" s="276"/>
      <c r="AF41" s="272" t="s">
        <v>136</v>
      </c>
      <c r="AG41" s="278" t="s">
        <v>530</v>
      </c>
      <c r="AH41" s="274" t="s">
        <v>513</v>
      </c>
      <c r="AI41" s="279" t="s">
        <v>528</v>
      </c>
      <c r="AJ41" s="276"/>
      <c r="AK41" s="272" t="s">
        <v>142</v>
      </c>
      <c r="AL41" s="278" t="s">
        <v>584</v>
      </c>
      <c r="AM41" s="274" t="s">
        <v>576</v>
      </c>
      <c r="AN41" s="279"/>
      <c r="AO41" s="276"/>
      <c r="AP41" s="272" t="s">
        <v>151</v>
      </c>
      <c r="AQ41" s="278" t="s">
        <v>627</v>
      </c>
      <c r="AR41" s="274" t="s">
        <v>822</v>
      </c>
      <c r="AS41" s="279" t="s">
        <v>628</v>
      </c>
      <c r="AT41" s="276"/>
      <c r="AU41" s="272"/>
      <c r="AV41" s="278"/>
      <c r="AW41" s="274"/>
      <c r="AX41" s="279"/>
      <c r="AZ41" s="272"/>
      <c r="BA41" s="278"/>
      <c r="BB41" s="274"/>
      <c r="BC41" s="279"/>
    </row>
    <row r="42" spans="1:55" ht="15" thickBot="1" x14ac:dyDescent="0.35">
      <c r="A42" s="268"/>
      <c r="B42" s="269">
        <v>44</v>
      </c>
      <c r="C42" s="270">
        <f t="shared" si="10"/>
        <v>2.4</v>
      </c>
      <c r="D42" s="270" t="str">
        <f t="shared" si="11"/>
        <v xml:space="preserve">100m </v>
      </c>
      <c r="E42" s="271"/>
      <c r="F42" s="118"/>
      <c r="G42" s="272" t="s">
        <v>100</v>
      </c>
      <c r="H42" s="278" t="s">
        <v>677</v>
      </c>
      <c r="I42" s="274" t="s">
        <v>818</v>
      </c>
      <c r="J42" s="279" t="s">
        <v>675</v>
      </c>
      <c r="K42" s="276"/>
      <c r="L42" s="272" t="s">
        <v>130</v>
      </c>
      <c r="M42" s="278" t="s">
        <v>733</v>
      </c>
      <c r="N42" s="274"/>
      <c r="O42" s="279"/>
      <c r="P42" s="276"/>
      <c r="Q42" s="272" t="s">
        <v>110</v>
      </c>
      <c r="R42" s="1389" t="s">
        <v>917</v>
      </c>
      <c r="S42" s="274" t="s">
        <v>820</v>
      </c>
      <c r="T42" s="1390" t="s">
        <v>921</v>
      </c>
      <c r="U42" s="277"/>
      <c r="V42" s="272" t="s">
        <v>118</v>
      </c>
      <c r="W42" s="1375" t="s">
        <v>839</v>
      </c>
      <c r="X42" s="274" t="s">
        <v>819</v>
      </c>
      <c r="Y42" s="1375" t="s">
        <v>842</v>
      </c>
      <c r="Z42" s="276"/>
      <c r="AA42" s="272" t="s">
        <v>127</v>
      </c>
      <c r="AB42" s="278" t="s">
        <v>796</v>
      </c>
      <c r="AC42" s="274" t="s">
        <v>821</v>
      </c>
      <c r="AD42" s="279" t="s">
        <v>797</v>
      </c>
      <c r="AE42" s="276"/>
      <c r="AF42" s="272" t="s">
        <v>136</v>
      </c>
      <c r="AG42" s="278" t="s">
        <v>527</v>
      </c>
      <c r="AH42" s="274" t="s">
        <v>513</v>
      </c>
      <c r="AI42" s="279" t="s">
        <v>532</v>
      </c>
      <c r="AJ42" s="276"/>
      <c r="AK42" s="272" t="s">
        <v>142</v>
      </c>
      <c r="AL42" s="278" t="s">
        <v>587</v>
      </c>
      <c r="AM42" s="274" t="s">
        <v>576</v>
      </c>
      <c r="AN42" s="279" t="s">
        <v>584</v>
      </c>
      <c r="AO42" s="276"/>
      <c r="AP42" s="272" t="s">
        <v>151</v>
      </c>
      <c r="AQ42" s="278" t="s">
        <v>624</v>
      </c>
      <c r="AR42" s="274"/>
      <c r="AS42" s="279"/>
      <c r="AT42" s="276"/>
      <c r="AU42" s="272"/>
      <c r="AV42" s="278"/>
      <c r="AW42" s="274"/>
      <c r="AX42" s="279"/>
      <c r="AZ42" s="272"/>
      <c r="BA42" s="278"/>
      <c r="BB42" s="274"/>
      <c r="BC42" s="279"/>
    </row>
    <row r="43" spans="1:55" ht="15" thickBot="1" x14ac:dyDescent="0.35">
      <c r="A43" s="268"/>
      <c r="B43" s="269">
        <v>45</v>
      </c>
      <c r="C43" s="270">
        <f t="shared" ref="C43:C50" si="12">IF($B43&gt;0,VLOOKUP($B43,EventsOrder,2,FALSE)," ")</f>
        <v>2.2999999999999998</v>
      </c>
      <c r="D43" s="270" t="str">
        <f t="shared" ref="D43:D50" si="13">IF($B43&gt;0,VLOOKUP($B43,EventsOrder,6,FALSE)," ")</f>
        <v xml:space="preserve">High Jump </v>
      </c>
      <c r="E43" s="271"/>
      <c r="F43" s="118"/>
      <c r="G43" s="272" t="s">
        <v>100</v>
      </c>
      <c r="H43" s="278" t="s">
        <v>676</v>
      </c>
      <c r="I43" s="274" t="s">
        <v>818</v>
      </c>
      <c r="J43" s="279" t="s">
        <v>674</v>
      </c>
      <c r="K43" s="276"/>
      <c r="L43" s="272"/>
      <c r="M43" s="278"/>
      <c r="N43" s="274"/>
      <c r="O43" s="279"/>
      <c r="P43" s="276"/>
      <c r="Q43" s="272" t="s">
        <v>110</v>
      </c>
      <c r="R43" s="1389" t="s">
        <v>918</v>
      </c>
      <c r="S43" s="274" t="s">
        <v>820</v>
      </c>
      <c r="T43" s="1390" t="s">
        <v>916</v>
      </c>
      <c r="U43" s="277"/>
      <c r="V43" s="272" t="s">
        <v>118</v>
      </c>
      <c r="W43" s="1375" t="s">
        <v>840</v>
      </c>
      <c r="X43" s="274" t="s">
        <v>819</v>
      </c>
      <c r="Y43" s="1375" t="s">
        <v>844</v>
      </c>
      <c r="Z43" s="276"/>
      <c r="AA43" s="272" t="s">
        <v>127</v>
      </c>
      <c r="AB43" s="278" t="s">
        <v>800</v>
      </c>
      <c r="AC43" s="274" t="s">
        <v>821</v>
      </c>
      <c r="AD43" s="279" t="s">
        <v>798</v>
      </c>
      <c r="AE43" s="276"/>
      <c r="AF43" s="272" t="s">
        <v>136</v>
      </c>
      <c r="AG43" s="278" t="s">
        <v>534</v>
      </c>
      <c r="AH43" s="274" t="s">
        <v>513</v>
      </c>
      <c r="AI43" s="279" t="s">
        <v>531</v>
      </c>
      <c r="AJ43" s="276"/>
      <c r="AK43" s="272" t="s">
        <v>142</v>
      </c>
      <c r="AL43" s="278" t="s">
        <v>585</v>
      </c>
      <c r="AM43" s="274" t="s">
        <v>576</v>
      </c>
      <c r="AN43" s="279" t="s">
        <v>588</v>
      </c>
      <c r="AO43" s="276"/>
      <c r="AP43" s="272" t="s">
        <v>151</v>
      </c>
      <c r="AQ43" s="278" t="s">
        <v>627</v>
      </c>
      <c r="AR43" s="274" t="s">
        <v>822</v>
      </c>
      <c r="AS43" s="279" t="s">
        <v>624</v>
      </c>
      <c r="AT43" s="276"/>
      <c r="AU43" s="272"/>
      <c r="AV43" s="278"/>
      <c r="AW43" s="274"/>
      <c r="AX43" s="279"/>
      <c r="AZ43" s="272"/>
      <c r="BA43" s="278"/>
      <c r="BB43" s="274"/>
      <c r="BC43" s="279"/>
    </row>
    <row r="44" spans="1:55" ht="15" thickBot="1" x14ac:dyDescent="0.35">
      <c r="A44" s="268"/>
      <c r="B44" s="269">
        <v>56</v>
      </c>
      <c r="C44" s="270">
        <f t="shared" si="12"/>
        <v>3.2</v>
      </c>
      <c r="D44" s="270" t="str">
        <f t="shared" si="13"/>
        <v xml:space="preserve">1500m </v>
      </c>
      <c r="E44" s="271"/>
      <c r="F44" s="118"/>
      <c r="G44" s="272" t="s">
        <v>100</v>
      </c>
      <c r="H44" s="278" t="s">
        <v>678</v>
      </c>
      <c r="I44" s="274" t="s">
        <v>818</v>
      </c>
      <c r="J44" s="279" t="s">
        <v>679</v>
      </c>
      <c r="K44" s="276"/>
      <c r="L44" s="272" t="s">
        <v>130</v>
      </c>
      <c r="M44" s="278" t="s">
        <v>734</v>
      </c>
      <c r="N44" s="274"/>
      <c r="O44" s="279"/>
      <c r="P44" s="276"/>
      <c r="Q44" s="272" t="s">
        <v>110</v>
      </c>
      <c r="R44" s="1389" t="s">
        <v>919</v>
      </c>
      <c r="S44" s="274" t="s">
        <v>820</v>
      </c>
      <c r="T44" s="279"/>
      <c r="U44" s="277"/>
      <c r="V44" s="272" t="s">
        <v>118</v>
      </c>
      <c r="W44" s="1375" t="s">
        <v>841</v>
      </c>
      <c r="X44" s="274" t="s">
        <v>819</v>
      </c>
      <c r="Y44" s="1375" t="s">
        <v>847</v>
      </c>
      <c r="Z44" s="276"/>
      <c r="AA44" s="272"/>
      <c r="AB44" s="278"/>
      <c r="AC44" s="274"/>
      <c r="AD44" s="279"/>
      <c r="AE44" s="276"/>
      <c r="AF44" s="272" t="s">
        <v>136</v>
      </c>
      <c r="AG44" s="278" t="s">
        <v>534</v>
      </c>
      <c r="AH44" s="274"/>
      <c r="AI44" s="279"/>
      <c r="AJ44" s="276"/>
      <c r="AK44" s="272" t="s">
        <v>142</v>
      </c>
      <c r="AL44" s="278"/>
      <c r="AM44" s="274" t="s">
        <v>576</v>
      </c>
      <c r="AN44" s="279"/>
      <c r="AO44" s="276"/>
      <c r="AP44" s="272" t="s">
        <v>151</v>
      </c>
      <c r="AQ44" s="278" t="s">
        <v>627</v>
      </c>
      <c r="AR44" s="274" t="s">
        <v>822</v>
      </c>
      <c r="AS44" s="279" t="s">
        <v>628</v>
      </c>
      <c r="AT44" s="276"/>
      <c r="AU44" s="272"/>
      <c r="AV44" s="278"/>
      <c r="AW44" s="274"/>
      <c r="AX44" s="279"/>
      <c r="AZ44" s="272"/>
      <c r="BA44" s="278"/>
      <c r="BB44" s="274"/>
      <c r="BC44" s="279"/>
    </row>
    <row r="45" spans="1:55" ht="15" thickBot="1" x14ac:dyDescent="0.35">
      <c r="A45" s="268"/>
      <c r="B45" s="269">
        <v>60</v>
      </c>
      <c r="C45" s="270">
        <f t="shared" si="12"/>
        <v>3.3</v>
      </c>
      <c r="D45" s="270" t="str">
        <f t="shared" si="13"/>
        <v>Discus Match 2</v>
      </c>
      <c r="E45" s="271"/>
      <c r="F45" s="118"/>
      <c r="G45" s="272"/>
      <c r="H45" s="278"/>
      <c r="I45" s="274"/>
      <c r="J45" s="279"/>
      <c r="K45" s="276"/>
      <c r="L45" s="272"/>
      <c r="M45" s="278"/>
      <c r="N45" s="274"/>
      <c r="O45" s="279"/>
      <c r="P45" s="276"/>
      <c r="Q45" s="272" t="s">
        <v>110</v>
      </c>
      <c r="R45" s="278"/>
      <c r="S45" s="274" t="s">
        <v>820</v>
      </c>
      <c r="T45" s="279"/>
      <c r="U45" s="277"/>
      <c r="V45" s="272"/>
      <c r="W45" s="1375"/>
      <c r="X45" s="274"/>
      <c r="Y45" s="1375"/>
      <c r="Z45" s="276"/>
      <c r="AA45" s="272"/>
      <c r="AB45" s="278"/>
      <c r="AC45" s="274"/>
      <c r="AD45" s="279"/>
      <c r="AE45" s="276"/>
      <c r="AF45" s="272"/>
      <c r="AG45" s="278"/>
      <c r="AH45" s="274"/>
      <c r="AI45" s="279"/>
      <c r="AJ45" s="276"/>
      <c r="AK45" s="272"/>
      <c r="AL45" s="278"/>
      <c r="AM45" s="274"/>
      <c r="AN45" s="279"/>
      <c r="AO45" s="276"/>
      <c r="AP45" s="272"/>
      <c r="AQ45" s="278"/>
      <c r="AR45" s="274"/>
      <c r="AS45" s="279"/>
      <c r="AT45" s="276"/>
      <c r="AU45" s="272"/>
      <c r="AV45" s="278"/>
      <c r="AW45" s="274"/>
      <c r="AX45" s="279"/>
      <c r="AZ45" s="272"/>
      <c r="BA45" s="278"/>
      <c r="BB45" s="274"/>
      <c r="BC45" s="279"/>
    </row>
    <row r="46" spans="1:55" ht="15" thickBot="1" x14ac:dyDescent="0.35">
      <c r="A46" s="268"/>
      <c r="B46" s="269">
        <v>72</v>
      </c>
      <c r="C46" s="270">
        <f t="shared" si="12"/>
        <v>4.25</v>
      </c>
      <c r="D46" s="270" t="str">
        <f t="shared" si="13"/>
        <v xml:space="preserve">200m </v>
      </c>
      <c r="E46" s="303"/>
      <c r="F46" s="118"/>
      <c r="G46" s="272" t="s">
        <v>100</v>
      </c>
      <c r="H46" s="278" t="s">
        <v>677</v>
      </c>
      <c r="I46" s="274" t="s">
        <v>818</v>
      </c>
      <c r="J46" s="279" t="s">
        <v>680</v>
      </c>
      <c r="K46" s="276"/>
      <c r="L46" s="272"/>
      <c r="M46" s="278"/>
      <c r="N46" s="274"/>
      <c r="O46" s="279"/>
      <c r="P46" s="276"/>
      <c r="Q46" s="272" t="s">
        <v>110</v>
      </c>
      <c r="R46" s="1389" t="s">
        <v>920</v>
      </c>
      <c r="S46" s="274" t="s">
        <v>820</v>
      </c>
      <c r="T46" s="1390" t="s">
        <v>922</v>
      </c>
      <c r="U46" s="277"/>
      <c r="V46" s="272" t="s">
        <v>118</v>
      </c>
      <c r="W46" s="1375" t="s">
        <v>835</v>
      </c>
      <c r="X46" s="274" t="s">
        <v>819</v>
      </c>
      <c r="Y46" s="1375" t="s">
        <v>848</v>
      </c>
      <c r="Z46" s="276"/>
      <c r="AA46" s="272" t="s">
        <v>127</v>
      </c>
      <c r="AB46" s="278" t="s">
        <v>796</v>
      </c>
      <c r="AC46" s="274" t="s">
        <v>821</v>
      </c>
      <c r="AD46" s="279" t="s">
        <v>797</v>
      </c>
      <c r="AE46" s="276"/>
      <c r="AF46" s="272" t="s">
        <v>136</v>
      </c>
      <c r="AG46" s="278" t="s">
        <v>533</v>
      </c>
      <c r="AH46" s="274" t="s">
        <v>513</v>
      </c>
      <c r="AI46" s="279" t="s">
        <v>536</v>
      </c>
      <c r="AJ46" s="276"/>
      <c r="AK46" s="272" t="s">
        <v>142</v>
      </c>
      <c r="AL46" s="278" t="s">
        <v>587</v>
      </c>
      <c r="AM46" s="274" t="s">
        <v>576</v>
      </c>
      <c r="AN46" s="279" t="s">
        <v>588</v>
      </c>
      <c r="AO46" s="276"/>
      <c r="AP46" s="272" t="s">
        <v>151</v>
      </c>
      <c r="AQ46" s="278" t="s">
        <v>626</v>
      </c>
      <c r="AR46" s="274" t="s">
        <v>822</v>
      </c>
      <c r="AS46" s="279" t="s">
        <v>628</v>
      </c>
      <c r="AT46" s="276"/>
      <c r="AU46" s="272"/>
      <c r="AV46" s="278"/>
      <c r="AW46" s="274"/>
      <c r="AX46" s="279"/>
      <c r="AZ46" s="272"/>
      <c r="BA46" s="278"/>
      <c r="BB46" s="274"/>
      <c r="BC46" s="279"/>
    </row>
    <row r="47" spans="1:55" ht="15" thickBot="1" x14ac:dyDescent="0.35">
      <c r="A47" s="268"/>
      <c r="B47" s="269">
        <v>86</v>
      </c>
      <c r="C47" s="270">
        <f t="shared" si="12"/>
        <v>5.0999999999999996</v>
      </c>
      <c r="D47" s="270" t="str">
        <f t="shared" si="13"/>
        <v xml:space="preserve">4 x 100m </v>
      </c>
      <c r="E47" s="303"/>
      <c r="F47" s="118"/>
      <c r="G47" s="272"/>
      <c r="H47" s="278" t="str">
        <f>H$3</f>
        <v>BRAT</v>
      </c>
      <c r="I47" s="274"/>
      <c r="J47" s="279"/>
      <c r="K47" s="276"/>
      <c r="L47" s="272"/>
      <c r="M47" s="278" t="str">
        <f>M$3</f>
        <v>Kidder &amp; Stourport</v>
      </c>
      <c r="N47" s="274"/>
      <c r="O47" s="279"/>
      <c r="P47" s="276"/>
      <c r="Q47" s="272"/>
      <c r="R47" s="278" t="str">
        <f>R$3</f>
        <v>Royal Sutton</v>
      </c>
      <c r="S47" s="274"/>
      <c r="T47" s="279"/>
      <c r="U47" s="277"/>
      <c r="V47" s="272"/>
      <c r="W47" s="278" t="str">
        <f>W$3</f>
        <v>Rugby &amp; N'hampton</v>
      </c>
      <c r="X47" s="274"/>
      <c r="Y47" s="279"/>
      <c r="Z47" s="276"/>
      <c r="AA47" s="272"/>
      <c r="AB47" s="278" t="str">
        <f>AB$3</f>
        <v>Solihull &amp; S.Heath</v>
      </c>
      <c r="AC47" s="274"/>
      <c r="AD47" s="279"/>
      <c r="AE47" s="276"/>
      <c r="AF47" s="272"/>
      <c r="AG47" s="278" t="str">
        <f>AG$3</f>
        <v>Stratford</v>
      </c>
      <c r="AH47" s="274"/>
      <c r="AI47" s="279"/>
      <c r="AJ47" s="276"/>
      <c r="AK47" s="272"/>
      <c r="AL47" s="278" t="str">
        <f>AL$3</f>
        <v>Tamworth</v>
      </c>
      <c r="AM47" s="274"/>
      <c r="AN47" s="279"/>
      <c r="AO47" s="276"/>
      <c r="AP47" s="272"/>
      <c r="AQ47" s="278" t="str">
        <f>AQ$3</f>
        <v>Worcester</v>
      </c>
      <c r="AR47" s="274"/>
      <c r="AS47" s="279"/>
      <c r="AT47" s="276"/>
      <c r="AU47" s="272"/>
      <c r="AV47" s="278">
        <f>AV$3</f>
        <v>0</v>
      </c>
      <c r="AW47" s="274"/>
      <c r="AX47" s="279"/>
      <c r="AZ47" s="272"/>
      <c r="BA47" s="278">
        <f>BA$3</f>
        <v>0</v>
      </c>
      <c r="BB47" s="274"/>
      <c r="BC47" s="279"/>
    </row>
    <row r="48" spans="1:55" ht="15" thickBot="1" x14ac:dyDescent="0.35">
      <c r="A48" s="268"/>
      <c r="B48" s="269" t="str">
        <f>B47&amp;"R"</f>
        <v>86R</v>
      </c>
      <c r="C48" s="270"/>
      <c r="D48" s="270"/>
      <c r="E48" s="271"/>
      <c r="F48" s="118"/>
      <c r="G48" s="304">
        <v>1</v>
      </c>
      <c r="H48" s="278" t="s">
        <v>677</v>
      </c>
      <c r="I48" s="305">
        <v>2</v>
      </c>
      <c r="J48" s="279" t="s">
        <v>675</v>
      </c>
      <c r="K48" s="276"/>
      <c r="L48" s="304">
        <v>1</v>
      </c>
      <c r="M48" s="278"/>
      <c r="N48" s="305">
        <v>2</v>
      </c>
      <c r="O48" s="279"/>
      <c r="P48" s="276"/>
      <c r="Q48" s="1395">
        <v>1</v>
      </c>
      <c r="R48" s="1389" t="s">
        <v>916</v>
      </c>
      <c r="S48" s="1396">
        <v>2</v>
      </c>
      <c r="T48" s="1390" t="s">
        <v>920</v>
      </c>
      <c r="U48" s="277"/>
      <c r="V48" s="304">
        <v>1</v>
      </c>
      <c r="W48" s="1372" t="s">
        <v>839</v>
      </c>
      <c r="X48" s="305">
        <v>2</v>
      </c>
      <c r="Y48" s="1372" t="s">
        <v>844</v>
      </c>
      <c r="Z48" s="276"/>
      <c r="AA48" s="304">
        <v>1</v>
      </c>
      <c r="AB48" s="278" t="s">
        <v>796</v>
      </c>
      <c r="AC48" s="305">
        <v>2</v>
      </c>
      <c r="AD48" s="279" t="s">
        <v>797</v>
      </c>
      <c r="AE48" s="276"/>
      <c r="AF48" s="304">
        <v>1</v>
      </c>
      <c r="AG48" s="278" t="s">
        <v>1099</v>
      </c>
      <c r="AH48" s="305">
        <v>2</v>
      </c>
      <c r="AI48" s="279" t="s">
        <v>533</v>
      </c>
      <c r="AJ48" s="276"/>
      <c r="AK48" s="304">
        <v>1</v>
      </c>
      <c r="AL48" s="278" t="s">
        <v>584</v>
      </c>
      <c r="AM48" s="305">
        <v>2</v>
      </c>
      <c r="AN48" s="279" t="s">
        <v>586</v>
      </c>
      <c r="AO48" s="276"/>
      <c r="AP48" s="304">
        <v>1</v>
      </c>
      <c r="AQ48" s="278" t="s">
        <v>625</v>
      </c>
      <c r="AR48" s="305">
        <v>2</v>
      </c>
      <c r="AS48" s="279" t="s">
        <v>626</v>
      </c>
      <c r="AT48" s="276"/>
      <c r="AU48" s="304">
        <v>1</v>
      </c>
      <c r="AV48" s="278"/>
      <c r="AW48" s="305">
        <v>2</v>
      </c>
      <c r="AX48" s="279"/>
      <c r="AZ48" s="304">
        <v>1</v>
      </c>
      <c r="BA48" s="278" t="str">
        <f t="shared" ref="BA48:BA49" si="14">CONCATENATE(LEFT(BA$3,3),$B48,LEFT(BA$6,1))</f>
        <v>86RA</v>
      </c>
      <c r="BB48" s="305">
        <v>2</v>
      </c>
      <c r="BC48" s="279" t="str">
        <f t="shared" ref="BC48:BC49" si="15">CONCATENATE(LEFT(BA$3,3),$B48,LEFT(BC$6,1))</f>
        <v>86RB</v>
      </c>
    </row>
    <row r="49" spans="1:55" ht="15" thickBot="1" x14ac:dyDescent="0.35">
      <c r="A49" s="268"/>
      <c r="B49" s="269" t="str">
        <f>B47&amp;"S"</f>
        <v>86S</v>
      </c>
      <c r="C49" s="270"/>
      <c r="D49" s="270"/>
      <c r="E49" s="271"/>
      <c r="F49" s="118"/>
      <c r="G49" s="304">
        <v>3</v>
      </c>
      <c r="H49" s="278" t="s">
        <v>680</v>
      </c>
      <c r="I49" s="305">
        <v>4</v>
      </c>
      <c r="J49" s="279" t="s">
        <v>676</v>
      </c>
      <c r="K49" s="276"/>
      <c r="L49" s="304">
        <v>3</v>
      </c>
      <c r="M49" s="278"/>
      <c r="N49" s="305">
        <v>4</v>
      </c>
      <c r="O49" s="279"/>
      <c r="P49" s="276"/>
      <c r="Q49" s="1395">
        <v>3</v>
      </c>
      <c r="R49" s="1389" t="s">
        <v>917</v>
      </c>
      <c r="S49" s="1396">
        <v>4</v>
      </c>
      <c r="T49" s="1390" t="s">
        <v>922</v>
      </c>
      <c r="U49" s="277"/>
      <c r="V49" s="304">
        <v>3</v>
      </c>
      <c r="W49" s="1375" t="s">
        <v>840</v>
      </c>
      <c r="X49" s="305">
        <v>4</v>
      </c>
      <c r="Y49" s="1375" t="s">
        <v>835</v>
      </c>
      <c r="Z49" s="276"/>
      <c r="AA49" s="304">
        <v>3</v>
      </c>
      <c r="AB49" s="278" t="s">
        <v>800</v>
      </c>
      <c r="AC49" s="305">
        <v>4</v>
      </c>
      <c r="AD49" s="279" t="s">
        <v>799</v>
      </c>
      <c r="AE49" s="276"/>
      <c r="AF49" s="304">
        <v>3</v>
      </c>
      <c r="AG49" s="278" t="s">
        <v>532</v>
      </c>
      <c r="AH49" s="305">
        <v>4</v>
      </c>
      <c r="AI49" s="279" t="s">
        <v>536</v>
      </c>
      <c r="AJ49" s="276"/>
      <c r="AK49" s="304">
        <v>3</v>
      </c>
      <c r="AL49" s="278" t="s">
        <v>588</v>
      </c>
      <c r="AM49" s="305">
        <v>4</v>
      </c>
      <c r="AN49" s="279" t="s">
        <v>587</v>
      </c>
      <c r="AO49" s="276"/>
      <c r="AP49" s="304">
        <v>3</v>
      </c>
      <c r="AQ49" s="278" t="s">
        <v>628</v>
      </c>
      <c r="AR49" s="305">
        <v>4</v>
      </c>
      <c r="AS49" s="279" t="s">
        <v>624</v>
      </c>
      <c r="AT49" s="276"/>
      <c r="AU49" s="304">
        <v>3</v>
      </c>
      <c r="AV49" s="278"/>
      <c r="AW49" s="305">
        <v>4</v>
      </c>
      <c r="AX49" s="279"/>
      <c r="AZ49" s="304">
        <v>3</v>
      </c>
      <c r="BA49" s="278" t="str">
        <f t="shared" si="14"/>
        <v>86SA</v>
      </c>
      <c r="BB49" s="305">
        <v>4</v>
      </c>
      <c r="BC49" s="279" t="str">
        <f t="shared" si="15"/>
        <v>86SB</v>
      </c>
    </row>
    <row r="50" spans="1:55" x14ac:dyDescent="0.3">
      <c r="A50" s="268"/>
      <c r="B50" s="269"/>
      <c r="C50" s="270" t="str">
        <f t="shared" si="12"/>
        <v xml:space="preserve"> </v>
      </c>
      <c r="D50" s="270" t="str">
        <f t="shared" si="13"/>
        <v xml:space="preserve"> </v>
      </c>
      <c r="E50" s="271"/>
      <c r="F50" s="118"/>
      <c r="G50" s="272"/>
      <c r="H50" s="278"/>
      <c r="I50" s="274"/>
      <c r="J50" s="279"/>
      <c r="K50" s="276"/>
      <c r="L50" s="272"/>
      <c r="M50" s="278"/>
      <c r="N50" s="274"/>
      <c r="O50" s="279"/>
      <c r="P50" s="276"/>
      <c r="Q50" s="272"/>
      <c r="R50" s="278"/>
      <c r="S50" s="274"/>
      <c r="T50" s="279"/>
      <c r="U50" s="277"/>
      <c r="V50" s="272"/>
      <c r="W50" s="278"/>
      <c r="X50" s="274"/>
      <c r="Y50" s="279"/>
      <c r="Z50" s="276"/>
      <c r="AA50" s="272"/>
      <c r="AB50" s="278"/>
      <c r="AC50" s="274"/>
      <c r="AD50" s="279"/>
      <c r="AE50" s="276"/>
      <c r="AF50" s="272"/>
      <c r="AG50" s="278"/>
      <c r="AH50" s="274"/>
      <c r="AI50" s="279"/>
      <c r="AJ50" s="276"/>
      <c r="AK50" s="272"/>
      <c r="AL50" s="278"/>
      <c r="AM50" s="274"/>
      <c r="AN50" s="279"/>
      <c r="AO50" s="276"/>
      <c r="AP50" s="272"/>
      <c r="AQ50" s="278"/>
      <c r="AR50" s="274"/>
      <c r="AS50" s="279"/>
      <c r="AT50" s="276"/>
      <c r="AU50" s="272"/>
      <c r="AV50" s="278"/>
      <c r="AW50" s="274"/>
      <c r="AX50" s="279"/>
      <c r="AZ50" s="272"/>
      <c r="BA50" s="278"/>
      <c r="BB50" s="274"/>
      <c r="BC50" s="279"/>
    </row>
    <row r="51" spans="1:55" ht="15" thickBot="1" x14ac:dyDescent="0.35">
      <c r="A51" s="268"/>
      <c r="B51" s="16"/>
      <c r="D51" s="118"/>
      <c r="E51" s="139"/>
      <c r="F51" s="118"/>
      <c r="G51" s="306"/>
      <c r="H51" s="276"/>
      <c r="I51" s="307"/>
      <c r="J51" s="280"/>
      <c r="K51" s="276"/>
      <c r="L51" s="306"/>
      <c r="M51" s="276"/>
      <c r="N51" s="307"/>
      <c r="O51" s="280"/>
      <c r="P51" s="276"/>
      <c r="Q51" s="306"/>
      <c r="R51" s="276"/>
      <c r="S51" s="307"/>
      <c r="T51" s="280"/>
      <c r="U51" s="277"/>
      <c r="V51" s="306"/>
      <c r="W51" s="276"/>
      <c r="X51" s="307"/>
      <c r="Y51" s="280"/>
      <c r="Z51" s="276"/>
      <c r="AA51" s="306"/>
      <c r="AB51" s="276"/>
      <c r="AC51" s="307"/>
      <c r="AD51" s="280"/>
      <c r="AE51" s="276"/>
      <c r="AF51" s="306"/>
      <c r="AG51" s="276"/>
      <c r="AH51" s="307"/>
      <c r="AI51" s="280"/>
      <c r="AJ51" s="276"/>
      <c r="AK51" s="306"/>
      <c r="AL51" s="276"/>
      <c r="AM51" s="307"/>
      <c r="AN51" s="280"/>
      <c r="AO51" s="276"/>
      <c r="AP51" s="306"/>
      <c r="AQ51" s="276"/>
      <c r="AR51" s="307"/>
      <c r="AS51" s="280"/>
      <c r="AT51" s="276"/>
      <c r="AU51" s="306"/>
      <c r="AV51" s="276"/>
      <c r="AW51" s="307"/>
      <c r="AX51" s="280"/>
      <c r="AZ51" s="306"/>
      <c r="BA51" s="276"/>
      <c r="BB51" s="307"/>
      <c r="BC51" s="280"/>
    </row>
    <row r="52" spans="1:55" ht="15" thickBot="1" x14ac:dyDescent="0.35">
      <c r="A52" s="268"/>
      <c r="B52" s="286" t="s">
        <v>165</v>
      </c>
      <c r="C52" s="287" t="s">
        <v>168</v>
      </c>
      <c r="D52" s="288" t="s">
        <v>241</v>
      </c>
      <c r="E52" s="289"/>
      <c r="F52" s="118"/>
      <c r="G52" s="290" t="s">
        <v>167</v>
      </c>
      <c r="H52" s="291" t="s">
        <v>242</v>
      </c>
      <c r="I52" s="291" t="s">
        <v>167</v>
      </c>
      <c r="J52" s="292" t="s">
        <v>243</v>
      </c>
      <c r="K52" s="276"/>
      <c r="L52" s="290" t="s">
        <v>167</v>
      </c>
      <c r="M52" s="291" t="s">
        <v>242</v>
      </c>
      <c r="N52" s="291" t="s">
        <v>167</v>
      </c>
      <c r="O52" s="292" t="s">
        <v>243</v>
      </c>
      <c r="P52" s="276"/>
      <c r="Q52" s="290" t="s">
        <v>167</v>
      </c>
      <c r="R52" s="291" t="s">
        <v>242</v>
      </c>
      <c r="S52" s="291" t="s">
        <v>167</v>
      </c>
      <c r="T52" s="292" t="s">
        <v>243</v>
      </c>
      <c r="U52" s="277"/>
      <c r="V52" s="290" t="s">
        <v>167</v>
      </c>
      <c r="W52" s="291" t="s">
        <v>242</v>
      </c>
      <c r="X52" s="291" t="s">
        <v>167</v>
      </c>
      <c r="Y52" s="292" t="s">
        <v>243</v>
      </c>
      <c r="Z52" s="276"/>
      <c r="AA52" s="290" t="s">
        <v>167</v>
      </c>
      <c r="AB52" s="291" t="s">
        <v>242</v>
      </c>
      <c r="AC52" s="291" t="s">
        <v>167</v>
      </c>
      <c r="AD52" s="292" t="s">
        <v>243</v>
      </c>
      <c r="AE52" s="276"/>
      <c r="AF52" s="290" t="s">
        <v>167</v>
      </c>
      <c r="AG52" s="291" t="s">
        <v>242</v>
      </c>
      <c r="AH52" s="291" t="s">
        <v>167</v>
      </c>
      <c r="AI52" s="292" t="s">
        <v>243</v>
      </c>
      <c r="AJ52" s="276"/>
      <c r="AK52" s="290" t="s">
        <v>167</v>
      </c>
      <c r="AL52" s="291" t="s">
        <v>242</v>
      </c>
      <c r="AM52" s="291" t="s">
        <v>167</v>
      </c>
      <c r="AN52" s="292" t="s">
        <v>243</v>
      </c>
      <c r="AO52" s="276"/>
      <c r="AP52" s="290" t="s">
        <v>167</v>
      </c>
      <c r="AQ52" s="291" t="s">
        <v>242</v>
      </c>
      <c r="AR52" s="291" t="s">
        <v>167</v>
      </c>
      <c r="AS52" s="292" t="s">
        <v>243</v>
      </c>
      <c r="AT52" s="276"/>
      <c r="AU52" s="290" t="s">
        <v>167</v>
      </c>
      <c r="AV52" s="291" t="s">
        <v>242</v>
      </c>
      <c r="AW52" s="291" t="s">
        <v>167</v>
      </c>
      <c r="AX52" s="292" t="s">
        <v>243</v>
      </c>
      <c r="AZ52" s="290" t="s">
        <v>167</v>
      </c>
      <c r="BA52" s="291" t="s">
        <v>242</v>
      </c>
      <c r="BB52" s="291" t="s">
        <v>167</v>
      </c>
      <c r="BC52" s="292" t="s">
        <v>243</v>
      </c>
    </row>
    <row r="53" spans="1:55" ht="15.6" x14ac:dyDescent="0.3">
      <c r="A53" s="293"/>
      <c r="B53" s="264"/>
      <c r="C53" s="266"/>
      <c r="D53" s="309" t="s">
        <v>482</v>
      </c>
      <c r="E53" s="310"/>
      <c r="F53" s="143"/>
      <c r="G53" s="298"/>
      <c r="H53" s="299"/>
      <c r="I53" s="300"/>
      <c r="J53" s="301"/>
      <c r="K53" s="302"/>
      <c r="L53" s="298"/>
      <c r="M53" s="299"/>
      <c r="N53" s="300"/>
      <c r="O53" s="301"/>
      <c r="P53" s="302"/>
      <c r="Q53" s="298"/>
      <c r="R53" s="299"/>
      <c r="S53" s="300"/>
      <c r="T53" s="301"/>
      <c r="U53" s="308"/>
      <c r="V53" s="298"/>
      <c r="W53" s="299"/>
      <c r="X53" s="300"/>
      <c r="Y53" s="301"/>
      <c r="Z53" s="302"/>
      <c r="AA53" s="298"/>
      <c r="AB53" s="299"/>
      <c r="AC53" s="300"/>
      <c r="AD53" s="301"/>
      <c r="AE53" s="302"/>
      <c r="AF53" s="298"/>
      <c r="AG53" s="299"/>
      <c r="AH53" s="300"/>
      <c r="AI53" s="301"/>
      <c r="AJ53" s="302"/>
      <c r="AK53" s="298"/>
      <c r="AL53" s="299"/>
      <c r="AM53" s="300"/>
      <c r="AN53" s="301"/>
      <c r="AO53" s="302"/>
      <c r="AP53" s="298"/>
      <c r="AQ53" s="299"/>
      <c r="AR53" s="300"/>
      <c r="AS53" s="301"/>
      <c r="AT53" s="302"/>
      <c r="AU53" s="298"/>
      <c r="AV53" s="299"/>
      <c r="AW53" s="300"/>
      <c r="AX53" s="301"/>
      <c r="AY53" s="140"/>
      <c r="AZ53" s="298"/>
      <c r="BA53" s="299"/>
      <c r="BB53" s="300"/>
      <c r="BC53" s="301"/>
    </row>
    <row r="54" spans="1:55" ht="15" thickBot="1" x14ac:dyDescent="0.35">
      <c r="A54" s="268"/>
      <c r="B54" s="269">
        <v>11</v>
      </c>
      <c r="C54" s="270">
        <f t="shared" ref="C54:C60" si="16">IF($B54&gt;0,VLOOKUP($B54,EventsOrder,2,FALSE)," ")</f>
        <v>12.15</v>
      </c>
      <c r="D54" s="270" t="str">
        <f t="shared" ref="D54:D60" si="17">IF($B54&gt;0,VLOOKUP($B54,EventsOrder,6,FALSE)," ")</f>
        <v xml:space="preserve">Shot (U18) </v>
      </c>
      <c r="E54" s="271"/>
      <c r="F54" s="118"/>
      <c r="G54" s="272"/>
      <c r="H54" s="273"/>
      <c r="I54" s="274"/>
      <c r="J54" s="279"/>
      <c r="K54" s="276"/>
      <c r="L54" s="272" t="s">
        <v>130</v>
      </c>
      <c r="M54" s="273" t="s">
        <v>735</v>
      </c>
      <c r="N54" s="274" t="s">
        <v>726</v>
      </c>
      <c r="O54" s="279" t="s">
        <v>736</v>
      </c>
      <c r="P54" s="276"/>
      <c r="Q54" s="272" t="s">
        <v>110</v>
      </c>
      <c r="R54" s="273"/>
      <c r="S54" s="274" t="s">
        <v>820</v>
      </c>
      <c r="T54" s="279"/>
      <c r="U54" s="277"/>
      <c r="V54" s="272" t="s">
        <v>118</v>
      </c>
      <c r="W54" s="273"/>
      <c r="X54" s="274" t="s">
        <v>819</v>
      </c>
      <c r="Y54" s="279"/>
      <c r="Z54" s="276"/>
      <c r="AA54" s="272"/>
      <c r="AB54" s="273"/>
      <c r="AC54" s="274"/>
      <c r="AD54" s="279"/>
      <c r="AE54" s="276"/>
      <c r="AF54" s="272" t="s">
        <v>136</v>
      </c>
      <c r="AG54" s="273" t="s">
        <v>538</v>
      </c>
      <c r="AH54" s="274"/>
      <c r="AI54" s="279"/>
      <c r="AJ54" s="276"/>
      <c r="AK54" s="272" t="s">
        <v>142</v>
      </c>
      <c r="AL54" s="273" t="s">
        <v>589</v>
      </c>
      <c r="AM54" s="274"/>
      <c r="AN54" s="279"/>
      <c r="AO54" s="276"/>
      <c r="AP54" s="272"/>
      <c r="AQ54" s="273"/>
      <c r="AR54" s="274"/>
      <c r="AS54" s="279"/>
      <c r="AT54" s="276"/>
      <c r="AU54" s="272"/>
      <c r="AV54" s="273"/>
      <c r="AW54" s="274"/>
      <c r="AX54" s="279"/>
      <c r="AZ54" s="272"/>
      <c r="BA54" s="273"/>
      <c r="BB54" s="274"/>
      <c r="BC54" s="279"/>
    </row>
    <row r="55" spans="1:55" ht="15" thickBot="1" x14ac:dyDescent="0.35">
      <c r="A55" s="268"/>
      <c r="B55" s="269">
        <v>18</v>
      </c>
      <c r="C55" s="270">
        <f t="shared" si="16"/>
        <v>12.2</v>
      </c>
      <c r="D55" s="270" t="str">
        <f t="shared" si="17"/>
        <v xml:space="preserve">800m (U18/U20) </v>
      </c>
      <c r="E55" s="271"/>
      <c r="F55" s="118"/>
      <c r="G55" s="272" t="s">
        <v>100</v>
      </c>
      <c r="H55" s="278" t="s">
        <v>681</v>
      </c>
      <c r="I55" s="274"/>
      <c r="J55" s="279"/>
      <c r="K55" s="276"/>
      <c r="L55" s="272"/>
      <c r="M55" s="278"/>
      <c r="N55" s="274"/>
      <c r="O55" s="279"/>
      <c r="P55" s="276"/>
      <c r="Q55" s="272" t="s">
        <v>110</v>
      </c>
      <c r="R55" s="278"/>
      <c r="S55" s="274" t="s">
        <v>820</v>
      </c>
      <c r="T55" s="279"/>
      <c r="U55" s="277"/>
      <c r="V55" s="272" t="s">
        <v>118</v>
      </c>
      <c r="W55" s="1372" t="s">
        <v>849</v>
      </c>
      <c r="X55" s="274" t="s">
        <v>819</v>
      </c>
      <c r="Y55" s="279"/>
      <c r="Z55" s="276"/>
      <c r="AA55" s="272"/>
      <c r="AB55" s="278"/>
      <c r="AC55" s="274"/>
      <c r="AD55" s="279"/>
      <c r="AE55" s="276"/>
      <c r="AF55" s="272" t="s">
        <v>136</v>
      </c>
      <c r="AG55" s="278" t="s">
        <v>539</v>
      </c>
      <c r="AH55" s="274" t="s">
        <v>513</v>
      </c>
      <c r="AI55" s="279" t="s">
        <v>540</v>
      </c>
      <c r="AJ55" s="276"/>
      <c r="AK55" s="272" t="s">
        <v>142</v>
      </c>
      <c r="AL55" s="278" t="s">
        <v>590</v>
      </c>
      <c r="AM55" s="274"/>
      <c r="AN55" s="279"/>
      <c r="AO55" s="276"/>
      <c r="AP55" s="272"/>
      <c r="AQ55" s="278"/>
      <c r="AR55" s="274"/>
      <c r="AS55" s="279"/>
      <c r="AT55" s="276"/>
      <c r="AU55" s="272"/>
      <c r="AV55" s="278"/>
      <c r="AW55" s="274"/>
      <c r="AX55" s="279"/>
      <c r="AZ55" s="272"/>
      <c r="BA55" s="278"/>
      <c r="BB55" s="274"/>
      <c r="BC55" s="279"/>
    </row>
    <row r="56" spans="1:55" ht="15" thickBot="1" x14ac:dyDescent="0.35">
      <c r="A56" s="268"/>
      <c r="B56" s="269">
        <v>23</v>
      </c>
      <c r="C56" s="270">
        <f t="shared" si="16"/>
        <v>1</v>
      </c>
      <c r="D56" s="270" t="str">
        <f t="shared" si="17"/>
        <v>Discus (U18) Match 2</v>
      </c>
      <c r="E56" s="271"/>
      <c r="F56" s="118"/>
      <c r="G56" s="272"/>
      <c r="H56" s="278"/>
      <c r="I56" s="274"/>
      <c r="J56" s="279"/>
      <c r="K56" s="276"/>
      <c r="L56" s="272"/>
      <c r="M56" s="278"/>
      <c r="N56" s="274"/>
      <c r="O56" s="279"/>
      <c r="P56" s="276"/>
      <c r="Q56" s="272" t="s">
        <v>110</v>
      </c>
      <c r="R56" s="278"/>
      <c r="S56" s="274" t="s">
        <v>820</v>
      </c>
      <c r="T56" s="279"/>
      <c r="U56" s="277"/>
      <c r="V56" s="272" t="s">
        <v>118</v>
      </c>
      <c r="W56" s="1375"/>
      <c r="X56" s="274" t="s">
        <v>819</v>
      </c>
      <c r="Y56" s="279"/>
      <c r="Z56" s="276"/>
      <c r="AA56" s="272"/>
      <c r="AB56" s="278"/>
      <c r="AC56" s="274"/>
      <c r="AD56" s="279"/>
      <c r="AE56" s="276"/>
      <c r="AF56" s="272"/>
      <c r="AG56" s="278"/>
      <c r="AH56" s="274"/>
      <c r="AI56" s="279"/>
      <c r="AJ56" s="276"/>
      <c r="AK56" s="272"/>
      <c r="AL56" s="278"/>
      <c r="AM56" s="274"/>
      <c r="AN56" s="279"/>
      <c r="AO56" s="276"/>
      <c r="AP56" s="272"/>
      <c r="AQ56" s="278"/>
      <c r="AR56" s="274"/>
      <c r="AS56" s="279"/>
      <c r="AT56" s="276"/>
      <c r="AU56" s="272"/>
      <c r="AV56" s="278"/>
      <c r="AW56" s="274"/>
      <c r="AX56" s="279"/>
      <c r="AZ56" s="272"/>
      <c r="BA56" s="278"/>
      <c r="BB56" s="274"/>
      <c r="BC56" s="279"/>
    </row>
    <row r="57" spans="1:55" ht="15" thickBot="1" x14ac:dyDescent="0.35">
      <c r="A57" s="268"/>
      <c r="B57" s="269">
        <v>27</v>
      </c>
      <c r="C57" s="270">
        <f t="shared" si="16"/>
        <v>1.1000000000000001</v>
      </c>
      <c r="D57" s="270" t="str">
        <f t="shared" si="17"/>
        <v xml:space="preserve">110m hurdles (U18) </v>
      </c>
      <c r="E57" s="271"/>
      <c r="F57" s="118"/>
      <c r="G57" s="272"/>
      <c r="H57" s="278"/>
      <c r="I57" s="274"/>
      <c r="J57" s="279"/>
      <c r="K57" s="276"/>
      <c r="L57" s="272"/>
      <c r="M57" s="278"/>
      <c r="N57" s="274"/>
      <c r="O57" s="279"/>
      <c r="P57" s="276"/>
      <c r="Q57" s="272" t="s">
        <v>110</v>
      </c>
      <c r="R57" s="278"/>
      <c r="S57" s="274" t="s">
        <v>820</v>
      </c>
      <c r="T57" s="279"/>
      <c r="U57" s="277"/>
      <c r="V57" s="272" t="s">
        <v>118</v>
      </c>
      <c r="W57" s="1375"/>
      <c r="X57" s="274" t="s">
        <v>819</v>
      </c>
      <c r="Y57" s="279"/>
      <c r="Z57" s="276"/>
      <c r="AA57" s="272" t="s">
        <v>127</v>
      </c>
      <c r="AB57" s="278" t="s">
        <v>802</v>
      </c>
      <c r="AC57" s="274"/>
      <c r="AD57" s="279"/>
      <c r="AE57" s="276"/>
      <c r="AF57" s="272" t="s">
        <v>136</v>
      </c>
      <c r="AG57" s="278" t="s">
        <v>541</v>
      </c>
      <c r="AH57" s="274" t="s">
        <v>513</v>
      </c>
      <c r="AI57" s="279" t="s">
        <v>539</v>
      </c>
      <c r="AJ57" s="276"/>
      <c r="AK57" s="272"/>
      <c r="AL57" s="278"/>
      <c r="AM57" s="274"/>
      <c r="AN57" s="279"/>
      <c r="AO57" s="276"/>
      <c r="AP57" s="272"/>
      <c r="AQ57" s="278"/>
      <c r="AR57" s="274"/>
      <c r="AS57" s="279"/>
      <c r="AT57" s="276"/>
      <c r="AU57" s="272"/>
      <c r="AV57" s="278"/>
      <c r="AW57" s="274"/>
      <c r="AX57" s="279"/>
      <c r="AZ57" s="272"/>
      <c r="BA57" s="278"/>
      <c r="BB57" s="274"/>
      <c r="BC57" s="279"/>
    </row>
    <row r="58" spans="1:55" ht="15" thickBot="1" x14ac:dyDescent="0.35">
      <c r="A58" s="268"/>
      <c r="B58" s="269">
        <v>30</v>
      </c>
      <c r="C58" s="270">
        <f t="shared" si="16"/>
        <v>1.3</v>
      </c>
      <c r="D58" s="270" t="str">
        <f t="shared" si="17"/>
        <v>Long Jump (U18/20) Pit1</v>
      </c>
      <c r="E58" s="271"/>
      <c r="F58" s="118"/>
      <c r="G58" s="272" t="s">
        <v>100</v>
      </c>
      <c r="H58" s="278" t="s">
        <v>682</v>
      </c>
      <c r="I58" s="274"/>
      <c r="J58" s="279"/>
      <c r="K58" s="276"/>
      <c r="L58" s="272"/>
      <c r="M58" s="278"/>
      <c r="N58" s="274"/>
      <c r="O58" s="279"/>
      <c r="P58" s="276"/>
      <c r="Q58" s="272" t="s">
        <v>110</v>
      </c>
      <c r="R58" s="278"/>
      <c r="S58" s="274" t="s">
        <v>820</v>
      </c>
      <c r="T58" s="279"/>
      <c r="U58" s="277"/>
      <c r="V58" s="272" t="s">
        <v>118</v>
      </c>
      <c r="W58" s="1375" t="s">
        <v>850</v>
      </c>
      <c r="X58" s="274" t="s">
        <v>819</v>
      </c>
      <c r="Y58" s="279"/>
      <c r="Z58" s="276"/>
      <c r="AA58" s="272"/>
      <c r="AB58" s="278"/>
      <c r="AC58" s="274"/>
      <c r="AD58" s="279"/>
      <c r="AE58" s="276"/>
      <c r="AF58" s="272" t="s">
        <v>136</v>
      </c>
      <c r="AG58" s="278" t="s">
        <v>539</v>
      </c>
      <c r="AH58" s="274" t="s">
        <v>513</v>
      </c>
      <c r="AI58" s="279" t="s">
        <v>542</v>
      </c>
      <c r="AJ58" s="276"/>
      <c r="AK58" s="272" t="s">
        <v>142</v>
      </c>
      <c r="AL58" s="278" t="s">
        <v>589</v>
      </c>
      <c r="AM58" s="274" t="s">
        <v>576</v>
      </c>
      <c r="AN58" s="279" t="s">
        <v>590</v>
      </c>
      <c r="AO58" s="276"/>
      <c r="AP58" s="272"/>
      <c r="AQ58" s="278"/>
      <c r="AR58" s="274"/>
      <c r="AS58" s="279"/>
      <c r="AT58" s="276"/>
      <c r="AU58" s="272"/>
      <c r="AV58" s="278"/>
      <c r="AW58" s="274"/>
      <c r="AX58" s="279"/>
      <c r="AZ58" s="272"/>
      <c r="BA58" s="278"/>
      <c r="BB58" s="274"/>
      <c r="BC58" s="279"/>
    </row>
    <row r="59" spans="1:55" ht="15" thickBot="1" x14ac:dyDescent="0.35">
      <c r="A59" s="268"/>
      <c r="B59" s="269">
        <v>31</v>
      </c>
      <c r="C59" s="270">
        <f t="shared" si="16"/>
        <v>1.35</v>
      </c>
      <c r="D59" s="270" t="str">
        <f t="shared" si="17"/>
        <v xml:space="preserve">400m (U18/U20) </v>
      </c>
      <c r="E59" s="271"/>
      <c r="F59" s="118"/>
      <c r="G59" s="272"/>
      <c r="H59" s="278"/>
      <c r="I59" s="274"/>
      <c r="J59" s="279"/>
      <c r="K59" s="276"/>
      <c r="L59" s="272" t="s">
        <v>130</v>
      </c>
      <c r="M59" s="278" t="s">
        <v>736</v>
      </c>
      <c r="N59" s="274"/>
      <c r="O59" s="279"/>
      <c r="P59" s="276"/>
      <c r="Q59" s="272" t="s">
        <v>110</v>
      </c>
      <c r="R59" s="278"/>
      <c r="S59" s="274" t="s">
        <v>820</v>
      </c>
      <c r="T59" s="279"/>
      <c r="U59" s="277"/>
      <c r="V59" s="272" t="s">
        <v>118</v>
      </c>
      <c r="W59" s="1375"/>
      <c r="X59" s="274" t="s">
        <v>819</v>
      </c>
      <c r="Y59" s="279"/>
      <c r="Z59" s="276"/>
      <c r="AA59" s="272"/>
      <c r="AB59" s="278"/>
      <c r="AC59" s="274"/>
      <c r="AD59" s="279"/>
      <c r="AE59" s="276"/>
      <c r="AF59" s="272" t="s">
        <v>136</v>
      </c>
      <c r="AG59" s="278" t="s">
        <v>538</v>
      </c>
      <c r="AH59" s="274" t="s">
        <v>513</v>
      </c>
      <c r="AI59" s="279" t="s">
        <v>541</v>
      </c>
      <c r="AJ59" s="276"/>
      <c r="AK59" s="272"/>
      <c r="AL59" s="278"/>
      <c r="AM59" s="274"/>
      <c r="AN59" s="279"/>
      <c r="AO59" s="276"/>
      <c r="AP59" s="272" t="s">
        <v>151</v>
      </c>
      <c r="AQ59" s="278" t="s">
        <v>629</v>
      </c>
      <c r="AR59" s="274"/>
      <c r="AS59" s="279"/>
      <c r="AT59" s="276"/>
      <c r="AU59" s="272"/>
      <c r="AV59" s="278"/>
      <c r="AW59" s="274"/>
      <c r="AX59" s="279"/>
      <c r="AZ59" s="272"/>
      <c r="BA59" s="278"/>
      <c r="BB59" s="274"/>
      <c r="BC59" s="279"/>
    </row>
    <row r="60" spans="1:55" ht="15" thickBot="1" x14ac:dyDescent="0.35">
      <c r="A60" s="268"/>
      <c r="B60" s="269">
        <v>46</v>
      </c>
      <c r="C60" s="270">
        <f t="shared" si="16"/>
        <v>2.4500000000000002</v>
      </c>
      <c r="D60" s="270" t="str">
        <f t="shared" si="17"/>
        <v xml:space="preserve">100m (U18/U20) </v>
      </c>
      <c r="E60" s="271"/>
      <c r="F60" s="118"/>
      <c r="G60" s="272" t="s">
        <v>100</v>
      </c>
      <c r="H60" s="276" t="s">
        <v>683</v>
      </c>
      <c r="I60" s="274" t="s">
        <v>818</v>
      </c>
      <c r="J60" s="279" t="s">
        <v>682</v>
      </c>
      <c r="K60" s="276"/>
      <c r="L60" s="272"/>
      <c r="M60" s="276"/>
      <c r="N60" s="274"/>
      <c r="O60" s="279"/>
      <c r="P60" s="276"/>
      <c r="Q60" s="272" t="s">
        <v>110</v>
      </c>
      <c r="R60" s="1389" t="s">
        <v>923</v>
      </c>
      <c r="S60" s="274" t="s">
        <v>820</v>
      </c>
      <c r="T60" s="1390" t="s">
        <v>925</v>
      </c>
      <c r="U60" s="277"/>
      <c r="V60" s="272" t="s">
        <v>118</v>
      </c>
      <c r="W60" s="1375" t="s">
        <v>851</v>
      </c>
      <c r="X60" s="274" t="s">
        <v>819</v>
      </c>
      <c r="Y60" s="1379" t="s">
        <v>854</v>
      </c>
      <c r="Z60" s="276"/>
      <c r="AA60" s="272" t="s">
        <v>127</v>
      </c>
      <c r="AB60" s="276" t="s">
        <v>803</v>
      </c>
      <c r="AC60" s="274" t="s">
        <v>821</v>
      </c>
      <c r="AD60" s="279" t="s">
        <v>802</v>
      </c>
      <c r="AE60" s="276"/>
      <c r="AF60" s="272" t="s">
        <v>136</v>
      </c>
      <c r="AG60" s="276" t="s">
        <v>542</v>
      </c>
      <c r="AH60" s="274"/>
      <c r="AI60" s="279"/>
      <c r="AJ60" s="276"/>
      <c r="AK60" s="272"/>
      <c r="AL60" s="276"/>
      <c r="AM60" s="274"/>
      <c r="AN60" s="279"/>
      <c r="AO60" s="276"/>
      <c r="AP60" s="272"/>
      <c r="AQ60" s="276"/>
      <c r="AR60" s="274"/>
      <c r="AS60" s="279"/>
      <c r="AT60" s="276"/>
      <c r="AU60" s="272"/>
      <c r="AV60" s="276"/>
      <c r="AW60" s="274"/>
      <c r="AX60" s="279"/>
      <c r="AZ60" s="272"/>
      <c r="BA60" s="276"/>
      <c r="BB60" s="274"/>
      <c r="BC60" s="279"/>
    </row>
    <row r="61" spans="1:55" ht="15" thickBot="1" x14ac:dyDescent="0.35">
      <c r="A61" s="268"/>
      <c r="B61" s="269">
        <v>61</v>
      </c>
      <c r="C61" s="270">
        <f t="shared" ref="C61:C68" si="18">IF($B61&gt;0,VLOOKUP($B61,EventsOrder,2,FALSE)," ")</f>
        <v>3.3</v>
      </c>
      <c r="D61" s="270" t="str">
        <f t="shared" ref="D61:D68" si="19">IF($B61&gt;0,VLOOKUP($B61,EventsOrder,6,FALSE)," ")</f>
        <v>Javelin (U18) Match 1 &amp; 3</v>
      </c>
      <c r="E61" s="271"/>
      <c r="F61" s="118"/>
      <c r="G61" s="272"/>
      <c r="H61" s="278"/>
      <c r="I61" s="274"/>
      <c r="J61" s="279"/>
      <c r="K61" s="276"/>
      <c r="L61" s="272" t="s">
        <v>130</v>
      </c>
      <c r="M61" s="278" t="s">
        <v>735</v>
      </c>
      <c r="N61" s="274" t="s">
        <v>726</v>
      </c>
      <c r="O61" s="279" t="s">
        <v>736</v>
      </c>
      <c r="P61" s="276"/>
      <c r="Q61" s="272" t="s">
        <v>110</v>
      </c>
      <c r="R61" s="1389"/>
      <c r="S61" s="274" t="s">
        <v>820</v>
      </c>
      <c r="T61" s="1390"/>
      <c r="U61" s="277"/>
      <c r="V61" s="272" t="s">
        <v>118</v>
      </c>
      <c r="W61" s="1375" t="s">
        <v>850</v>
      </c>
      <c r="X61" s="274" t="s">
        <v>819</v>
      </c>
      <c r="Y61" s="279"/>
      <c r="Z61" s="276"/>
      <c r="AA61" s="272"/>
      <c r="AB61" s="278"/>
      <c r="AC61" s="274"/>
      <c r="AD61" s="279"/>
      <c r="AE61" s="276"/>
      <c r="AF61" s="272" t="s">
        <v>136</v>
      </c>
      <c r="AG61" s="278" t="s">
        <v>541</v>
      </c>
      <c r="AH61" s="274" t="s">
        <v>513</v>
      </c>
      <c r="AI61" s="279" t="s">
        <v>542</v>
      </c>
      <c r="AJ61" s="276"/>
      <c r="AK61" s="272"/>
      <c r="AL61" s="278"/>
      <c r="AM61" s="274"/>
      <c r="AN61" s="279"/>
      <c r="AO61" s="276"/>
      <c r="AP61" s="272"/>
      <c r="AQ61" s="278"/>
      <c r="AR61" s="274"/>
      <c r="AS61" s="279"/>
      <c r="AT61" s="276"/>
      <c r="AU61" s="272"/>
      <c r="AV61" s="278"/>
      <c r="AW61" s="274"/>
      <c r="AX61" s="279"/>
      <c r="AZ61" s="272"/>
      <c r="BA61" s="278"/>
      <c r="BB61" s="274"/>
      <c r="BC61" s="279"/>
    </row>
    <row r="62" spans="1:55" ht="15" thickBot="1" x14ac:dyDescent="0.35">
      <c r="A62" s="268"/>
      <c r="B62" s="269">
        <v>62</v>
      </c>
      <c r="C62" s="270">
        <f t="shared" si="18"/>
        <v>3.3</v>
      </c>
      <c r="D62" s="270" t="str">
        <f t="shared" si="19"/>
        <v xml:space="preserve">1500m (U18/U20) </v>
      </c>
      <c r="E62" s="303"/>
      <c r="F62" s="118"/>
      <c r="G62" s="272" t="s">
        <v>100</v>
      </c>
      <c r="H62" s="278" t="s">
        <v>684</v>
      </c>
      <c r="I62" s="274" t="s">
        <v>818</v>
      </c>
      <c r="J62" s="279" t="s">
        <v>685</v>
      </c>
      <c r="K62" s="276"/>
      <c r="L62" s="272"/>
      <c r="M62" s="278"/>
      <c r="N62" s="274"/>
      <c r="O62" s="279"/>
      <c r="P62" s="276"/>
      <c r="Q62" s="272" t="s">
        <v>110</v>
      </c>
      <c r="R62" s="1389" t="s">
        <v>924</v>
      </c>
      <c r="S62" s="274" t="s">
        <v>820</v>
      </c>
      <c r="T62" s="1390" t="s">
        <v>926</v>
      </c>
      <c r="U62" s="277"/>
      <c r="V62" s="272" t="s">
        <v>118</v>
      </c>
      <c r="W62" s="1375" t="s">
        <v>852</v>
      </c>
      <c r="X62" s="274" t="s">
        <v>819</v>
      </c>
      <c r="Y62" s="279"/>
      <c r="Z62" s="276"/>
      <c r="AA62" s="272"/>
      <c r="AB62" s="278"/>
      <c r="AC62" s="274"/>
      <c r="AD62" s="279"/>
      <c r="AE62" s="276"/>
      <c r="AF62" s="272" t="s">
        <v>136</v>
      </c>
      <c r="AG62" s="278" t="s">
        <v>543</v>
      </c>
      <c r="AH62" s="274" t="s">
        <v>513</v>
      </c>
      <c r="AI62" s="276"/>
      <c r="AJ62" s="276"/>
      <c r="AK62" s="272" t="s">
        <v>142</v>
      </c>
      <c r="AL62" s="278" t="s">
        <v>589</v>
      </c>
      <c r="AM62" s="274"/>
      <c r="AN62" s="279"/>
      <c r="AO62" s="276"/>
      <c r="AP62" s="272"/>
      <c r="AQ62" s="278"/>
      <c r="AR62" s="274"/>
      <c r="AS62" s="279"/>
      <c r="AT62" s="276"/>
      <c r="AU62" s="272"/>
      <c r="AV62" s="278"/>
      <c r="AW62" s="274"/>
      <c r="AX62" s="279"/>
      <c r="AZ62" s="272"/>
      <c r="BA62" s="278"/>
      <c r="BB62" s="274"/>
      <c r="BC62" s="279"/>
    </row>
    <row r="63" spans="1:55" ht="15" thickBot="1" x14ac:dyDescent="0.35">
      <c r="A63" s="268"/>
      <c r="B63" s="269">
        <v>69</v>
      </c>
      <c r="C63" s="270">
        <f t="shared" si="18"/>
        <v>4.0999999999999996</v>
      </c>
      <c r="D63" s="270" t="str">
        <f t="shared" si="19"/>
        <v xml:space="preserve">High Jump (U18/U20) </v>
      </c>
      <c r="E63" s="271"/>
      <c r="F63" s="118"/>
      <c r="G63" s="272" t="s">
        <v>100</v>
      </c>
      <c r="H63" s="278" t="s">
        <v>683</v>
      </c>
      <c r="I63" s="274"/>
      <c r="J63" s="279"/>
      <c r="K63" s="276"/>
      <c r="L63" s="272"/>
      <c r="M63" s="278"/>
      <c r="N63" s="274"/>
      <c r="O63" s="279"/>
      <c r="P63" s="276"/>
      <c r="Q63" s="272" t="s">
        <v>110</v>
      </c>
      <c r="R63" s="1389"/>
      <c r="S63" s="274" t="s">
        <v>820</v>
      </c>
      <c r="T63" s="1390"/>
      <c r="U63" s="277"/>
      <c r="V63" s="272" t="s">
        <v>118</v>
      </c>
      <c r="W63" s="1375"/>
      <c r="X63" s="274" t="s">
        <v>819</v>
      </c>
      <c r="Y63" s="279"/>
      <c r="Z63" s="276"/>
      <c r="AA63" s="272"/>
      <c r="AB63" s="278"/>
      <c r="AC63" s="274"/>
      <c r="AD63" s="279"/>
      <c r="AE63" s="276"/>
      <c r="AF63" s="272" t="s">
        <v>136</v>
      </c>
      <c r="AG63" s="278" t="s">
        <v>539</v>
      </c>
      <c r="AH63" s="274" t="s">
        <v>513</v>
      </c>
      <c r="AI63" s="279"/>
      <c r="AJ63" s="276"/>
      <c r="AK63" s="272"/>
      <c r="AL63" s="278"/>
      <c r="AM63" s="274"/>
      <c r="AN63" s="279"/>
      <c r="AO63" s="276"/>
      <c r="AP63" s="272"/>
      <c r="AQ63" s="278"/>
      <c r="AR63" s="274"/>
      <c r="AS63" s="279"/>
      <c r="AT63" s="276"/>
      <c r="AU63" s="272"/>
      <c r="AV63" s="278"/>
      <c r="AW63" s="274"/>
      <c r="AX63" s="279"/>
      <c r="AZ63" s="272"/>
      <c r="BA63" s="278"/>
      <c r="BB63" s="274"/>
      <c r="BC63" s="279"/>
    </row>
    <row r="64" spans="1:55" ht="15" thickBot="1" x14ac:dyDescent="0.35">
      <c r="A64" s="268"/>
      <c r="B64" s="269">
        <v>76</v>
      </c>
      <c r="C64" s="270">
        <f t="shared" si="18"/>
        <v>4.3</v>
      </c>
      <c r="D64" s="270" t="str">
        <f t="shared" si="19"/>
        <v xml:space="preserve">200m (U18/U20) </v>
      </c>
      <c r="E64" s="303"/>
      <c r="F64" s="118"/>
      <c r="G64" s="272" t="s">
        <v>100</v>
      </c>
      <c r="H64" s="278" t="s">
        <v>683</v>
      </c>
      <c r="I64" s="274" t="s">
        <v>818</v>
      </c>
      <c r="J64" s="279" t="s">
        <v>682</v>
      </c>
      <c r="K64" s="276"/>
      <c r="L64" s="272"/>
      <c r="M64" s="278"/>
      <c r="N64" s="274" t="s">
        <v>726</v>
      </c>
      <c r="O64" s="279" t="s">
        <v>735</v>
      </c>
      <c r="P64" s="276"/>
      <c r="Q64" s="272" t="s">
        <v>110</v>
      </c>
      <c r="R64" s="1389" t="s">
        <v>923</v>
      </c>
      <c r="S64" s="274" t="s">
        <v>820</v>
      </c>
      <c r="T64" s="1390" t="s">
        <v>927</v>
      </c>
      <c r="U64" s="277"/>
      <c r="V64" s="272" t="s">
        <v>118</v>
      </c>
      <c r="W64" s="1375" t="s">
        <v>853</v>
      </c>
      <c r="X64" s="274" t="s">
        <v>819</v>
      </c>
      <c r="Y64" s="279"/>
      <c r="Z64" s="276"/>
      <c r="AA64" s="272" t="s">
        <v>127</v>
      </c>
      <c r="AB64" s="278" t="s">
        <v>803</v>
      </c>
      <c r="AC64" s="274" t="s">
        <v>821</v>
      </c>
      <c r="AD64" s="279" t="s">
        <v>802</v>
      </c>
      <c r="AE64" s="276"/>
      <c r="AF64" s="272" t="s">
        <v>136</v>
      </c>
      <c r="AG64" s="278" t="s">
        <v>538</v>
      </c>
      <c r="AH64" s="274" t="s">
        <v>513</v>
      </c>
      <c r="AI64" s="279" t="s">
        <v>537</v>
      </c>
      <c r="AJ64" s="276"/>
      <c r="AK64" s="272"/>
      <c r="AL64" s="278"/>
      <c r="AM64" s="274"/>
      <c r="AN64" s="279"/>
      <c r="AO64" s="276"/>
      <c r="AP64" s="272"/>
      <c r="AQ64" s="278"/>
      <c r="AR64" s="274"/>
      <c r="AS64" s="279"/>
      <c r="AT64" s="276"/>
      <c r="AU64" s="272"/>
      <c r="AV64" s="278"/>
      <c r="AW64" s="274"/>
      <c r="AX64" s="279"/>
      <c r="AZ64" s="272"/>
      <c r="BA64" s="278"/>
      <c r="BB64" s="274"/>
      <c r="BC64" s="279"/>
    </row>
    <row r="65" spans="1:55" x14ac:dyDescent="0.3">
      <c r="A65" s="268"/>
      <c r="B65" s="269">
        <v>87</v>
      </c>
      <c r="C65" s="270">
        <f t="shared" si="18"/>
        <v>5.15</v>
      </c>
      <c r="D65" s="270" t="str">
        <f t="shared" si="19"/>
        <v xml:space="preserve">4 x 100m (U18/U20) </v>
      </c>
      <c r="E65" s="271"/>
      <c r="F65" s="118"/>
      <c r="G65" s="272"/>
      <c r="H65" s="278" t="str">
        <f>H$3</f>
        <v>BRAT</v>
      </c>
      <c r="I65" s="274"/>
      <c r="J65" s="279"/>
      <c r="K65" s="276"/>
      <c r="L65" s="272"/>
      <c r="M65" s="278" t="str">
        <f>M$3</f>
        <v>Kidder &amp; Stourport</v>
      </c>
      <c r="N65" s="274"/>
      <c r="O65" s="279"/>
      <c r="P65" s="276"/>
      <c r="Q65" s="272"/>
      <c r="R65" s="278" t="str">
        <f>R$3</f>
        <v>Royal Sutton</v>
      </c>
      <c r="S65" s="274"/>
      <c r="T65" s="279"/>
      <c r="U65" s="277"/>
      <c r="V65" s="272"/>
      <c r="W65" s="278" t="str">
        <f>W$3</f>
        <v>Rugby &amp; N'hampton</v>
      </c>
      <c r="X65" s="274"/>
      <c r="Y65" s="279"/>
      <c r="Z65" s="276"/>
      <c r="AA65" s="272"/>
      <c r="AB65" s="278" t="str">
        <f>AB$3</f>
        <v>Solihull &amp; S.Heath</v>
      </c>
      <c r="AC65" s="274"/>
      <c r="AD65" s="279"/>
      <c r="AE65" s="276"/>
      <c r="AF65" s="272"/>
      <c r="AG65" s="278" t="str">
        <f>AG$3</f>
        <v>Stratford</v>
      </c>
      <c r="AH65" s="274"/>
      <c r="AI65" s="279"/>
      <c r="AJ65" s="276"/>
      <c r="AK65" s="272"/>
      <c r="AL65" s="278" t="str">
        <f>AL$3</f>
        <v>Tamworth</v>
      </c>
      <c r="AM65" s="274"/>
      <c r="AN65" s="279"/>
      <c r="AO65" s="276"/>
      <c r="AP65" s="272"/>
      <c r="AQ65" s="278" t="str">
        <f>AQ$3</f>
        <v>Worcester</v>
      </c>
      <c r="AR65" s="274"/>
      <c r="AS65" s="279"/>
      <c r="AT65" s="276"/>
      <c r="AU65" s="272"/>
      <c r="AV65" s="278">
        <f>AV$3</f>
        <v>0</v>
      </c>
      <c r="AW65" s="274"/>
      <c r="AX65" s="279"/>
      <c r="AZ65" s="272"/>
      <c r="BA65" s="278">
        <f>BA$3</f>
        <v>0</v>
      </c>
      <c r="BB65" s="274"/>
      <c r="BC65" s="279"/>
    </row>
    <row r="66" spans="1:55" x14ac:dyDescent="0.3">
      <c r="A66" s="268"/>
      <c r="B66" s="269" t="str">
        <f>B65&amp;"R"</f>
        <v>87R</v>
      </c>
      <c r="C66" s="270"/>
      <c r="D66" s="270"/>
      <c r="E66" s="271"/>
      <c r="F66" s="118"/>
      <c r="G66" s="304">
        <v>1</v>
      </c>
      <c r="H66" s="278"/>
      <c r="I66" s="305">
        <v>2</v>
      </c>
      <c r="J66" s="279"/>
      <c r="K66" s="276"/>
      <c r="L66" s="304">
        <v>1</v>
      </c>
      <c r="M66" s="278"/>
      <c r="N66" s="305">
        <v>2</v>
      </c>
      <c r="O66" s="279"/>
      <c r="P66" s="276"/>
      <c r="Q66" s="304">
        <v>1</v>
      </c>
      <c r="R66" s="1389" t="s">
        <v>923</v>
      </c>
      <c r="S66" s="305">
        <v>2</v>
      </c>
      <c r="T66" s="1390" t="s">
        <v>925</v>
      </c>
      <c r="U66" s="277"/>
      <c r="V66" s="304">
        <v>1</v>
      </c>
      <c r="W66" s="278"/>
      <c r="X66" s="305">
        <v>2</v>
      </c>
      <c r="Y66" s="279"/>
      <c r="Z66" s="276"/>
      <c r="AA66" s="304">
        <v>1</v>
      </c>
      <c r="AB66" s="278"/>
      <c r="AC66" s="305">
        <v>2</v>
      </c>
      <c r="AD66" s="279"/>
      <c r="AE66" s="276"/>
      <c r="AF66" s="304">
        <v>1</v>
      </c>
      <c r="AG66" s="278" t="s">
        <v>541</v>
      </c>
      <c r="AH66" s="305">
        <v>2</v>
      </c>
      <c r="AI66" s="279" t="s">
        <v>538</v>
      </c>
      <c r="AJ66" s="276"/>
      <c r="AK66" s="304">
        <v>1</v>
      </c>
      <c r="AL66" s="278"/>
      <c r="AM66" s="305">
        <v>2</v>
      </c>
      <c r="AN66" s="279"/>
      <c r="AO66" s="276"/>
      <c r="AP66" s="304">
        <v>1</v>
      </c>
      <c r="AQ66" s="278"/>
      <c r="AR66" s="305">
        <v>2</v>
      </c>
      <c r="AS66" s="279"/>
      <c r="AT66" s="276"/>
      <c r="AU66" s="304">
        <v>1</v>
      </c>
      <c r="AV66" s="278"/>
      <c r="AW66" s="305">
        <v>2</v>
      </c>
      <c r="AX66" s="279"/>
      <c r="AZ66" s="304">
        <v>1</v>
      </c>
      <c r="BA66" s="278" t="str">
        <f t="shared" ref="BA66:BA67" si="20">CONCATENATE(LEFT(BA$3,3),$B66,LEFT(BA$6,1))</f>
        <v>87RA</v>
      </c>
      <c r="BB66" s="305">
        <v>2</v>
      </c>
      <c r="BC66" s="279" t="str">
        <f t="shared" ref="BC66:BC67" si="21">CONCATENATE(LEFT(BA$3,3),$B66,LEFT(BC$6,1))</f>
        <v>87RB</v>
      </c>
    </row>
    <row r="67" spans="1:55" x14ac:dyDescent="0.3">
      <c r="A67" s="268"/>
      <c r="B67" s="269" t="str">
        <f>B65&amp;"S"</f>
        <v>87S</v>
      </c>
      <c r="C67" s="270"/>
      <c r="D67" s="270"/>
      <c r="E67" s="271"/>
      <c r="F67" s="118"/>
      <c r="G67" s="304">
        <v>3</v>
      </c>
      <c r="H67" s="278"/>
      <c r="I67" s="305">
        <v>4</v>
      </c>
      <c r="J67" s="279"/>
      <c r="K67" s="276"/>
      <c r="L67" s="304">
        <v>3</v>
      </c>
      <c r="M67" s="278"/>
      <c r="N67" s="305">
        <v>4</v>
      </c>
      <c r="O67" s="279"/>
      <c r="P67" s="276"/>
      <c r="Q67" s="304">
        <v>3</v>
      </c>
      <c r="R67" s="1389" t="s">
        <v>927</v>
      </c>
      <c r="S67" s="305">
        <v>4</v>
      </c>
      <c r="T67" s="279"/>
      <c r="U67" s="277"/>
      <c r="V67" s="304">
        <v>3</v>
      </c>
      <c r="W67" s="278"/>
      <c r="X67" s="305">
        <v>4</v>
      </c>
      <c r="Y67" s="279"/>
      <c r="Z67" s="276"/>
      <c r="AA67" s="304">
        <v>3</v>
      </c>
      <c r="AB67" s="278"/>
      <c r="AC67" s="305">
        <v>4</v>
      </c>
      <c r="AD67" s="279"/>
      <c r="AE67" s="276"/>
      <c r="AF67" s="304">
        <v>3</v>
      </c>
      <c r="AG67" s="278" t="s">
        <v>539</v>
      </c>
      <c r="AH67" s="305">
        <v>4</v>
      </c>
      <c r="AI67" s="279" t="s">
        <v>542</v>
      </c>
      <c r="AJ67" s="276"/>
      <c r="AK67" s="304">
        <v>3</v>
      </c>
      <c r="AL67" s="278"/>
      <c r="AM67" s="305">
        <v>4</v>
      </c>
      <c r="AN67" s="279"/>
      <c r="AO67" s="276"/>
      <c r="AP67" s="304">
        <v>3</v>
      </c>
      <c r="AQ67" s="278"/>
      <c r="AR67" s="305">
        <v>4</v>
      </c>
      <c r="AS67" s="279"/>
      <c r="AT67" s="276"/>
      <c r="AU67" s="304">
        <v>3</v>
      </c>
      <c r="AV67" s="278"/>
      <c r="AW67" s="305">
        <v>4</v>
      </c>
      <c r="AX67" s="279"/>
      <c r="AZ67" s="304">
        <v>3</v>
      </c>
      <c r="BA67" s="278" t="str">
        <f t="shared" si="20"/>
        <v>87SA</v>
      </c>
      <c r="BB67" s="305">
        <v>4</v>
      </c>
      <c r="BC67" s="279" t="str">
        <f t="shared" si="21"/>
        <v>87SB</v>
      </c>
    </row>
    <row r="68" spans="1:55" ht="15" thickBot="1" x14ac:dyDescent="0.35">
      <c r="A68" s="268"/>
      <c r="B68" s="311"/>
      <c r="C68" s="312" t="str">
        <f t="shared" si="18"/>
        <v xml:space="preserve"> </v>
      </c>
      <c r="D68" s="312" t="str">
        <f t="shared" si="19"/>
        <v xml:space="preserve"> </v>
      </c>
      <c r="E68" s="313"/>
      <c r="F68" s="118"/>
      <c r="G68" s="314"/>
      <c r="H68" s="315"/>
      <c r="I68" s="316"/>
      <c r="J68" s="317"/>
      <c r="K68" s="276"/>
      <c r="L68" s="314"/>
      <c r="M68" s="315"/>
      <c r="N68" s="316"/>
      <c r="O68" s="317"/>
      <c r="P68" s="276"/>
      <c r="Q68" s="314"/>
      <c r="R68" s="315"/>
      <c r="S68" s="316"/>
      <c r="T68" s="317"/>
      <c r="U68" s="277"/>
      <c r="V68" s="314"/>
      <c r="W68" s="315"/>
      <c r="X68" s="316"/>
      <c r="Y68" s="317"/>
      <c r="Z68" s="276"/>
      <c r="AA68" s="314"/>
      <c r="AB68" s="315"/>
      <c r="AC68" s="316"/>
      <c r="AD68" s="317"/>
      <c r="AE68" s="276"/>
      <c r="AF68" s="314"/>
      <c r="AG68" s="315"/>
      <c r="AH68" s="316"/>
      <c r="AI68" s="317"/>
      <c r="AJ68" s="276"/>
      <c r="AK68" s="314"/>
      <c r="AL68" s="315"/>
      <c r="AM68" s="316"/>
      <c r="AN68" s="317"/>
      <c r="AO68" s="276"/>
      <c r="AP68" s="314"/>
      <c r="AQ68" s="315"/>
      <c r="AR68" s="316"/>
      <c r="AS68" s="317"/>
      <c r="AT68" s="276"/>
      <c r="AU68" s="314"/>
      <c r="AV68" s="315"/>
      <c r="AW68" s="316"/>
      <c r="AX68" s="317"/>
      <c r="AZ68" s="314"/>
      <c r="BA68" s="315"/>
      <c r="BB68" s="316"/>
      <c r="BC68" s="317"/>
    </row>
    <row r="69" spans="1:55" x14ac:dyDescent="0.3">
      <c r="F69" s="118"/>
      <c r="U69" s="118"/>
    </row>
    <row r="70" spans="1:55" x14ac:dyDescent="0.3">
      <c r="F70" s="118"/>
      <c r="U70" s="118"/>
    </row>
    <row r="71" spans="1:55" x14ac:dyDescent="0.3">
      <c r="F71" s="118"/>
      <c r="U71" s="118"/>
    </row>
    <row r="72" spans="1:55" ht="15.6" x14ac:dyDescent="0.3">
      <c r="B72" s="55"/>
      <c r="C72" s="121" t="s">
        <v>245</v>
      </c>
      <c r="F72" s="118"/>
      <c r="U72" s="118"/>
    </row>
    <row r="73" spans="1:55" ht="15" thickBot="1" x14ac:dyDescent="0.35">
      <c r="F73" s="118"/>
      <c r="U73" s="118"/>
    </row>
    <row r="74" spans="1:55" ht="16.2" thickBot="1" x14ac:dyDescent="0.35">
      <c r="A74" s="140"/>
      <c r="B74" s="255" t="s">
        <v>165</v>
      </c>
      <c r="C74" s="256" t="s">
        <v>168</v>
      </c>
      <c r="D74" s="257" t="s">
        <v>241</v>
      </c>
      <c r="E74" s="258"/>
      <c r="F74" s="143"/>
      <c r="G74" s="255" t="s">
        <v>167</v>
      </c>
      <c r="H74" s="256" t="s">
        <v>242</v>
      </c>
      <c r="I74" s="140"/>
      <c r="J74" s="140"/>
      <c r="K74" s="140"/>
      <c r="L74" s="255" t="s">
        <v>167</v>
      </c>
      <c r="M74" s="256" t="s">
        <v>242</v>
      </c>
      <c r="N74" s="140"/>
      <c r="O74" s="140"/>
      <c r="P74" s="140"/>
      <c r="Q74" s="255" t="s">
        <v>167</v>
      </c>
      <c r="R74" s="256" t="s">
        <v>242</v>
      </c>
      <c r="S74" s="140"/>
      <c r="T74" s="140"/>
      <c r="U74" s="143"/>
      <c r="V74" s="255" t="s">
        <v>167</v>
      </c>
      <c r="W74" s="256" t="s">
        <v>242</v>
      </c>
      <c r="X74" s="140"/>
      <c r="Y74" s="140"/>
      <c r="Z74" s="140"/>
      <c r="AA74" s="255" t="s">
        <v>167</v>
      </c>
      <c r="AB74" s="256" t="s">
        <v>242</v>
      </c>
      <c r="AC74" s="140"/>
      <c r="AD74" s="140"/>
      <c r="AE74" s="140"/>
      <c r="AF74" s="255" t="s">
        <v>167</v>
      </c>
      <c r="AG74" s="256" t="s">
        <v>242</v>
      </c>
      <c r="AH74" s="140"/>
      <c r="AI74" s="140"/>
      <c r="AJ74" s="140"/>
      <c r="AK74" s="255" t="s">
        <v>167</v>
      </c>
      <c r="AL74" s="256" t="s">
        <v>242</v>
      </c>
      <c r="AM74" s="140"/>
      <c r="AN74" s="140"/>
      <c r="AO74" s="140"/>
      <c r="AP74" s="255" t="s">
        <v>167</v>
      </c>
      <c r="AQ74" s="256" t="s">
        <v>242</v>
      </c>
      <c r="AR74" s="140"/>
      <c r="AS74" s="140"/>
      <c r="AT74" s="140"/>
      <c r="AU74" s="255" t="s">
        <v>167</v>
      </c>
      <c r="AV74" s="256" t="s">
        <v>242</v>
      </c>
      <c r="AW74" s="140"/>
      <c r="AX74" s="140"/>
      <c r="AY74" s="140"/>
      <c r="AZ74" s="255" t="s">
        <v>167</v>
      </c>
      <c r="BA74" s="256" t="s">
        <v>242</v>
      </c>
      <c r="BB74" s="140"/>
      <c r="BC74" s="140"/>
    </row>
    <row r="75" spans="1:55" x14ac:dyDescent="0.3">
      <c r="B75" s="318"/>
      <c r="C75" s="319"/>
      <c r="D75" s="320"/>
      <c r="E75" s="321"/>
      <c r="F75" s="118"/>
      <c r="G75" s="318"/>
      <c r="H75" s="319"/>
      <c r="L75" s="318"/>
      <c r="M75" s="319"/>
      <c r="Q75" s="318"/>
      <c r="R75" s="319"/>
      <c r="U75" s="118"/>
      <c r="V75" s="318"/>
      <c r="W75" s="319"/>
      <c r="AA75" s="318"/>
      <c r="AB75" s="319"/>
      <c r="AF75" s="318"/>
      <c r="AG75" s="319"/>
      <c r="AK75" s="318"/>
      <c r="AL75" s="319"/>
      <c r="AP75" s="318"/>
      <c r="AQ75" s="319"/>
      <c r="AU75" s="318"/>
      <c r="AV75" s="319"/>
      <c r="AZ75" s="318"/>
      <c r="BA75" s="319"/>
    </row>
    <row r="76" spans="1:55" ht="15.6" x14ac:dyDescent="0.3">
      <c r="B76" s="294"/>
      <c r="C76" s="295"/>
      <c r="D76" s="296" t="s">
        <v>79</v>
      </c>
      <c r="E76" s="297"/>
      <c r="F76" s="143"/>
      <c r="G76" s="294"/>
      <c r="H76" s="322"/>
      <c r="L76" s="294"/>
      <c r="M76" s="322"/>
      <c r="Q76" s="294"/>
      <c r="R76" s="322"/>
      <c r="U76" s="118"/>
      <c r="V76" s="294"/>
      <c r="W76" s="322"/>
      <c r="AA76" s="294"/>
      <c r="AB76" s="322"/>
      <c r="AF76" s="294"/>
      <c r="AG76" s="322"/>
      <c r="AK76" s="294"/>
      <c r="AL76" s="322"/>
      <c r="AP76" s="294"/>
      <c r="AQ76" s="322"/>
      <c r="AU76" s="294"/>
      <c r="AV76" s="322"/>
      <c r="AZ76" s="294"/>
      <c r="BA76" s="322"/>
    </row>
    <row r="77" spans="1:55" ht="16.2" thickBot="1" x14ac:dyDescent="0.35">
      <c r="B77" s="269">
        <v>91</v>
      </c>
      <c r="C77" s="270">
        <f t="shared" ref="C77:C84" si="22">IF($B77&gt;0,VLOOKUP($B77,EventsOrder,2,FALSE)," ")</f>
        <v>11.4</v>
      </c>
      <c r="D77" s="270" t="str">
        <f t="shared" ref="D77:D84" si="23">IF($B77&gt;0,VLOOKUP($B77,EventsOrder,6,FALSE)," ")</f>
        <v>800m U14 Male</v>
      </c>
      <c r="E77" s="271"/>
      <c r="F77" s="118"/>
      <c r="G77" s="269">
        <v>28</v>
      </c>
      <c r="H77" s="299" t="s">
        <v>656</v>
      </c>
      <c r="L77" s="269"/>
      <c r="M77" s="299"/>
      <c r="Q77" s="1397">
        <v>18</v>
      </c>
      <c r="R77" s="1389" t="s">
        <v>928</v>
      </c>
      <c r="U77" s="118"/>
      <c r="V77" s="269"/>
      <c r="W77" s="299"/>
      <c r="AA77" s="269"/>
      <c r="AB77" s="299"/>
      <c r="AF77" s="269"/>
      <c r="AG77" s="299"/>
      <c r="AK77" s="269"/>
      <c r="AL77" s="299"/>
      <c r="AP77" s="269"/>
      <c r="AQ77" s="299"/>
      <c r="AU77" s="269"/>
      <c r="AV77" s="299"/>
      <c r="AZ77" s="269">
        <f>$B77</f>
        <v>91</v>
      </c>
      <c r="BA77" s="299" t="str">
        <f t="shared" ref="BA77:BA82" si="24">CONCATENATE(LEFT(BA$3,3),$B77,LEFT(BA$6,1))</f>
        <v>91A</v>
      </c>
    </row>
    <row r="78" spans="1:55" ht="16.2" thickBot="1" x14ac:dyDescent="0.35">
      <c r="B78" s="269">
        <v>92</v>
      </c>
      <c r="C78" s="270">
        <f t="shared" si="22"/>
        <v>12.1</v>
      </c>
      <c r="D78" s="270" t="str">
        <f t="shared" si="23"/>
        <v>800m U16 Male</v>
      </c>
      <c r="E78" s="271"/>
      <c r="F78" s="118"/>
      <c r="G78" s="269">
        <v>29</v>
      </c>
      <c r="H78" s="299" t="s">
        <v>686</v>
      </c>
      <c r="L78" s="269"/>
      <c r="M78" s="299"/>
      <c r="Q78" s="1397"/>
      <c r="R78" s="1389"/>
      <c r="U78" s="118"/>
      <c r="V78" s="1380">
        <v>125</v>
      </c>
      <c r="W78" s="1374" t="s">
        <v>855</v>
      </c>
      <c r="AA78" s="269"/>
      <c r="AB78" s="299"/>
      <c r="AF78" s="269"/>
      <c r="AG78" s="299"/>
      <c r="AK78" s="269"/>
      <c r="AL78" s="299"/>
      <c r="AP78" s="269"/>
      <c r="AQ78" s="299"/>
      <c r="AU78" s="269"/>
      <c r="AV78" s="299"/>
      <c r="AZ78" s="269">
        <f t="shared" ref="AZ78:AZ82" si="25">$B78</f>
        <v>92</v>
      </c>
      <c r="BA78" s="299" t="str">
        <f t="shared" si="24"/>
        <v>92A</v>
      </c>
    </row>
    <row r="79" spans="1:55" ht="15.6" x14ac:dyDescent="0.3">
      <c r="B79" s="269">
        <v>93</v>
      </c>
      <c r="C79" s="270">
        <f t="shared" si="22"/>
        <v>12.2</v>
      </c>
      <c r="D79" s="270" t="str">
        <f t="shared" si="23"/>
        <v>800m (U18/U20) Men</v>
      </c>
      <c r="E79" s="271"/>
      <c r="F79" s="118"/>
      <c r="G79" s="269"/>
      <c r="H79" s="299"/>
      <c r="L79" s="269"/>
      <c r="M79" s="299"/>
      <c r="Q79" s="1397"/>
      <c r="R79" s="1389"/>
      <c r="U79" s="118"/>
      <c r="V79" s="269"/>
      <c r="W79" s="299"/>
      <c r="AA79" s="269"/>
      <c r="AB79" s="299"/>
      <c r="AF79" s="269"/>
      <c r="AG79" s="299"/>
      <c r="AK79" s="269"/>
      <c r="AL79" s="299"/>
      <c r="AP79" s="269"/>
      <c r="AQ79" s="299"/>
      <c r="AU79" s="269"/>
      <c r="AV79" s="299"/>
      <c r="AZ79" s="269">
        <f t="shared" si="25"/>
        <v>93</v>
      </c>
      <c r="BA79" s="299" t="str">
        <f t="shared" si="24"/>
        <v>93A</v>
      </c>
    </row>
    <row r="80" spans="1:55" ht="15.6" x14ac:dyDescent="0.3">
      <c r="B80" s="269">
        <v>97</v>
      </c>
      <c r="C80" s="270">
        <f t="shared" si="22"/>
        <v>3.1</v>
      </c>
      <c r="D80" s="270" t="str">
        <f t="shared" si="23"/>
        <v>1500m U14 Male</v>
      </c>
      <c r="E80" s="271"/>
      <c r="F80" s="118"/>
      <c r="G80" s="269"/>
      <c r="H80" s="299"/>
      <c r="L80" s="269"/>
      <c r="M80" s="299"/>
      <c r="Q80" s="1397">
        <v>19</v>
      </c>
      <c r="R80" s="1389" t="s">
        <v>1100</v>
      </c>
      <c r="U80" s="118"/>
      <c r="V80" s="269"/>
      <c r="W80" s="299"/>
      <c r="AA80" s="269"/>
      <c r="AB80" s="299"/>
      <c r="AF80" s="269"/>
      <c r="AG80" s="299"/>
      <c r="AK80" s="269"/>
      <c r="AL80" s="299"/>
      <c r="AP80" s="269"/>
      <c r="AQ80" s="299"/>
      <c r="AU80" s="269"/>
      <c r="AV80" s="299"/>
      <c r="AZ80" s="269">
        <f t="shared" si="25"/>
        <v>97</v>
      </c>
      <c r="BA80" s="299" t="str">
        <f t="shared" si="24"/>
        <v>97A</v>
      </c>
    </row>
    <row r="81" spans="2:53" ht="15.6" x14ac:dyDescent="0.3">
      <c r="B81" s="269">
        <v>98</v>
      </c>
      <c r="C81" s="270">
        <f t="shared" si="22"/>
        <v>3.2</v>
      </c>
      <c r="D81" s="270" t="str">
        <f t="shared" si="23"/>
        <v>1500m U16 Male</v>
      </c>
      <c r="E81" s="271"/>
      <c r="F81" s="118"/>
      <c r="G81" s="269"/>
      <c r="H81" s="299"/>
      <c r="L81" s="269"/>
      <c r="M81" s="299"/>
      <c r="Q81" s="269"/>
      <c r="R81" s="299"/>
      <c r="U81" s="118"/>
      <c r="V81" s="269"/>
      <c r="W81" s="299"/>
      <c r="AA81" s="269"/>
      <c r="AB81" s="299"/>
      <c r="AF81" s="269"/>
      <c r="AG81" s="299"/>
      <c r="AK81" s="269"/>
      <c r="AL81" s="299"/>
      <c r="AP81" s="269"/>
      <c r="AQ81" s="299"/>
      <c r="AU81" s="269"/>
      <c r="AV81" s="299"/>
      <c r="AZ81" s="269">
        <f t="shared" si="25"/>
        <v>98</v>
      </c>
      <c r="BA81" s="299" t="str">
        <f t="shared" si="24"/>
        <v>98A</v>
      </c>
    </row>
    <row r="82" spans="2:53" ht="15.6" x14ac:dyDescent="0.3">
      <c r="B82" s="269">
        <v>99</v>
      </c>
      <c r="C82" s="270">
        <f t="shared" si="22"/>
        <v>3.3</v>
      </c>
      <c r="D82" s="270" t="str">
        <f t="shared" si="23"/>
        <v>1500m (U18/U20) Men</v>
      </c>
      <c r="E82" s="271"/>
      <c r="F82" s="118"/>
      <c r="G82" s="269"/>
      <c r="H82" s="299"/>
      <c r="L82" s="269"/>
      <c r="M82" s="299"/>
      <c r="Q82" s="269"/>
      <c r="R82" s="299"/>
      <c r="U82" s="118"/>
      <c r="V82" s="269"/>
      <c r="W82" s="299"/>
      <c r="AA82" s="269"/>
      <c r="AB82" s="299"/>
      <c r="AF82" s="269"/>
      <c r="AG82" s="299"/>
      <c r="AK82" s="269"/>
      <c r="AL82" s="299"/>
      <c r="AP82" s="269"/>
      <c r="AQ82" s="299"/>
      <c r="AU82" s="269"/>
      <c r="AV82" s="299"/>
      <c r="AZ82" s="269">
        <f t="shared" si="25"/>
        <v>99</v>
      </c>
      <c r="BA82" s="299" t="str">
        <f t="shared" si="24"/>
        <v>99A</v>
      </c>
    </row>
    <row r="83" spans="2:53" ht="15.6" x14ac:dyDescent="0.3">
      <c r="B83" s="269"/>
      <c r="C83" s="270" t="str">
        <f t="shared" si="22"/>
        <v xml:space="preserve"> </v>
      </c>
      <c r="D83" s="270" t="str">
        <f t="shared" si="23"/>
        <v xml:space="preserve"> </v>
      </c>
      <c r="E83" s="271"/>
      <c r="F83" s="118"/>
      <c r="G83" s="269"/>
      <c r="H83" s="299"/>
      <c r="L83" s="269"/>
      <c r="M83" s="299"/>
      <c r="Q83" s="269"/>
      <c r="R83" s="299"/>
      <c r="U83" s="118"/>
      <c r="V83" s="269"/>
      <c r="W83" s="299"/>
      <c r="AA83" s="269"/>
      <c r="AB83" s="299"/>
      <c r="AF83" s="269"/>
      <c r="AG83" s="299"/>
      <c r="AK83" s="269"/>
      <c r="AL83" s="299"/>
      <c r="AP83" s="269"/>
      <c r="AQ83" s="299"/>
      <c r="AU83" s="269"/>
      <c r="AV83" s="299"/>
      <c r="AZ83" s="269"/>
      <c r="BA83" s="299"/>
    </row>
    <row r="84" spans="2:53" x14ac:dyDescent="0.3">
      <c r="B84" s="269"/>
      <c r="C84" s="270" t="str">
        <f t="shared" si="22"/>
        <v xml:space="preserve"> </v>
      </c>
      <c r="D84" s="270" t="str">
        <f t="shared" si="23"/>
        <v xml:space="preserve"> </v>
      </c>
      <c r="E84" s="303"/>
      <c r="F84" s="118"/>
      <c r="G84" s="269"/>
      <c r="H84" s="278"/>
      <c r="L84" s="269"/>
      <c r="M84" s="278"/>
      <c r="Q84" s="269"/>
      <c r="R84" s="278"/>
      <c r="U84" s="118"/>
      <c r="V84" s="269"/>
      <c r="W84" s="278"/>
      <c r="AA84" s="269"/>
      <c r="AB84" s="278"/>
      <c r="AF84" s="269"/>
      <c r="AG84" s="278"/>
      <c r="AK84" s="269"/>
      <c r="AL84" s="278"/>
      <c r="AP84" s="269"/>
      <c r="AQ84" s="278"/>
      <c r="AU84" s="269"/>
      <c r="AV84" s="278"/>
      <c r="AZ84" s="269"/>
      <c r="BA84" s="278"/>
    </row>
    <row r="85" spans="2:53" x14ac:dyDescent="0.3">
      <c r="F85" s="118"/>
      <c r="U85" s="118"/>
    </row>
    <row r="86" spans="2:53" x14ac:dyDescent="0.3">
      <c r="F86" s="118"/>
      <c r="U86" s="118"/>
    </row>
    <row r="87" spans="2:53" x14ac:dyDescent="0.3">
      <c r="F87" s="118"/>
      <c r="U87" s="118"/>
    </row>
    <row r="88" spans="2:53" x14ac:dyDescent="0.3">
      <c r="F88" s="118"/>
      <c r="U88" s="118"/>
    </row>
    <row r="89" spans="2:53" x14ac:dyDescent="0.3">
      <c r="B89">
        <f t="shared" ref="B89:AS89" si="26">COLUMN(B1)</f>
        <v>2</v>
      </c>
      <c r="C89">
        <f t="shared" si="26"/>
        <v>3</v>
      </c>
      <c r="D89">
        <f t="shared" si="26"/>
        <v>4</v>
      </c>
      <c r="E89">
        <f t="shared" si="26"/>
        <v>5</v>
      </c>
      <c r="F89">
        <f t="shared" si="26"/>
        <v>6</v>
      </c>
      <c r="G89">
        <f t="shared" si="26"/>
        <v>7</v>
      </c>
      <c r="H89">
        <f t="shared" si="26"/>
        <v>8</v>
      </c>
      <c r="I89">
        <f t="shared" si="26"/>
        <v>9</v>
      </c>
      <c r="J89">
        <f t="shared" si="26"/>
        <v>10</v>
      </c>
      <c r="K89">
        <f t="shared" si="26"/>
        <v>11</v>
      </c>
      <c r="L89">
        <f t="shared" si="26"/>
        <v>12</v>
      </c>
      <c r="M89">
        <f t="shared" si="26"/>
        <v>13</v>
      </c>
      <c r="N89">
        <f t="shared" si="26"/>
        <v>14</v>
      </c>
      <c r="O89">
        <f t="shared" si="26"/>
        <v>15</v>
      </c>
      <c r="P89">
        <f t="shared" si="26"/>
        <v>16</v>
      </c>
      <c r="Q89">
        <f t="shared" si="26"/>
        <v>17</v>
      </c>
      <c r="R89">
        <f t="shared" si="26"/>
        <v>18</v>
      </c>
      <c r="S89">
        <f t="shared" si="26"/>
        <v>19</v>
      </c>
      <c r="T89">
        <f t="shared" si="26"/>
        <v>20</v>
      </c>
      <c r="U89">
        <f t="shared" si="26"/>
        <v>21</v>
      </c>
      <c r="V89">
        <f t="shared" si="26"/>
        <v>22</v>
      </c>
      <c r="W89">
        <f t="shared" si="26"/>
        <v>23</v>
      </c>
      <c r="X89">
        <f t="shared" si="26"/>
        <v>24</v>
      </c>
      <c r="Y89">
        <f t="shared" si="26"/>
        <v>25</v>
      </c>
      <c r="Z89">
        <f t="shared" si="26"/>
        <v>26</v>
      </c>
      <c r="AA89">
        <f t="shared" si="26"/>
        <v>27</v>
      </c>
      <c r="AB89">
        <f t="shared" si="26"/>
        <v>28</v>
      </c>
      <c r="AC89">
        <f t="shared" si="26"/>
        <v>29</v>
      </c>
      <c r="AD89">
        <f t="shared" si="26"/>
        <v>30</v>
      </c>
      <c r="AE89">
        <f t="shared" si="26"/>
        <v>31</v>
      </c>
      <c r="AF89">
        <f t="shared" si="26"/>
        <v>32</v>
      </c>
      <c r="AG89">
        <f t="shared" si="26"/>
        <v>33</v>
      </c>
      <c r="AH89">
        <f t="shared" si="26"/>
        <v>34</v>
      </c>
      <c r="AI89">
        <f t="shared" si="26"/>
        <v>35</v>
      </c>
      <c r="AJ89">
        <f t="shared" si="26"/>
        <v>36</v>
      </c>
      <c r="AK89">
        <f t="shared" si="26"/>
        <v>37</v>
      </c>
      <c r="AL89">
        <f t="shared" si="26"/>
        <v>38</v>
      </c>
      <c r="AM89">
        <f t="shared" si="26"/>
        <v>39</v>
      </c>
      <c r="AN89">
        <f t="shared" si="26"/>
        <v>40</v>
      </c>
      <c r="AO89">
        <f t="shared" si="26"/>
        <v>41</v>
      </c>
      <c r="AP89">
        <f t="shared" si="26"/>
        <v>42</v>
      </c>
      <c r="AQ89">
        <f t="shared" si="26"/>
        <v>43</v>
      </c>
      <c r="AR89">
        <f t="shared" si="26"/>
        <v>44</v>
      </c>
      <c r="AS89">
        <f t="shared" si="26"/>
        <v>45</v>
      </c>
    </row>
    <row r="90" spans="2:53" x14ac:dyDescent="0.3">
      <c r="F90" s="118"/>
      <c r="U90" s="118"/>
    </row>
    <row r="91" spans="2:53" x14ac:dyDescent="0.3">
      <c r="F91" s="118"/>
      <c r="U91" s="118"/>
    </row>
    <row r="92" spans="2:53" x14ac:dyDescent="0.3">
      <c r="F92" s="118"/>
      <c r="U92" s="118"/>
    </row>
    <row r="93" spans="2:53" x14ac:dyDescent="0.3">
      <c r="F93" s="118"/>
      <c r="U93" s="118"/>
    </row>
    <row r="94" spans="2:53" x14ac:dyDescent="0.3">
      <c r="F94" s="118"/>
      <c r="U94" s="118"/>
    </row>
    <row r="95" spans="2:53" x14ac:dyDescent="0.3">
      <c r="F95" s="118"/>
      <c r="U95" s="118"/>
    </row>
    <row r="96" spans="2:53" x14ac:dyDescent="0.3">
      <c r="F96" s="118"/>
      <c r="U96" s="118"/>
    </row>
    <row r="97" spans="6:21" x14ac:dyDescent="0.3">
      <c r="F97" s="118"/>
      <c r="U97" s="118"/>
    </row>
    <row r="98" spans="6:21" x14ac:dyDescent="0.3">
      <c r="F98" s="118"/>
      <c r="U98" s="118"/>
    </row>
    <row r="99" spans="6:21" x14ac:dyDescent="0.3">
      <c r="F99" s="118"/>
      <c r="U99" s="118"/>
    </row>
    <row r="100" spans="6:21" x14ac:dyDescent="0.3">
      <c r="F100" s="118"/>
    </row>
    <row r="101" spans="6:21" x14ac:dyDescent="0.3">
      <c r="F101" s="118"/>
    </row>
    <row r="102" spans="6:21" x14ac:dyDescent="0.3">
      <c r="F102" s="118"/>
    </row>
    <row r="103" spans="6:21" x14ac:dyDescent="0.3">
      <c r="F103" s="118"/>
    </row>
    <row r="104" spans="6:21" x14ac:dyDescent="0.3">
      <c r="F104" s="118"/>
    </row>
    <row r="105" spans="6:21" x14ac:dyDescent="0.3">
      <c r="F105" s="118"/>
    </row>
    <row r="106" spans="6:21" x14ac:dyDescent="0.3">
      <c r="F106" s="118"/>
    </row>
    <row r="107" spans="6:21" x14ac:dyDescent="0.3">
      <c r="F107" s="118"/>
    </row>
    <row r="108" spans="6:21" x14ac:dyDescent="0.3">
      <c r="F108" s="118"/>
    </row>
    <row r="109" spans="6:21" x14ac:dyDescent="0.3">
      <c r="F109" s="118"/>
    </row>
    <row r="110" spans="6:21" x14ac:dyDescent="0.3">
      <c r="F110" s="118"/>
    </row>
    <row r="111" spans="6:21" x14ac:dyDescent="0.3">
      <c r="F111" s="118"/>
    </row>
    <row r="112" spans="6:21" x14ac:dyDescent="0.3">
      <c r="F112" s="118"/>
    </row>
    <row r="113" spans="6:6" x14ac:dyDescent="0.3">
      <c r="F113" s="118"/>
    </row>
    <row r="114" spans="6:6" x14ac:dyDescent="0.3">
      <c r="F114" s="118"/>
    </row>
    <row r="115" spans="6:6" x14ac:dyDescent="0.3">
      <c r="F115" s="118"/>
    </row>
    <row r="116" spans="6:6" x14ac:dyDescent="0.3">
      <c r="F116" s="118"/>
    </row>
    <row r="117" spans="6:6" x14ac:dyDescent="0.3">
      <c r="F117" s="118"/>
    </row>
  </sheetData>
  <sheetProtection sheet="1" objects="1" scenarios="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DCBC3-CA3C-4D81-B717-0781010A0EE4}">
  <sheetPr codeName="Sheet5">
    <tabColor rgb="FFFF0000"/>
  </sheetPr>
  <dimension ref="A1:BC113"/>
  <sheetViews>
    <sheetView zoomScale="85" zoomScaleNormal="85" workbookViewId="0">
      <pane xSplit="5" ySplit="4" topLeftCell="AL68" activePane="bottomRight" state="frozen"/>
      <selection pane="topRight" activeCell="F1" sqref="F1"/>
      <selection pane="bottomLeft" activeCell="A5" sqref="A5"/>
      <selection pane="bottomRight" activeCell="J57" sqref="J57"/>
    </sheetView>
  </sheetViews>
  <sheetFormatPr defaultRowHeight="14.4" x14ac:dyDescent="0.3"/>
  <cols>
    <col min="1" max="1" width="6.5546875" customWidth="1"/>
    <col min="2" max="2" width="6.6640625" customWidth="1"/>
    <col min="3" max="3" width="7.6640625" style="32" customWidth="1"/>
    <col min="4" max="4" width="21.6640625" customWidth="1"/>
    <col min="5" max="7" width="5.6640625" customWidth="1"/>
    <col min="8" max="8" width="25.6640625" customWidth="1"/>
    <col min="9" max="9" width="5.6640625" customWidth="1"/>
    <col min="10" max="10" width="25.6640625" customWidth="1"/>
    <col min="11" max="11" width="5.6640625" customWidth="1"/>
    <col min="12" max="12" width="5.88671875" customWidth="1"/>
    <col min="13" max="13" width="25.6640625" customWidth="1"/>
    <col min="14" max="14" width="5.6640625" customWidth="1"/>
    <col min="15" max="15" width="25.6640625" customWidth="1"/>
    <col min="16" max="16" width="5.6640625" customWidth="1"/>
    <col min="17" max="17" width="5.88671875" customWidth="1"/>
    <col min="18" max="18" width="25.6640625" customWidth="1"/>
    <col min="19" max="19" width="5.6640625" customWidth="1"/>
    <col min="20" max="20" width="25.6640625" customWidth="1"/>
    <col min="21" max="22" width="5.6640625" customWidth="1"/>
    <col min="23" max="23" width="25.6640625" customWidth="1"/>
    <col min="24" max="24" width="5.6640625" customWidth="1"/>
    <col min="25" max="25" width="25.6640625" customWidth="1"/>
    <col min="26" max="26" width="5.6640625" customWidth="1"/>
    <col min="27" max="27" width="5.88671875" customWidth="1"/>
    <col min="28" max="28" width="25.6640625" customWidth="1"/>
    <col min="29" max="29" width="5.6640625" customWidth="1"/>
    <col min="30" max="30" width="25.6640625" customWidth="1"/>
    <col min="31" max="31" width="5.6640625" customWidth="1"/>
    <col min="32" max="32" width="5.88671875" customWidth="1"/>
    <col min="33" max="33" width="25.6640625" customWidth="1"/>
    <col min="34" max="34" width="5.6640625" customWidth="1"/>
    <col min="35" max="35" width="25.6640625" customWidth="1"/>
    <col min="36" max="36" width="5.6640625" customWidth="1"/>
    <col min="37" max="37" width="5.88671875" customWidth="1"/>
    <col min="38" max="38" width="25.6640625" customWidth="1"/>
    <col min="39" max="39" width="5.6640625" customWidth="1"/>
    <col min="40" max="40" width="25.6640625" customWidth="1"/>
    <col min="41" max="41" width="5.6640625" customWidth="1"/>
    <col min="42" max="42" width="5.88671875" customWidth="1"/>
    <col min="43" max="43" width="25.6640625" customWidth="1"/>
    <col min="44" max="44" width="5.6640625" customWidth="1"/>
    <col min="45" max="45" width="25.6640625" customWidth="1"/>
    <col min="47" max="47" width="5.6640625" customWidth="1"/>
    <col min="48" max="48" width="25.88671875" customWidth="1"/>
    <col min="49" max="49" width="5.6640625" customWidth="1"/>
    <col min="50" max="50" width="25" customWidth="1"/>
    <col min="52" max="52" width="5.6640625" customWidth="1"/>
    <col min="53" max="53" width="25.88671875" customWidth="1"/>
    <col min="54" max="54" width="5.6640625" customWidth="1"/>
    <col min="55" max="55" width="25" customWidth="1"/>
  </cols>
  <sheetData>
    <row r="1" spans="1:55" ht="15" thickBot="1" x14ac:dyDescent="0.35">
      <c r="B1" s="32"/>
      <c r="D1" s="118"/>
      <c r="E1" s="118"/>
      <c r="F1" s="118"/>
      <c r="G1" s="32"/>
      <c r="I1" s="32"/>
      <c r="U1" s="118"/>
      <c r="V1" s="32"/>
      <c r="X1" s="32"/>
    </row>
    <row r="2" spans="1:55" ht="17.399999999999999" x14ac:dyDescent="0.3">
      <c r="B2" s="897"/>
      <c r="C2" s="898" t="s">
        <v>62</v>
      </c>
      <c r="D2" s="899"/>
      <c r="E2" s="900"/>
      <c r="F2" s="118"/>
      <c r="G2" s="897"/>
      <c r="H2" s="912" t="s">
        <v>80</v>
      </c>
      <c r="I2" s="913"/>
      <c r="J2" s="914"/>
      <c r="L2" s="897"/>
      <c r="M2" s="912" t="s">
        <v>80</v>
      </c>
      <c r="N2" s="913"/>
      <c r="O2" s="914"/>
      <c r="Q2" s="897"/>
      <c r="R2" s="912" t="s">
        <v>80</v>
      </c>
      <c r="S2" s="913"/>
      <c r="T2" s="914"/>
      <c r="U2" s="118"/>
      <c r="V2" s="897"/>
      <c r="W2" s="912" t="s">
        <v>80</v>
      </c>
      <c r="X2" s="913"/>
      <c r="Y2" s="914"/>
      <c r="AA2" s="897"/>
      <c r="AB2" s="912" t="s">
        <v>80</v>
      </c>
      <c r="AC2" s="913"/>
      <c r="AD2" s="914"/>
      <c r="AF2" s="897"/>
      <c r="AG2" s="912" t="s">
        <v>80</v>
      </c>
      <c r="AH2" s="913"/>
      <c r="AI2" s="914"/>
      <c r="AK2" s="897"/>
      <c r="AL2" s="912" t="s">
        <v>80</v>
      </c>
      <c r="AM2" s="913"/>
      <c r="AN2" s="914"/>
      <c r="AP2" s="897"/>
      <c r="AQ2" s="912" t="s">
        <v>80</v>
      </c>
      <c r="AR2" s="913"/>
      <c r="AS2" s="914"/>
      <c r="AU2" s="897"/>
      <c r="AV2" s="912"/>
      <c r="AW2" s="913"/>
      <c r="AX2" s="914"/>
      <c r="AZ2" s="323"/>
      <c r="BA2" s="324"/>
      <c r="BB2" s="325"/>
      <c r="BC2" s="326"/>
    </row>
    <row r="3" spans="1:55" ht="21" x14ac:dyDescent="0.4">
      <c r="B3" s="901"/>
      <c r="C3" s="902" t="s">
        <v>239</v>
      </c>
      <c r="D3" s="903"/>
      <c r="E3" s="904"/>
      <c r="F3" s="118"/>
      <c r="G3" s="915" t="str">
        <f>'Event Details'!D22</f>
        <v>S</v>
      </c>
      <c r="H3" s="329" t="str">
        <f>'Event Details'!$E$22</f>
        <v>BRAT</v>
      </c>
      <c r="I3" s="916"/>
      <c r="J3" s="917" t="str">
        <f>'Event Details'!$C$17</f>
        <v>17th May 2026</v>
      </c>
      <c r="K3" s="276"/>
      <c r="L3" s="915" t="str">
        <f>'Event Details'!D23</f>
        <v>U</v>
      </c>
      <c r="M3" s="329" t="str">
        <f>'Event Details'!$E$23</f>
        <v>Kidder &amp; Stourport</v>
      </c>
      <c r="N3" s="916"/>
      <c r="O3" s="917" t="str">
        <f>'Event Details'!$C$17</f>
        <v>17th May 2026</v>
      </c>
      <c r="P3" s="276"/>
      <c r="Q3" s="915" t="str">
        <f>'Event Details'!D24</f>
        <v>G</v>
      </c>
      <c r="R3" s="1271" t="str">
        <f>'Event Details'!$E$24</f>
        <v>Royal Sutton</v>
      </c>
      <c r="S3" s="916"/>
      <c r="T3" s="917" t="str">
        <f>'Event Details'!$C$17</f>
        <v>17th May 2026</v>
      </c>
      <c r="U3" s="118"/>
      <c r="V3" s="915" t="str">
        <f>'Event Details'!D25</f>
        <v>R</v>
      </c>
      <c r="W3" s="329" t="str">
        <f>'Event Details'!$E$25</f>
        <v>Rugby &amp; N'hampton</v>
      </c>
      <c r="X3" s="916"/>
      <c r="Y3" s="917" t="str">
        <f>'Event Details'!$C$17</f>
        <v>17th May 2026</v>
      </c>
      <c r="Z3" s="276"/>
      <c r="AA3" s="915" t="str">
        <f>'Event Details'!D26</f>
        <v>M</v>
      </c>
      <c r="AB3" s="329" t="str">
        <f>'Event Details'!$E$26</f>
        <v>Solihull &amp; S.Heath</v>
      </c>
      <c r="AC3" s="916"/>
      <c r="AD3" s="917" t="str">
        <f>'Event Details'!$C$17</f>
        <v>17th May 2026</v>
      </c>
      <c r="AE3" s="276"/>
      <c r="AF3" s="915" t="str">
        <f>'Event Details'!D27</f>
        <v>D</v>
      </c>
      <c r="AG3" s="329" t="str">
        <f>'Event Details'!$E$27</f>
        <v>Stratford</v>
      </c>
      <c r="AH3" s="916"/>
      <c r="AI3" s="917" t="str">
        <f>'Event Details'!$C$17</f>
        <v>17th May 2026</v>
      </c>
      <c r="AJ3" s="276"/>
      <c r="AK3" s="915" t="str">
        <f>'Event Details'!D28</f>
        <v>F</v>
      </c>
      <c r="AL3" s="1271" t="str">
        <f>'Event Details'!$E$28</f>
        <v>Tamworth</v>
      </c>
      <c r="AM3" s="916"/>
      <c r="AN3" s="917" t="str">
        <f>'Event Details'!$C$17</f>
        <v>17th May 2026</v>
      </c>
      <c r="AO3" s="276"/>
      <c r="AP3" s="915" t="str">
        <f>'Event Details'!D29</f>
        <v>Y</v>
      </c>
      <c r="AQ3" s="1279" t="str">
        <f>'Event Details'!$E$29</f>
        <v>Worcester</v>
      </c>
      <c r="AR3" s="916"/>
      <c r="AS3" s="917" t="str">
        <f>'Event Details'!$C$17</f>
        <v>17th May 2026</v>
      </c>
      <c r="AT3" s="276"/>
      <c r="AU3" s="915"/>
      <c r="AV3" s="329"/>
      <c r="AW3" s="916"/>
      <c r="AX3" s="917"/>
      <c r="AZ3" s="328"/>
      <c r="BA3" s="329"/>
      <c r="BB3" s="330"/>
      <c r="BC3" s="331"/>
    </row>
    <row r="4" spans="1:55" x14ac:dyDescent="0.3">
      <c r="B4" s="901"/>
      <c r="C4" s="905" t="s">
        <v>240</v>
      </c>
      <c r="D4" s="906"/>
      <c r="E4" s="907"/>
      <c r="F4" s="118"/>
      <c r="G4" s="901"/>
      <c r="H4" s="906"/>
      <c r="I4" s="906"/>
      <c r="J4" s="918"/>
      <c r="L4" s="901"/>
      <c r="M4" s="906"/>
      <c r="N4" s="906"/>
      <c r="O4" s="918"/>
      <c r="Q4" s="901"/>
      <c r="R4" s="906"/>
      <c r="S4" s="906"/>
      <c r="T4" s="918"/>
      <c r="U4" s="118"/>
      <c r="V4" s="901"/>
      <c r="W4" s="906"/>
      <c r="X4" s="906"/>
      <c r="Y4" s="918"/>
      <c r="AA4" s="901"/>
      <c r="AB4" s="906"/>
      <c r="AC4" s="906"/>
      <c r="AD4" s="918"/>
      <c r="AF4" s="901"/>
      <c r="AG4" s="906"/>
      <c r="AH4" s="906"/>
      <c r="AI4" s="918"/>
      <c r="AK4" s="901"/>
      <c r="AL4" s="906"/>
      <c r="AM4" s="906"/>
      <c r="AN4" s="918"/>
      <c r="AP4" s="901"/>
      <c r="AQ4" s="906"/>
      <c r="AR4" s="906"/>
      <c r="AS4" s="918"/>
      <c r="AU4" s="901"/>
      <c r="AV4" s="906"/>
      <c r="AW4" s="906"/>
      <c r="AX4" s="918"/>
      <c r="AZ4" s="327"/>
      <c r="BA4" s="332"/>
      <c r="BB4" s="332"/>
      <c r="BC4" s="333"/>
    </row>
    <row r="5" spans="1:55" ht="15" thickBot="1" x14ac:dyDescent="0.35">
      <c r="B5" s="908"/>
      <c r="C5" s="909"/>
      <c r="D5" s="910"/>
      <c r="E5" s="911"/>
      <c r="F5" s="118"/>
      <c r="G5" s="908"/>
      <c r="H5" s="919"/>
      <c r="I5" s="909"/>
      <c r="J5" s="920"/>
      <c r="L5" s="908"/>
      <c r="M5" s="919"/>
      <c r="N5" s="909"/>
      <c r="O5" s="920"/>
      <c r="Q5" s="908"/>
      <c r="R5" s="919"/>
      <c r="S5" s="909"/>
      <c r="T5" s="920"/>
      <c r="U5" s="118"/>
      <c r="V5" s="908"/>
      <c r="W5" s="919"/>
      <c r="X5" s="909"/>
      <c r="Y5" s="920"/>
      <c r="AA5" s="908"/>
      <c r="AB5" s="919"/>
      <c r="AC5" s="909"/>
      <c r="AD5" s="920"/>
      <c r="AF5" s="908"/>
      <c r="AG5" s="919"/>
      <c r="AH5" s="909"/>
      <c r="AI5" s="920"/>
      <c r="AK5" s="908"/>
      <c r="AL5" s="919"/>
      <c r="AM5" s="909"/>
      <c r="AN5" s="920"/>
      <c r="AP5" s="908"/>
      <c r="AQ5" s="919"/>
      <c r="AR5" s="909"/>
      <c r="AS5" s="920"/>
      <c r="AU5" s="908"/>
      <c r="AV5" s="919"/>
      <c r="AW5" s="909"/>
      <c r="AX5" s="920"/>
      <c r="AZ5" s="334"/>
      <c r="BA5" s="336"/>
      <c r="BB5" s="335"/>
      <c r="BC5" s="337"/>
    </row>
    <row r="6" spans="1:55" ht="15" thickBot="1" x14ac:dyDescent="0.35">
      <c r="B6" s="286" t="s">
        <v>165</v>
      </c>
      <c r="C6" s="287" t="s">
        <v>168</v>
      </c>
      <c r="D6" s="288" t="s">
        <v>241</v>
      </c>
      <c r="E6" s="289"/>
      <c r="F6" s="118"/>
      <c r="G6" s="286" t="s">
        <v>167</v>
      </c>
      <c r="H6" s="287" t="s">
        <v>242</v>
      </c>
      <c r="I6" s="287" t="s">
        <v>167</v>
      </c>
      <c r="J6" s="338" t="s">
        <v>243</v>
      </c>
      <c r="L6" s="286" t="s">
        <v>167</v>
      </c>
      <c r="M6" s="287" t="s">
        <v>242</v>
      </c>
      <c r="N6" s="287" t="s">
        <v>167</v>
      </c>
      <c r="O6" s="338" t="s">
        <v>243</v>
      </c>
      <c r="Q6" s="286" t="s">
        <v>167</v>
      </c>
      <c r="R6" s="287" t="s">
        <v>242</v>
      </c>
      <c r="S6" s="287" t="s">
        <v>167</v>
      </c>
      <c r="T6" s="338" t="s">
        <v>243</v>
      </c>
      <c r="U6" s="118"/>
      <c r="V6" s="286" t="s">
        <v>167</v>
      </c>
      <c r="W6" s="287" t="s">
        <v>242</v>
      </c>
      <c r="X6" s="287" t="s">
        <v>167</v>
      </c>
      <c r="Y6" s="338" t="s">
        <v>243</v>
      </c>
      <c r="AA6" s="286" t="s">
        <v>167</v>
      </c>
      <c r="AB6" s="287" t="s">
        <v>242</v>
      </c>
      <c r="AC6" s="287" t="s">
        <v>167</v>
      </c>
      <c r="AD6" s="338" t="s">
        <v>243</v>
      </c>
      <c r="AF6" s="286" t="s">
        <v>167</v>
      </c>
      <c r="AG6" s="287" t="s">
        <v>242</v>
      </c>
      <c r="AH6" s="287" t="s">
        <v>167</v>
      </c>
      <c r="AI6" s="338" t="s">
        <v>243</v>
      </c>
      <c r="AK6" s="286" t="s">
        <v>167</v>
      </c>
      <c r="AL6" s="287" t="s">
        <v>242</v>
      </c>
      <c r="AM6" s="287" t="s">
        <v>167</v>
      </c>
      <c r="AN6" s="338" t="s">
        <v>243</v>
      </c>
      <c r="AP6" s="287" t="s">
        <v>167</v>
      </c>
      <c r="AQ6" s="287" t="s">
        <v>242</v>
      </c>
      <c r="AR6" s="287" t="s">
        <v>167</v>
      </c>
      <c r="AS6" s="338" t="s">
        <v>243</v>
      </c>
      <c r="AU6" s="286" t="s">
        <v>167</v>
      </c>
      <c r="AV6" s="287" t="s">
        <v>242</v>
      </c>
      <c r="AW6" s="287" t="s">
        <v>167</v>
      </c>
      <c r="AX6" s="338" t="s">
        <v>243</v>
      </c>
      <c r="AZ6" s="286" t="s">
        <v>167</v>
      </c>
      <c r="BA6" s="287" t="s">
        <v>242</v>
      </c>
      <c r="BB6" s="287" t="s">
        <v>167</v>
      </c>
      <c r="BC6" s="338" t="s">
        <v>243</v>
      </c>
    </row>
    <row r="7" spans="1:55" ht="15.6" x14ac:dyDescent="0.3">
      <c r="A7" s="140"/>
      <c r="B7" s="294"/>
      <c r="C7" s="295"/>
      <c r="D7" s="339" t="s">
        <v>483</v>
      </c>
      <c r="E7" s="340"/>
      <c r="F7" s="143"/>
      <c r="G7" s="298"/>
      <c r="H7" s="299"/>
      <c r="I7" s="300"/>
      <c r="J7" s="301"/>
      <c r="K7" s="302"/>
      <c r="L7" s="298"/>
      <c r="M7" s="299"/>
      <c r="N7" s="300"/>
      <c r="O7" s="301"/>
      <c r="P7" s="302"/>
      <c r="Q7" s="298"/>
      <c r="R7" s="299"/>
      <c r="S7" s="300"/>
      <c r="T7" s="301"/>
      <c r="U7" s="308"/>
      <c r="V7" s="298"/>
      <c r="W7" s="299"/>
      <c r="X7" s="300"/>
      <c r="Y7" s="301"/>
      <c r="Z7" s="302"/>
      <c r="AA7" s="298"/>
      <c r="AB7" s="299"/>
      <c r="AC7" s="300"/>
      <c r="AD7" s="301"/>
      <c r="AE7" s="302"/>
      <c r="AF7" s="298"/>
      <c r="AG7" s="299"/>
      <c r="AH7" s="300"/>
      <c r="AI7" s="301"/>
      <c r="AJ7" s="302"/>
      <c r="AK7" s="298"/>
      <c r="AL7" s="299"/>
      <c r="AM7" s="300"/>
      <c r="AN7" s="301"/>
      <c r="AO7" s="302"/>
      <c r="AP7" s="298"/>
      <c r="AQ7" s="299"/>
      <c r="AR7" s="300"/>
      <c r="AS7" s="301"/>
      <c r="AT7" s="302"/>
      <c r="AU7" s="298"/>
      <c r="AV7" s="299"/>
      <c r="AW7" s="300"/>
      <c r="AX7" s="301"/>
      <c r="AY7" s="140"/>
      <c r="AZ7" s="294"/>
      <c r="BA7" s="322"/>
      <c r="BB7" s="295"/>
      <c r="BC7" s="301"/>
    </row>
    <row r="8" spans="1:55" ht="15.6" x14ac:dyDescent="0.3">
      <c r="A8" s="140"/>
      <c r="B8" s="269">
        <v>6</v>
      </c>
      <c r="C8" s="270">
        <f t="shared" ref="C8:C13" si="0">IF($B8&gt;0,VLOOKUP($B8,EventsOrder,2,FALSE)," ")</f>
        <v>11.45</v>
      </c>
      <c r="D8" s="270" t="str">
        <f t="shared" ref="D8:D13" si="1">IF($B8&gt;0,VLOOKUP($B8,EventsOrder,6,FALSE)," ")</f>
        <v xml:space="preserve">Howler </v>
      </c>
      <c r="E8" s="271"/>
      <c r="F8" s="118"/>
      <c r="G8" s="272" t="s">
        <v>100</v>
      </c>
      <c r="H8" s="273" t="s">
        <v>687</v>
      </c>
      <c r="I8" s="274" t="s">
        <v>818</v>
      </c>
      <c r="J8" s="279" t="s">
        <v>688</v>
      </c>
      <c r="K8" s="276"/>
      <c r="L8" s="272" t="s">
        <v>130</v>
      </c>
      <c r="M8" s="273" t="s">
        <v>737</v>
      </c>
      <c r="N8" s="274" t="s">
        <v>726</v>
      </c>
      <c r="O8" s="279" t="s">
        <v>738</v>
      </c>
      <c r="P8" s="276"/>
      <c r="Q8" s="272" t="s">
        <v>110</v>
      </c>
      <c r="R8" s="1389" t="s">
        <v>929</v>
      </c>
      <c r="S8" s="274" t="s">
        <v>820</v>
      </c>
      <c r="T8" s="1390" t="s">
        <v>932</v>
      </c>
      <c r="U8" s="277"/>
      <c r="V8" s="272" t="s">
        <v>118</v>
      </c>
      <c r="W8" s="1365" t="s">
        <v>804</v>
      </c>
      <c r="X8" s="1371" t="s">
        <v>819</v>
      </c>
      <c r="Y8" s="1366" t="s">
        <v>805</v>
      </c>
      <c r="Z8" s="276"/>
      <c r="AA8" s="272" t="s">
        <v>127</v>
      </c>
      <c r="AB8" s="273" t="s">
        <v>756</v>
      </c>
      <c r="AC8" s="274" t="s">
        <v>821</v>
      </c>
      <c r="AD8" s="279" t="s">
        <v>757</v>
      </c>
      <c r="AE8" s="276"/>
      <c r="AF8" s="272" t="s">
        <v>136</v>
      </c>
      <c r="AG8" s="273" t="s">
        <v>544</v>
      </c>
      <c r="AH8" s="274" t="s">
        <v>513</v>
      </c>
      <c r="AI8" s="279" t="s">
        <v>545</v>
      </c>
      <c r="AJ8" s="276"/>
      <c r="AK8" s="272" t="s">
        <v>142</v>
      </c>
      <c r="AL8" s="273" t="s">
        <v>591</v>
      </c>
      <c r="AM8" s="274" t="s">
        <v>576</v>
      </c>
      <c r="AN8" s="279" t="s">
        <v>592</v>
      </c>
      <c r="AO8" s="276"/>
      <c r="AP8" s="272" t="s">
        <v>151</v>
      </c>
      <c r="AQ8" s="278" t="s">
        <v>630</v>
      </c>
      <c r="AR8" s="274" t="s">
        <v>822</v>
      </c>
      <c r="AS8" s="279" t="s">
        <v>633</v>
      </c>
      <c r="AT8" s="276"/>
      <c r="AU8" s="272"/>
      <c r="AV8" s="273"/>
      <c r="AW8" s="274"/>
      <c r="AX8" s="279"/>
      <c r="AZ8" s="341"/>
      <c r="BA8" s="273"/>
      <c r="BB8" s="342"/>
      <c r="BC8" s="279"/>
    </row>
    <row r="9" spans="1:55" ht="15.6" x14ac:dyDescent="0.3">
      <c r="A9" s="140"/>
      <c r="B9" s="269">
        <v>32</v>
      </c>
      <c r="C9" s="270">
        <f t="shared" si="0"/>
        <v>1.5</v>
      </c>
      <c r="D9" s="270" t="str">
        <f t="shared" si="1"/>
        <v xml:space="preserve">600m </v>
      </c>
      <c r="E9" s="271"/>
      <c r="F9" s="118"/>
      <c r="G9" s="272" t="s">
        <v>100</v>
      </c>
      <c r="H9" s="273" t="s">
        <v>689</v>
      </c>
      <c r="I9" s="274" t="s">
        <v>818</v>
      </c>
      <c r="J9" s="279" t="s">
        <v>690</v>
      </c>
      <c r="K9" s="276"/>
      <c r="L9" s="272" t="s">
        <v>130</v>
      </c>
      <c r="M9" s="273" t="s">
        <v>738</v>
      </c>
      <c r="N9" s="274" t="s">
        <v>726</v>
      </c>
      <c r="O9" s="279" t="s">
        <v>739</v>
      </c>
      <c r="P9" s="276"/>
      <c r="Q9" s="272" t="s">
        <v>110</v>
      </c>
      <c r="R9" s="1389" t="s">
        <v>930</v>
      </c>
      <c r="S9" s="274" t="s">
        <v>820</v>
      </c>
      <c r="T9" s="1390" t="s">
        <v>931</v>
      </c>
      <c r="U9" s="277"/>
      <c r="V9" s="272" t="s">
        <v>118</v>
      </c>
      <c r="W9" s="1365" t="s">
        <v>806</v>
      </c>
      <c r="X9" s="1371" t="s">
        <v>819</v>
      </c>
      <c r="Y9" s="1366" t="s">
        <v>807</v>
      </c>
      <c r="Z9" s="276"/>
      <c r="AA9" s="272" t="s">
        <v>127</v>
      </c>
      <c r="AB9" s="273" t="s">
        <v>758</v>
      </c>
      <c r="AC9" s="274" t="s">
        <v>821</v>
      </c>
      <c r="AD9" s="279" t="s">
        <v>759</v>
      </c>
      <c r="AE9" s="276"/>
      <c r="AF9" s="272" t="s">
        <v>136</v>
      </c>
      <c r="AG9" s="273" t="s">
        <v>546</v>
      </c>
      <c r="AH9" s="274" t="s">
        <v>513</v>
      </c>
      <c r="AI9" s="279" t="s">
        <v>545</v>
      </c>
      <c r="AJ9" s="276"/>
      <c r="AK9" s="272" t="s">
        <v>142</v>
      </c>
      <c r="AL9" s="273" t="s">
        <v>593</v>
      </c>
      <c r="AM9" s="274" t="s">
        <v>576</v>
      </c>
      <c r="AN9" s="279" t="s">
        <v>592</v>
      </c>
      <c r="AO9" s="276"/>
      <c r="AP9" s="272" t="s">
        <v>151</v>
      </c>
      <c r="AQ9" s="278" t="s">
        <v>631</v>
      </c>
      <c r="AR9" s="274" t="s">
        <v>822</v>
      </c>
      <c r="AS9" s="279" t="s">
        <v>633</v>
      </c>
      <c r="AT9" s="276"/>
      <c r="AU9" s="272"/>
      <c r="AV9" s="273"/>
      <c r="AW9" s="274"/>
      <c r="AX9" s="279"/>
      <c r="AZ9" s="341"/>
      <c r="BA9" s="273"/>
      <c r="BB9" s="342"/>
      <c r="BC9" s="279"/>
    </row>
    <row r="10" spans="1:55" ht="15.6" x14ac:dyDescent="0.3">
      <c r="A10" s="140"/>
      <c r="B10" s="269">
        <v>40</v>
      </c>
      <c r="C10" s="270">
        <f t="shared" si="0"/>
        <v>2.1</v>
      </c>
      <c r="D10" s="270" t="str">
        <f t="shared" si="1"/>
        <v>Long Jump Pit 2</v>
      </c>
      <c r="E10" s="271"/>
      <c r="F10" s="118"/>
      <c r="G10" s="272" t="s">
        <v>100</v>
      </c>
      <c r="H10" s="273" t="s">
        <v>691</v>
      </c>
      <c r="I10" s="274" t="s">
        <v>818</v>
      </c>
      <c r="J10" s="279" t="s">
        <v>692</v>
      </c>
      <c r="K10" s="276"/>
      <c r="L10" s="272" t="s">
        <v>130</v>
      </c>
      <c r="M10" s="273" t="s">
        <v>738</v>
      </c>
      <c r="N10" s="274" t="s">
        <v>726</v>
      </c>
      <c r="O10" s="279" t="s">
        <v>740</v>
      </c>
      <c r="P10" s="276"/>
      <c r="Q10" s="272" t="s">
        <v>110</v>
      </c>
      <c r="R10" s="1389" t="s">
        <v>931</v>
      </c>
      <c r="S10" s="274" t="s">
        <v>820</v>
      </c>
      <c r="T10" s="1390" t="s">
        <v>933</v>
      </c>
      <c r="U10" s="277"/>
      <c r="V10" s="272" t="s">
        <v>118</v>
      </c>
      <c r="W10" s="1365" t="s">
        <v>808</v>
      </c>
      <c r="X10" s="1371" t="s">
        <v>819</v>
      </c>
      <c r="Y10" s="1366" t="s">
        <v>805</v>
      </c>
      <c r="Z10" s="276"/>
      <c r="AA10" s="272" t="s">
        <v>127</v>
      </c>
      <c r="AB10" s="273" t="s">
        <v>757</v>
      </c>
      <c r="AC10" s="274" t="s">
        <v>821</v>
      </c>
      <c r="AD10" s="279" t="s">
        <v>760</v>
      </c>
      <c r="AE10" s="276"/>
      <c r="AF10" s="272" t="s">
        <v>136</v>
      </c>
      <c r="AG10" s="273" t="s">
        <v>547</v>
      </c>
      <c r="AH10" s="274" t="s">
        <v>513</v>
      </c>
      <c r="AI10" s="279" t="s">
        <v>548</v>
      </c>
      <c r="AJ10" s="276"/>
      <c r="AK10" s="272" t="s">
        <v>142</v>
      </c>
      <c r="AL10" s="273" t="s">
        <v>594</v>
      </c>
      <c r="AM10" s="274" t="s">
        <v>576</v>
      </c>
      <c r="AN10" s="279" t="s">
        <v>591</v>
      </c>
      <c r="AO10" s="276"/>
      <c r="AP10" s="272" t="s">
        <v>151</v>
      </c>
      <c r="AQ10" s="278" t="s">
        <v>632</v>
      </c>
      <c r="AR10" s="274" t="s">
        <v>822</v>
      </c>
      <c r="AS10" s="279" t="s">
        <v>634</v>
      </c>
      <c r="AT10" s="276"/>
      <c r="AU10" s="272"/>
      <c r="AV10" s="273"/>
      <c r="AW10" s="274"/>
      <c r="AX10" s="279"/>
      <c r="AZ10" s="341"/>
      <c r="BA10" s="273"/>
      <c r="BB10" s="342"/>
      <c r="BC10" s="279"/>
    </row>
    <row r="11" spans="1:55" ht="15.6" x14ac:dyDescent="0.3">
      <c r="A11" s="140"/>
      <c r="B11" s="269">
        <v>50</v>
      </c>
      <c r="C11" s="270">
        <f t="shared" si="0"/>
        <v>3</v>
      </c>
      <c r="D11" s="270" t="str">
        <f t="shared" si="1"/>
        <v xml:space="preserve">75m </v>
      </c>
      <c r="E11" s="271"/>
      <c r="F11" s="118"/>
      <c r="G11" s="272" t="s">
        <v>100</v>
      </c>
      <c r="H11" s="278" t="s">
        <v>691</v>
      </c>
      <c r="I11" s="274" t="s">
        <v>818</v>
      </c>
      <c r="J11" s="279" t="s">
        <v>687</v>
      </c>
      <c r="K11" s="276"/>
      <c r="L11" s="272" t="s">
        <v>130</v>
      </c>
      <c r="M11" s="278" t="s">
        <v>741</v>
      </c>
      <c r="N11" s="274" t="s">
        <v>726</v>
      </c>
      <c r="O11" s="279" t="s">
        <v>737</v>
      </c>
      <c r="P11" s="276"/>
      <c r="Q11" s="272" t="s">
        <v>110</v>
      </c>
      <c r="R11" s="1390" t="s">
        <v>929</v>
      </c>
      <c r="S11" s="274" t="s">
        <v>820</v>
      </c>
      <c r="T11" s="1390" t="s">
        <v>934</v>
      </c>
      <c r="U11" s="277"/>
      <c r="V11" s="272" t="s">
        <v>118</v>
      </c>
      <c r="W11" s="1365" t="s">
        <v>809</v>
      </c>
      <c r="X11" s="1371" t="s">
        <v>819</v>
      </c>
      <c r="Y11" s="1365" t="s">
        <v>810</v>
      </c>
      <c r="Z11" s="276"/>
      <c r="AA11" s="272" t="s">
        <v>127</v>
      </c>
      <c r="AB11" s="278" t="s">
        <v>756</v>
      </c>
      <c r="AC11" s="274" t="s">
        <v>821</v>
      </c>
      <c r="AD11" s="279" t="s">
        <v>761</v>
      </c>
      <c r="AE11" s="276"/>
      <c r="AF11" s="272" t="s">
        <v>136</v>
      </c>
      <c r="AG11" s="278" t="s">
        <v>544</v>
      </c>
      <c r="AH11" s="274" t="s">
        <v>513</v>
      </c>
      <c r="AI11" s="279" t="s">
        <v>548</v>
      </c>
      <c r="AJ11" s="276"/>
      <c r="AK11" s="272" t="s">
        <v>142</v>
      </c>
      <c r="AL11" s="278" t="s">
        <v>594</v>
      </c>
      <c r="AM11" s="274" t="s">
        <v>576</v>
      </c>
      <c r="AN11" s="279" t="s">
        <v>591</v>
      </c>
      <c r="AO11" s="276"/>
      <c r="AP11" s="272" t="s">
        <v>151</v>
      </c>
      <c r="AQ11" s="278" t="s">
        <v>632</v>
      </c>
      <c r="AR11" s="274" t="s">
        <v>822</v>
      </c>
      <c r="AS11" s="279" t="s">
        <v>630</v>
      </c>
      <c r="AT11" s="276"/>
      <c r="AU11" s="272"/>
      <c r="AV11" s="278"/>
      <c r="AW11" s="274"/>
      <c r="AX11" s="279"/>
      <c r="AZ11" s="341"/>
      <c r="BA11" s="278"/>
      <c r="BB11" s="342"/>
      <c r="BC11" s="279"/>
    </row>
    <row r="12" spans="1:55" ht="15.6" x14ac:dyDescent="0.3">
      <c r="A12" s="140"/>
      <c r="B12" s="269">
        <v>51</v>
      </c>
      <c r="C12" s="270">
        <f t="shared" si="0"/>
        <v>3.4</v>
      </c>
      <c r="D12" s="270" t="str">
        <f t="shared" si="1"/>
        <v xml:space="preserve">150m </v>
      </c>
      <c r="E12" s="271"/>
      <c r="F12" s="118"/>
      <c r="G12" s="272" t="s">
        <v>100</v>
      </c>
      <c r="H12" s="278" t="s">
        <v>693</v>
      </c>
      <c r="I12" s="274" t="s">
        <v>818</v>
      </c>
      <c r="J12" s="279" t="s">
        <v>692</v>
      </c>
      <c r="K12" s="276"/>
      <c r="L12" s="272" t="s">
        <v>130</v>
      </c>
      <c r="M12" s="278" t="s">
        <v>740</v>
      </c>
      <c r="N12" s="274" t="s">
        <v>726</v>
      </c>
      <c r="O12" s="279" t="s">
        <v>739</v>
      </c>
      <c r="P12" s="276"/>
      <c r="Q12" s="272" t="s">
        <v>110</v>
      </c>
      <c r="R12" s="1389" t="s">
        <v>929</v>
      </c>
      <c r="S12" s="274" t="s">
        <v>820</v>
      </c>
      <c r="T12" s="1390" t="s">
        <v>930</v>
      </c>
      <c r="U12" s="277"/>
      <c r="V12" s="272" t="s">
        <v>118</v>
      </c>
      <c r="W12" s="1365" t="s">
        <v>808</v>
      </c>
      <c r="X12" s="1371" t="s">
        <v>819</v>
      </c>
      <c r="Y12" s="1366" t="s">
        <v>811</v>
      </c>
      <c r="Z12" s="276"/>
      <c r="AA12" s="272" t="s">
        <v>127</v>
      </c>
      <c r="AB12" s="278" t="s">
        <v>757</v>
      </c>
      <c r="AC12" s="274" t="s">
        <v>821</v>
      </c>
      <c r="AD12" s="279" t="s">
        <v>760</v>
      </c>
      <c r="AE12" s="276"/>
      <c r="AF12" s="272" t="s">
        <v>136</v>
      </c>
      <c r="AG12" s="278" t="s">
        <v>547</v>
      </c>
      <c r="AH12" s="274" t="s">
        <v>513</v>
      </c>
      <c r="AI12" s="279" t="s">
        <v>546</v>
      </c>
      <c r="AJ12" s="276"/>
      <c r="AK12" s="272" t="s">
        <v>142</v>
      </c>
      <c r="AL12" s="278" t="s">
        <v>595</v>
      </c>
      <c r="AM12" s="274" t="s">
        <v>576</v>
      </c>
      <c r="AN12" s="279" t="s">
        <v>593</v>
      </c>
      <c r="AO12" s="276"/>
      <c r="AP12" s="272" t="s">
        <v>151</v>
      </c>
      <c r="AQ12" s="278" t="s">
        <v>631</v>
      </c>
      <c r="AR12" s="274" t="s">
        <v>822</v>
      </c>
      <c r="AS12" s="279" t="s">
        <v>634</v>
      </c>
      <c r="AT12" s="276"/>
      <c r="AU12" s="269"/>
      <c r="AV12" s="278"/>
      <c r="AW12" s="281"/>
      <c r="AX12" s="279"/>
      <c r="AZ12" s="269">
        <f>$B12</f>
        <v>51</v>
      </c>
      <c r="BA12" s="278" t="str">
        <f>CONCATENATE(LEFT(BA$3,3),$B12,LEFT(BA$6,1))</f>
        <v>51A</v>
      </c>
      <c r="BB12" s="281">
        <f>$B12</f>
        <v>51</v>
      </c>
      <c r="BC12" s="279" t="str">
        <f>CONCATENATE(LEFT(BA$3,3),$B12,LEFT(BC$6,1))</f>
        <v>51B</v>
      </c>
    </row>
    <row r="13" spans="1:55" ht="15.6" x14ac:dyDescent="0.3">
      <c r="A13" s="140"/>
      <c r="B13" s="269">
        <v>81</v>
      </c>
      <c r="C13" s="270">
        <f t="shared" si="0"/>
        <v>4.4000000000000004</v>
      </c>
      <c r="D13" s="270" t="str">
        <f t="shared" si="1"/>
        <v xml:space="preserve">4 x 100m  </v>
      </c>
      <c r="E13" s="271"/>
      <c r="F13" s="118"/>
      <c r="G13" s="272"/>
      <c r="H13" s="278" t="str">
        <f>H$3</f>
        <v>BRAT</v>
      </c>
      <c r="I13" s="274"/>
      <c r="J13" s="279"/>
      <c r="K13" s="276"/>
      <c r="L13" s="272"/>
      <c r="M13" s="278" t="str">
        <f>M$3</f>
        <v>Kidder &amp; Stourport</v>
      </c>
      <c r="N13" s="274"/>
      <c r="O13" s="279"/>
      <c r="P13" s="276"/>
      <c r="Q13" s="272"/>
      <c r="R13" s="278" t="str">
        <f>R$3</f>
        <v>Royal Sutton</v>
      </c>
      <c r="S13" s="274"/>
      <c r="T13" s="279"/>
      <c r="U13" s="277"/>
      <c r="V13" s="272"/>
      <c r="W13" s="278" t="str">
        <f>W$3</f>
        <v>Rugby &amp; N'hampton</v>
      </c>
      <c r="X13" s="274"/>
      <c r="Y13" s="279"/>
      <c r="Z13" s="276"/>
      <c r="AA13" s="272"/>
      <c r="AB13" s="278" t="str">
        <f>AB$3</f>
        <v>Solihull &amp; S.Heath</v>
      </c>
      <c r="AC13" s="274"/>
      <c r="AD13" s="279"/>
      <c r="AE13" s="276"/>
      <c r="AF13" s="272"/>
      <c r="AG13" s="278" t="str">
        <f>AG$3</f>
        <v>Stratford</v>
      </c>
      <c r="AH13" s="274"/>
      <c r="AI13" s="279"/>
      <c r="AJ13" s="276"/>
      <c r="AK13" s="272"/>
      <c r="AL13" s="278" t="str">
        <f>AL$3</f>
        <v>Tamworth</v>
      </c>
      <c r="AM13" s="274"/>
      <c r="AN13" s="279"/>
      <c r="AO13" s="276"/>
      <c r="AP13" s="272"/>
      <c r="AQ13" s="278" t="str">
        <f>AQ$3</f>
        <v>Worcester</v>
      </c>
      <c r="AR13" s="274"/>
      <c r="AS13" s="279"/>
      <c r="AT13" s="276"/>
      <c r="AU13" s="272"/>
      <c r="AV13" s="278">
        <f>AV$3</f>
        <v>0</v>
      </c>
      <c r="AW13" s="274"/>
      <c r="AX13" s="279"/>
      <c r="AZ13" s="341"/>
      <c r="BA13" s="278">
        <f>BA$3</f>
        <v>0</v>
      </c>
      <c r="BB13" s="342"/>
      <c r="BC13" s="279"/>
    </row>
    <row r="14" spans="1:55" ht="15.6" x14ac:dyDescent="0.3">
      <c r="A14" s="140"/>
      <c r="B14" s="269" t="str">
        <f>B13&amp;"R"</f>
        <v>81R</v>
      </c>
      <c r="C14" s="270"/>
      <c r="D14" s="270"/>
      <c r="E14" s="271"/>
      <c r="F14" s="118"/>
      <c r="G14" s="304">
        <v>1</v>
      </c>
      <c r="H14" s="273" t="s">
        <v>691</v>
      </c>
      <c r="I14" s="305">
        <v>2</v>
      </c>
      <c r="J14" s="279" t="s">
        <v>692</v>
      </c>
      <c r="K14" s="276"/>
      <c r="L14" s="304">
        <v>1</v>
      </c>
      <c r="M14" s="273" t="s">
        <v>739</v>
      </c>
      <c r="N14" s="305">
        <v>2</v>
      </c>
      <c r="O14" s="279" t="s">
        <v>741</v>
      </c>
      <c r="P14" s="276"/>
      <c r="Q14" s="1399">
        <v>1</v>
      </c>
      <c r="R14" s="1389" t="s">
        <v>931</v>
      </c>
      <c r="S14" s="1398">
        <v>2</v>
      </c>
      <c r="T14" s="1390" t="s">
        <v>933</v>
      </c>
      <c r="U14" s="277"/>
      <c r="V14" s="304">
        <v>1</v>
      </c>
      <c r="W14" s="1365" t="s">
        <v>810</v>
      </c>
      <c r="X14" s="1367">
        <v>2</v>
      </c>
      <c r="Y14" s="1365" t="s">
        <v>1098</v>
      </c>
      <c r="Z14" s="276"/>
      <c r="AA14" s="304">
        <v>1</v>
      </c>
      <c r="AB14" s="273" t="s">
        <v>757</v>
      </c>
      <c r="AC14" s="305">
        <v>2</v>
      </c>
      <c r="AD14" s="279" t="s">
        <v>760</v>
      </c>
      <c r="AE14" s="276"/>
      <c r="AF14" s="304">
        <v>1</v>
      </c>
      <c r="AG14" s="273" t="s">
        <v>544</v>
      </c>
      <c r="AH14" s="305">
        <v>2</v>
      </c>
      <c r="AI14" s="279" t="s">
        <v>547</v>
      </c>
      <c r="AJ14" s="276"/>
      <c r="AK14" s="304">
        <v>1</v>
      </c>
      <c r="AL14" s="273" t="s">
        <v>592</v>
      </c>
      <c r="AM14" s="305">
        <v>2</v>
      </c>
      <c r="AN14" s="279" t="s">
        <v>594</v>
      </c>
      <c r="AO14" s="276"/>
      <c r="AP14" s="304">
        <v>1</v>
      </c>
      <c r="AQ14" s="278" t="s">
        <v>633</v>
      </c>
      <c r="AR14" s="305">
        <v>2</v>
      </c>
      <c r="AS14" s="279" t="s">
        <v>632</v>
      </c>
      <c r="AT14" s="276"/>
      <c r="AU14" s="304">
        <v>1</v>
      </c>
      <c r="AV14" s="273"/>
      <c r="AW14" s="305">
        <v>2</v>
      </c>
      <c r="AX14" s="279"/>
      <c r="AZ14" s="343">
        <v>1</v>
      </c>
      <c r="BA14" s="273"/>
      <c r="BB14" s="344">
        <v>2</v>
      </c>
      <c r="BC14" s="279" t="str">
        <f>CONCATENATE(LEFT(BC$3,3),$B14,LEFT(BC$6,1))</f>
        <v>81RB</v>
      </c>
    </row>
    <row r="15" spans="1:55" ht="15.6" x14ac:dyDescent="0.3">
      <c r="A15" s="140"/>
      <c r="B15" s="269" t="str">
        <f>B13&amp;"S"</f>
        <v>81S</v>
      </c>
      <c r="C15" s="270"/>
      <c r="D15" s="270"/>
      <c r="E15" s="271"/>
      <c r="F15" s="118"/>
      <c r="G15" s="304">
        <v>3</v>
      </c>
      <c r="H15" s="278" t="s">
        <v>687</v>
      </c>
      <c r="I15" s="305">
        <v>4</v>
      </c>
      <c r="J15" s="279" t="s">
        <v>689</v>
      </c>
      <c r="K15" s="276"/>
      <c r="L15" s="304">
        <v>3</v>
      </c>
      <c r="M15" s="278" t="s">
        <v>740</v>
      </c>
      <c r="N15" s="305">
        <v>4</v>
      </c>
      <c r="O15" s="279" t="s">
        <v>738</v>
      </c>
      <c r="P15" s="276"/>
      <c r="Q15" s="1399">
        <v>3</v>
      </c>
      <c r="R15" s="1389" t="s">
        <v>930</v>
      </c>
      <c r="S15" s="1398">
        <v>4</v>
      </c>
      <c r="T15" s="1390" t="s">
        <v>929</v>
      </c>
      <c r="U15" s="277"/>
      <c r="V15" s="304">
        <v>3</v>
      </c>
      <c r="W15" s="1366" t="s">
        <v>811</v>
      </c>
      <c r="X15" s="1367">
        <v>4</v>
      </c>
      <c r="Y15" s="1365" t="s">
        <v>809</v>
      </c>
      <c r="Z15" s="276"/>
      <c r="AA15" s="304">
        <v>3</v>
      </c>
      <c r="AB15" s="278" t="s">
        <v>756</v>
      </c>
      <c r="AC15" s="305">
        <v>4</v>
      </c>
      <c r="AD15" s="279" t="s">
        <v>761</v>
      </c>
      <c r="AE15" s="276"/>
      <c r="AF15" s="304">
        <v>3</v>
      </c>
      <c r="AG15" s="278" t="s">
        <v>545</v>
      </c>
      <c r="AH15" s="305">
        <v>4</v>
      </c>
      <c r="AI15" s="279" t="s">
        <v>548</v>
      </c>
      <c r="AJ15" s="276"/>
      <c r="AK15" s="304">
        <v>3</v>
      </c>
      <c r="AL15" s="278" t="s">
        <v>593</v>
      </c>
      <c r="AM15" s="305">
        <v>4</v>
      </c>
      <c r="AN15" s="279" t="s">
        <v>595</v>
      </c>
      <c r="AO15" s="276"/>
      <c r="AP15" s="304">
        <v>3</v>
      </c>
      <c r="AQ15" s="278" t="s">
        <v>634</v>
      </c>
      <c r="AR15" s="305">
        <v>4</v>
      </c>
      <c r="AS15" s="279" t="s">
        <v>630</v>
      </c>
      <c r="AT15" s="276"/>
      <c r="AU15" s="304">
        <v>3</v>
      </c>
      <c r="AV15" s="278"/>
      <c r="AW15" s="305">
        <v>4</v>
      </c>
      <c r="AX15" s="279"/>
      <c r="AZ15" s="343">
        <v>3</v>
      </c>
      <c r="BA15" s="278"/>
      <c r="BB15" s="344">
        <v>4</v>
      </c>
      <c r="BC15" s="279" t="str">
        <f>CONCATENATE(LEFT(BC$3,3),$B15,LEFT(BC$6,1))</f>
        <v>81SB</v>
      </c>
    </row>
    <row r="16" spans="1:55" ht="16.2" thickBot="1" x14ac:dyDescent="0.35">
      <c r="A16" s="140"/>
      <c r="B16" s="16"/>
      <c r="C16" s="221" t="s">
        <v>237</v>
      </c>
      <c r="D16" s="222" t="s">
        <v>237</v>
      </c>
      <c r="E16" s="224"/>
      <c r="F16" s="118"/>
      <c r="G16" s="306"/>
      <c r="H16" s="276"/>
      <c r="I16" s="307"/>
      <c r="J16" s="280"/>
      <c r="K16" s="276"/>
      <c r="L16" s="306"/>
      <c r="M16" s="276"/>
      <c r="N16" s="307"/>
      <c r="O16" s="280"/>
      <c r="P16" s="276"/>
      <c r="Q16" s="306"/>
      <c r="R16" s="276"/>
      <c r="S16" s="307"/>
      <c r="T16" s="280"/>
      <c r="U16" s="277"/>
      <c r="V16" s="306"/>
      <c r="W16" s="276"/>
      <c r="X16" s="307"/>
      <c r="Y16" s="280"/>
      <c r="Z16" s="276"/>
      <c r="AA16" s="306"/>
      <c r="AB16" s="276"/>
      <c r="AC16" s="307"/>
      <c r="AD16" s="280"/>
      <c r="AE16" s="276"/>
      <c r="AF16" s="306"/>
      <c r="AG16" s="276"/>
      <c r="AH16" s="307"/>
      <c r="AI16" s="280"/>
      <c r="AJ16" s="276"/>
      <c r="AK16" s="306"/>
      <c r="AL16" s="276"/>
      <c r="AM16" s="307"/>
      <c r="AN16" s="280"/>
      <c r="AO16" s="276"/>
      <c r="AP16" s="306"/>
      <c r="AQ16" s="276"/>
      <c r="AR16" s="307"/>
      <c r="AS16" s="280"/>
      <c r="AT16" s="276"/>
      <c r="AU16" s="306"/>
      <c r="AV16" s="276"/>
      <c r="AW16" s="307"/>
      <c r="AX16" s="280"/>
      <c r="AZ16" s="16"/>
      <c r="BB16" s="32"/>
      <c r="BC16" s="280"/>
    </row>
    <row r="17" spans="1:55" ht="16.2" thickBot="1" x14ac:dyDescent="0.35">
      <c r="A17" s="140"/>
      <c r="B17" s="286" t="s">
        <v>165</v>
      </c>
      <c r="C17" s="287" t="s">
        <v>168</v>
      </c>
      <c r="D17" s="288" t="s">
        <v>241</v>
      </c>
      <c r="E17" s="289"/>
      <c r="F17" s="118"/>
      <c r="G17" s="290" t="s">
        <v>167</v>
      </c>
      <c r="H17" s="291" t="s">
        <v>242</v>
      </c>
      <c r="I17" s="291" t="s">
        <v>167</v>
      </c>
      <c r="J17" s="292" t="s">
        <v>243</v>
      </c>
      <c r="K17" s="276"/>
      <c r="L17" s="290" t="s">
        <v>167</v>
      </c>
      <c r="M17" s="291" t="s">
        <v>242</v>
      </c>
      <c r="N17" s="291" t="s">
        <v>167</v>
      </c>
      <c r="O17" s="292" t="s">
        <v>243</v>
      </c>
      <c r="P17" s="276"/>
      <c r="Q17" s="290" t="s">
        <v>167</v>
      </c>
      <c r="R17" s="291" t="s">
        <v>242</v>
      </c>
      <c r="S17" s="291" t="s">
        <v>167</v>
      </c>
      <c r="T17" s="292" t="s">
        <v>243</v>
      </c>
      <c r="U17" s="277"/>
      <c r="V17" s="290" t="s">
        <v>167</v>
      </c>
      <c r="W17" s="291" t="s">
        <v>242</v>
      </c>
      <c r="X17" s="291" t="s">
        <v>167</v>
      </c>
      <c r="Y17" s="292" t="s">
        <v>243</v>
      </c>
      <c r="Z17" s="276"/>
      <c r="AA17" s="290" t="s">
        <v>167</v>
      </c>
      <c r="AB17" s="291" t="s">
        <v>242</v>
      </c>
      <c r="AC17" s="291" t="s">
        <v>167</v>
      </c>
      <c r="AD17" s="292" t="s">
        <v>243</v>
      </c>
      <c r="AE17" s="276"/>
      <c r="AF17" s="290" t="s">
        <v>167</v>
      </c>
      <c r="AG17" s="291" t="s">
        <v>242</v>
      </c>
      <c r="AH17" s="291" t="s">
        <v>167</v>
      </c>
      <c r="AI17" s="292" t="s">
        <v>243</v>
      </c>
      <c r="AJ17" s="276"/>
      <c r="AK17" s="290" t="s">
        <v>167</v>
      </c>
      <c r="AL17" s="291" t="s">
        <v>242</v>
      </c>
      <c r="AM17" s="291" t="s">
        <v>167</v>
      </c>
      <c r="AN17" s="292" t="s">
        <v>243</v>
      </c>
      <c r="AO17" s="276"/>
      <c r="AP17" s="290" t="s">
        <v>167</v>
      </c>
      <c r="AQ17" s="291" t="s">
        <v>242</v>
      </c>
      <c r="AR17" s="291" t="s">
        <v>167</v>
      </c>
      <c r="AS17" s="292" t="s">
        <v>243</v>
      </c>
      <c r="AT17" s="276"/>
      <c r="AU17" s="290" t="s">
        <v>167</v>
      </c>
      <c r="AV17" s="291" t="s">
        <v>242</v>
      </c>
      <c r="AW17" s="291" t="s">
        <v>167</v>
      </c>
      <c r="AX17" s="292" t="s">
        <v>243</v>
      </c>
      <c r="AZ17" s="286" t="s">
        <v>167</v>
      </c>
      <c r="BA17" s="287" t="s">
        <v>242</v>
      </c>
      <c r="BB17" s="287" t="s">
        <v>167</v>
      </c>
      <c r="BC17" s="338" t="s">
        <v>243</v>
      </c>
    </row>
    <row r="18" spans="1:55" ht="16.2" thickBot="1" x14ac:dyDescent="0.35">
      <c r="A18" s="140"/>
      <c r="B18" s="294"/>
      <c r="C18" s="295"/>
      <c r="D18" s="296" t="s">
        <v>484</v>
      </c>
      <c r="E18" s="297"/>
      <c r="F18" s="143"/>
      <c r="G18" s="298"/>
      <c r="H18" s="299"/>
      <c r="I18" s="300"/>
      <c r="J18" s="301"/>
      <c r="K18" s="302"/>
      <c r="L18" s="298"/>
      <c r="M18" s="299"/>
      <c r="N18" s="300"/>
      <c r="O18" s="301"/>
      <c r="P18" s="302"/>
      <c r="Q18" s="298"/>
      <c r="R18" s="299"/>
      <c r="S18" s="300"/>
      <c r="T18" s="301"/>
      <c r="U18" s="308"/>
      <c r="V18" s="298"/>
      <c r="W18" s="299"/>
      <c r="X18" s="300"/>
      <c r="Y18" s="301"/>
      <c r="Z18" s="302"/>
      <c r="AA18" s="298"/>
      <c r="AB18" s="299"/>
      <c r="AC18" s="300"/>
      <c r="AD18" s="301"/>
      <c r="AE18" s="302"/>
      <c r="AF18" s="298"/>
      <c r="AG18" s="299"/>
      <c r="AH18" s="300"/>
      <c r="AI18" s="301"/>
      <c r="AJ18" s="302"/>
      <c r="AK18" s="298"/>
      <c r="AL18" s="299"/>
      <c r="AM18" s="300"/>
      <c r="AN18" s="301"/>
      <c r="AO18" s="302"/>
      <c r="AP18" s="298"/>
      <c r="AQ18" s="299"/>
      <c r="AR18" s="300"/>
      <c r="AS18" s="301"/>
      <c r="AT18" s="302"/>
      <c r="AU18" s="298"/>
      <c r="AV18" s="299"/>
      <c r="AW18" s="300"/>
      <c r="AX18" s="301"/>
      <c r="AY18" s="140"/>
      <c r="AZ18" s="294"/>
      <c r="BA18" s="322"/>
      <c r="BB18" s="295"/>
      <c r="BC18" s="301"/>
    </row>
    <row r="19" spans="1:55" ht="16.2" thickBot="1" x14ac:dyDescent="0.35">
      <c r="A19" s="140"/>
      <c r="B19" s="269">
        <v>2</v>
      </c>
      <c r="C19" s="270">
        <f t="shared" ref="C19:C24" si="2">IF($B19&gt;0,VLOOKUP($B19,EventsOrder,2,FALSE)," ")</f>
        <v>11</v>
      </c>
      <c r="D19" s="270" t="str">
        <f t="shared" ref="D19:D24" si="3">IF($B19&gt;0,VLOOKUP($B19,EventsOrder,6,FALSE)," ")</f>
        <v xml:space="preserve">1500m </v>
      </c>
      <c r="E19" s="271"/>
      <c r="F19" s="118"/>
      <c r="G19" s="272" t="s">
        <v>100</v>
      </c>
      <c r="H19" s="278" t="s">
        <v>694</v>
      </c>
      <c r="I19" s="274" t="s">
        <v>818</v>
      </c>
      <c r="J19" s="279" t="s">
        <v>695</v>
      </c>
      <c r="K19" s="276"/>
      <c r="L19" s="272" t="s">
        <v>130</v>
      </c>
      <c r="M19" s="278" t="s">
        <v>742</v>
      </c>
      <c r="N19" s="274" t="s">
        <v>726</v>
      </c>
      <c r="O19" s="279" t="s">
        <v>743</v>
      </c>
      <c r="P19" s="276"/>
      <c r="Q19" s="272" t="s">
        <v>110</v>
      </c>
      <c r="R19" s="1389" t="s">
        <v>935</v>
      </c>
      <c r="S19" s="274" t="s">
        <v>820</v>
      </c>
      <c r="T19" s="1390" t="s">
        <v>941</v>
      </c>
      <c r="U19" s="277"/>
      <c r="V19" s="272" t="s">
        <v>118</v>
      </c>
      <c r="W19" s="1381" t="s">
        <v>856</v>
      </c>
      <c r="X19" s="274" t="s">
        <v>819</v>
      </c>
      <c r="Y19" s="1381" t="s">
        <v>863</v>
      </c>
      <c r="Z19" s="276"/>
      <c r="AA19" s="272" t="s">
        <v>127</v>
      </c>
      <c r="AB19" s="278" t="s">
        <v>762</v>
      </c>
      <c r="AC19" s="274"/>
      <c r="AD19" s="279"/>
      <c r="AE19" s="276"/>
      <c r="AF19" s="272" t="s">
        <v>136</v>
      </c>
      <c r="AG19" s="278" t="s">
        <v>549</v>
      </c>
      <c r="AH19" s="274" t="s">
        <v>513</v>
      </c>
      <c r="AI19" s="279" t="s">
        <v>550</v>
      </c>
      <c r="AJ19" s="276"/>
      <c r="AK19" s="272" t="s">
        <v>142</v>
      </c>
      <c r="AL19" s="278" t="s">
        <v>596</v>
      </c>
      <c r="AM19" s="274" t="s">
        <v>576</v>
      </c>
      <c r="AN19" s="279" t="s">
        <v>597</v>
      </c>
      <c r="AO19" s="276"/>
      <c r="AP19" s="272" t="s">
        <v>151</v>
      </c>
      <c r="AQ19" s="278" t="s">
        <v>635</v>
      </c>
      <c r="AR19" s="274" t="s">
        <v>822</v>
      </c>
      <c r="AS19" s="279" t="s">
        <v>639</v>
      </c>
      <c r="AT19" s="276"/>
      <c r="AU19" s="272"/>
      <c r="AV19" s="278"/>
      <c r="AW19" s="274"/>
      <c r="AX19" s="279"/>
      <c r="AZ19" s="341"/>
      <c r="BA19" s="278" t="str">
        <f t="shared" ref="BA19:BA28" si="4">CONCATENATE(LEFT(BA$3,3),$B19,LEFT(BA$6,1))</f>
        <v>2A</v>
      </c>
      <c r="BB19" s="342"/>
      <c r="BC19" s="279" t="str">
        <f>CONCATENATE(LEFT(BA$3,3),$B19,LEFT(BC$6,1))</f>
        <v>2B</v>
      </c>
    </row>
    <row r="20" spans="1:55" ht="16.2" thickBot="1" x14ac:dyDescent="0.35">
      <c r="A20" s="140"/>
      <c r="B20" s="269">
        <v>8</v>
      </c>
      <c r="C20" s="270">
        <f t="shared" si="2"/>
        <v>11.3</v>
      </c>
      <c r="D20" s="270" t="str">
        <f t="shared" si="3"/>
        <v xml:space="preserve">75m hurdles </v>
      </c>
      <c r="E20" s="271"/>
      <c r="F20" s="118"/>
      <c r="G20" s="272" t="s">
        <v>100</v>
      </c>
      <c r="H20" s="278" t="s">
        <v>696</v>
      </c>
      <c r="I20" s="274" t="s">
        <v>818</v>
      </c>
      <c r="J20" s="279" t="s">
        <v>697</v>
      </c>
      <c r="K20" s="276"/>
      <c r="L20" s="272" t="s">
        <v>130</v>
      </c>
      <c r="M20" s="278" t="s">
        <v>744</v>
      </c>
      <c r="N20" s="274" t="s">
        <v>726</v>
      </c>
      <c r="O20" s="279" t="s">
        <v>743</v>
      </c>
      <c r="P20" s="276"/>
      <c r="Q20" s="272" t="s">
        <v>110</v>
      </c>
      <c r="R20" s="1389" t="s">
        <v>936</v>
      </c>
      <c r="S20" s="274" t="s">
        <v>820</v>
      </c>
      <c r="T20" s="279"/>
      <c r="U20" s="277"/>
      <c r="V20" s="272" t="s">
        <v>118</v>
      </c>
      <c r="W20" s="1382" t="s">
        <v>857</v>
      </c>
      <c r="X20" s="274" t="s">
        <v>819</v>
      </c>
      <c r="Y20" s="1382" t="s">
        <v>864</v>
      </c>
      <c r="Z20" s="276"/>
      <c r="AA20" s="272" t="s">
        <v>127</v>
      </c>
      <c r="AB20" s="278" t="s">
        <v>763</v>
      </c>
      <c r="AC20" s="274"/>
      <c r="AD20" s="279"/>
      <c r="AE20" s="276"/>
      <c r="AF20" s="272" t="s">
        <v>136</v>
      </c>
      <c r="AG20" s="278" t="s">
        <v>551</v>
      </c>
      <c r="AH20" s="274" t="s">
        <v>513</v>
      </c>
      <c r="AI20" s="279" t="s">
        <v>552</v>
      </c>
      <c r="AJ20" s="276"/>
      <c r="AK20" s="272" t="s">
        <v>142</v>
      </c>
      <c r="AL20" s="278" t="s">
        <v>598</v>
      </c>
      <c r="AM20" s="274" t="s">
        <v>576</v>
      </c>
      <c r="AN20" s="279" t="s">
        <v>599</v>
      </c>
      <c r="AO20" s="276"/>
      <c r="AP20" s="272" t="s">
        <v>151</v>
      </c>
      <c r="AQ20" s="278" t="s">
        <v>636</v>
      </c>
      <c r="AR20" s="274" t="s">
        <v>822</v>
      </c>
      <c r="AS20" s="279" t="s">
        <v>640</v>
      </c>
      <c r="AT20" s="276"/>
      <c r="AU20" s="272"/>
      <c r="AV20" s="278"/>
      <c r="AW20" s="274"/>
      <c r="AX20" s="279"/>
      <c r="AZ20" s="341"/>
      <c r="BA20" s="278" t="str">
        <f t="shared" si="4"/>
        <v>8A</v>
      </c>
      <c r="BB20" s="342"/>
      <c r="BC20" s="279" t="str">
        <f>CONCATENATE(LEFT(BA$3,3),$B20,LEFT(BC$6,1))</f>
        <v>8B</v>
      </c>
    </row>
    <row r="21" spans="1:55" ht="16.2" thickBot="1" x14ac:dyDescent="0.35">
      <c r="A21" s="140"/>
      <c r="B21" s="269">
        <v>25</v>
      </c>
      <c r="C21" s="270">
        <f t="shared" si="2"/>
        <v>12.4</v>
      </c>
      <c r="D21" s="270" t="str">
        <f t="shared" si="3"/>
        <v xml:space="preserve">800m </v>
      </c>
      <c r="E21" s="271"/>
      <c r="F21" s="118"/>
      <c r="G21" s="272" t="s">
        <v>100</v>
      </c>
      <c r="H21" s="273" t="s">
        <v>698</v>
      </c>
      <c r="I21" s="274" t="s">
        <v>818</v>
      </c>
      <c r="J21" s="279" t="s">
        <v>1045</v>
      </c>
      <c r="K21" s="276"/>
      <c r="L21" s="272" t="s">
        <v>130</v>
      </c>
      <c r="M21" s="273" t="s">
        <v>745</v>
      </c>
      <c r="N21" s="274" t="s">
        <v>726</v>
      </c>
      <c r="O21" s="279" t="s">
        <v>746</v>
      </c>
      <c r="P21" s="276"/>
      <c r="Q21" s="272" t="s">
        <v>110</v>
      </c>
      <c r="R21" s="1389" t="s">
        <v>937</v>
      </c>
      <c r="S21" s="274" t="s">
        <v>820</v>
      </c>
      <c r="T21" s="1389" t="s">
        <v>942</v>
      </c>
      <c r="U21" s="277"/>
      <c r="V21" s="272" t="s">
        <v>118</v>
      </c>
      <c r="W21" s="1382" t="s">
        <v>858</v>
      </c>
      <c r="X21" s="274" t="s">
        <v>819</v>
      </c>
      <c r="Y21" s="1382" t="s">
        <v>894</v>
      </c>
      <c r="Z21" s="276"/>
      <c r="AA21" s="272" t="s">
        <v>127</v>
      </c>
      <c r="AB21" s="273" t="s">
        <v>764</v>
      </c>
      <c r="AC21" s="274" t="s">
        <v>821</v>
      </c>
      <c r="AD21" s="279" t="s">
        <v>765</v>
      </c>
      <c r="AE21" s="276"/>
      <c r="AF21" s="272" t="s">
        <v>136</v>
      </c>
      <c r="AG21" s="273" t="s">
        <v>553</v>
      </c>
      <c r="AH21" s="274" t="s">
        <v>513</v>
      </c>
      <c r="AI21" s="279" t="s">
        <v>554</v>
      </c>
      <c r="AJ21" s="276"/>
      <c r="AK21" s="272" t="s">
        <v>142</v>
      </c>
      <c r="AL21" s="273" t="s">
        <v>600</v>
      </c>
      <c r="AM21" s="274" t="s">
        <v>576</v>
      </c>
      <c r="AN21" s="279" t="s">
        <v>599</v>
      </c>
      <c r="AO21" s="276"/>
      <c r="AP21" s="272" t="s">
        <v>151</v>
      </c>
      <c r="AQ21" s="278" t="s">
        <v>637</v>
      </c>
      <c r="AR21" s="274" t="s">
        <v>822</v>
      </c>
      <c r="AS21" s="279" t="s">
        <v>641</v>
      </c>
      <c r="AT21" s="276"/>
      <c r="AU21" s="272"/>
      <c r="AV21" s="273"/>
      <c r="AW21" s="274"/>
      <c r="AX21" s="279"/>
      <c r="AZ21" s="341"/>
      <c r="BA21" s="273" t="str">
        <f t="shared" si="4"/>
        <v>25A</v>
      </c>
      <c r="BB21" s="342"/>
      <c r="BC21" s="279" t="str">
        <f>CONCATENATE(LEFT(BA$3,3),$B21,LEFT(BC$6,1))</f>
        <v>25B</v>
      </c>
    </row>
    <row r="22" spans="1:55" ht="16.2" thickBot="1" x14ac:dyDescent="0.35">
      <c r="A22" s="140"/>
      <c r="B22" s="269">
        <v>29</v>
      </c>
      <c r="C22" s="270">
        <f t="shared" si="2"/>
        <v>1.3</v>
      </c>
      <c r="D22" s="270" t="str">
        <f t="shared" si="3"/>
        <v xml:space="preserve">High Jump </v>
      </c>
      <c r="E22" s="271"/>
      <c r="F22" s="118"/>
      <c r="G22" s="272" t="s">
        <v>100</v>
      </c>
      <c r="H22" s="273" t="s">
        <v>699</v>
      </c>
      <c r="I22" s="274" t="s">
        <v>818</v>
      </c>
      <c r="J22" s="279" t="s">
        <v>700</v>
      </c>
      <c r="K22" s="276"/>
      <c r="L22" s="272" t="s">
        <v>130</v>
      </c>
      <c r="M22" s="273" t="s">
        <v>747</v>
      </c>
      <c r="N22" s="274" t="s">
        <v>726</v>
      </c>
      <c r="O22" s="279" t="s">
        <v>745</v>
      </c>
      <c r="P22" s="276"/>
      <c r="Q22" s="272" t="s">
        <v>110</v>
      </c>
      <c r="R22" s="1389" t="s">
        <v>938</v>
      </c>
      <c r="S22" s="274" t="s">
        <v>820</v>
      </c>
      <c r="T22" s="1390" t="s">
        <v>940</v>
      </c>
      <c r="U22" s="277"/>
      <c r="V22" s="272" t="s">
        <v>118</v>
      </c>
      <c r="W22" s="1382" t="s">
        <v>859</v>
      </c>
      <c r="X22" s="274" t="s">
        <v>819</v>
      </c>
      <c r="Y22" s="1382" t="s">
        <v>865</v>
      </c>
      <c r="Z22" s="276"/>
      <c r="AA22" s="272" t="s">
        <v>127</v>
      </c>
      <c r="AB22" s="273" t="s">
        <v>766</v>
      </c>
      <c r="AC22" s="274" t="s">
        <v>821</v>
      </c>
      <c r="AD22" s="279" t="s">
        <v>765</v>
      </c>
      <c r="AE22" s="276"/>
      <c r="AF22" s="272" t="s">
        <v>136</v>
      </c>
      <c r="AG22" s="273" t="s">
        <v>555</v>
      </c>
      <c r="AH22" s="274" t="s">
        <v>513</v>
      </c>
      <c r="AI22" s="279" t="s">
        <v>552</v>
      </c>
      <c r="AJ22" s="276"/>
      <c r="AK22" s="272" t="s">
        <v>142</v>
      </c>
      <c r="AL22" s="273" t="s">
        <v>599</v>
      </c>
      <c r="AM22" s="274" t="s">
        <v>576</v>
      </c>
      <c r="AN22" s="279" t="s">
        <v>601</v>
      </c>
      <c r="AO22" s="276"/>
      <c r="AP22" s="272" t="s">
        <v>151</v>
      </c>
      <c r="AQ22" s="278" t="s">
        <v>637</v>
      </c>
      <c r="AR22" s="274" t="s">
        <v>822</v>
      </c>
      <c r="AS22" s="279" t="s">
        <v>639</v>
      </c>
      <c r="AT22" s="276"/>
      <c r="AU22" s="272"/>
      <c r="AV22" s="273"/>
      <c r="AW22" s="274"/>
      <c r="AX22" s="279"/>
      <c r="AZ22" s="341"/>
      <c r="BA22" s="273" t="str">
        <f t="shared" si="4"/>
        <v>29A</v>
      </c>
      <c r="BB22" s="342"/>
      <c r="BC22" s="279" t="str">
        <f>CONCATENATE(LEFT(BA$3,3),$B22,LEFT(BC$6,1))</f>
        <v>29B</v>
      </c>
    </row>
    <row r="23" spans="1:55" ht="16.2" thickBot="1" x14ac:dyDescent="0.35">
      <c r="A23" s="140"/>
      <c r="B23" s="269">
        <v>36</v>
      </c>
      <c r="C23" s="270">
        <f t="shared" si="2"/>
        <v>1.5</v>
      </c>
      <c r="D23" s="270" t="str">
        <f t="shared" si="3"/>
        <v>Discus Match 2</v>
      </c>
      <c r="E23" s="271"/>
      <c r="F23" s="118"/>
      <c r="G23" s="272"/>
      <c r="H23" s="273"/>
      <c r="I23" s="274"/>
      <c r="J23" s="279"/>
      <c r="K23" s="276"/>
      <c r="L23" s="272"/>
      <c r="M23" s="273"/>
      <c r="N23" s="274"/>
      <c r="O23" s="279"/>
      <c r="P23" s="276"/>
      <c r="Q23" s="272" t="s">
        <v>110</v>
      </c>
      <c r="R23" s="273"/>
      <c r="S23" s="274" t="s">
        <v>820</v>
      </c>
      <c r="T23" s="279"/>
      <c r="U23" s="277"/>
      <c r="V23" s="272" t="s">
        <v>118</v>
      </c>
      <c r="W23" s="1382"/>
      <c r="X23" s="274" t="s">
        <v>819</v>
      </c>
      <c r="Y23" s="1382"/>
      <c r="Z23" s="276"/>
      <c r="AA23" s="272"/>
      <c r="AB23" s="273"/>
      <c r="AC23" s="274"/>
      <c r="AD23" s="279"/>
      <c r="AE23" s="276"/>
      <c r="AF23" s="272"/>
      <c r="AG23" s="273"/>
      <c r="AH23" s="274"/>
      <c r="AI23" s="279"/>
      <c r="AJ23" s="276"/>
      <c r="AK23" s="272"/>
      <c r="AL23" s="273"/>
      <c r="AM23" s="274"/>
      <c r="AN23" s="279"/>
      <c r="AO23" s="276"/>
      <c r="AP23" s="272"/>
      <c r="AQ23" s="273"/>
      <c r="AR23" s="274"/>
      <c r="AS23" s="279"/>
      <c r="AT23" s="276"/>
      <c r="AU23" s="272"/>
      <c r="AV23" s="273"/>
      <c r="AW23" s="274"/>
      <c r="AX23" s="279"/>
      <c r="AZ23" s="341"/>
      <c r="BA23" s="273" t="str">
        <f t="shared" si="4"/>
        <v>36A</v>
      </c>
      <c r="BB23" s="342"/>
      <c r="BC23" s="279" t="str">
        <f t="shared" ref="BC23:BC28" si="5">CONCATENATE(LEFT(BA$3,3),$B23,LEFT(BC$6,1))</f>
        <v>36B</v>
      </c>
    </row>
    <row r="24" spans="1:55" ht="16.2" thickBot="1" x14ac:dyDescent="0.35">
      <c r="A24" s="140"/>
      <c r="B24" s="269">
        <v>39</v>
      </c>
      <c r="C24" s="270">
        <f t="shared" si="2"/>
        <v>2.2000000000000002</v>
      </c>
      <c r="D24" s="270" t="str">
        <f t="shared" si="3"/>
        <v xml:space="preserve">100m </v>
      </c>
      <c r="E24" s="271"/>
      <c r="F24" s="118"/>
      <c r="G24" s="272" t="s">
        <v>100</v>
      </c>
      <c r="H24" s="276" t="s">
        <v>697</v>
      </c>
      <c r="I24" s="274" t="s">
        <v>818</v>
      </c>
      <c r="J24" s="279" t="s">
        <v>701</v>
      </c>
      <c r="K24" s="276"/>
      <c r="L24" s="272" t="s">
        <v>130</v>
      </c>
      <c r="M24" s="276" t="s">
        <v>748</v>
      </c>
      <c r="N24" s="274" t="s">
        <v>726</v>
      </c>
      <c r="O24" s="279" t="s">
        <v>744</v>
      </c>
      <c r="P24" s="276"/>
      <c r="Q24" s="272" t="s">
        <v>110</v>
      </c>
      <c r="R24" s="1389" t="s">
        <v>938</v>
      </c>
      <c r="S24" s="274" t="s">
        <v>820</v>
      </c>
      <c r="T24" s="1390" t="s">
        <v>943</v>
      </c>
      <c r="U24" s="277"/>
      <c r="V24" s="272" t="s">
        <v>118</v>
      </c>
      <c r="W24" s="1382" t="s">
        <v>860</v>
      </c>
      <c r="X24" s="274" t="s">
        <v>819</v>
      </c>
      <c r="Y24" s="1382" t="s">
        <v>866</v>
      </c>
      <c r="Z24" s="276"/>
      <c r="AA24" s="272" t="s">
        <v>127</v>
      </c>
      <c r="AB24" s="276" t="s">
        <v>767</v>
      </c>
      <c r="AC24" s="274" t="s">
        <v>821</v>
      </c>
      <c r="AD24" s="279" t="s">
        <v>768</v>
      </c>
      <c r="AE24" s="276"/>
      <c r="AF24" s="272" t="s">
        <v>136</v>
      </c>
      <c r="AG24" s="276" t="s">
        <v>556</v>
      </c>
      <c r="AH24" s="274" t="s">
        <v>513</v>
      </c>
      <c r="AI24" s="279" t="s">
        <v>551</v>
      </c>
      <c r="AJ24" s="276"/>
      <c r="AK24" s="272" t="s">
        <v>142</v>
      </c>
      <c r="AL24" s="276" t="s">
        <v>602</v>
      </c>
      <c r="AM24" s="274" t="s">
        <v>576</v>
      </c>
      <c r="AN24" s="279" t="s">
        <v>601</v>
      </c>
      <c r="AO24" s="276"/>
      <c r="AP24" s="272" t="s">
        <v>151</v>
      </c>
      <c r="AQ24" s="276" t="s">
        <v>636</v>
      </c>
      <c r="AR24" s="274" t="s">
        <v>822</v>
      </c>
      <c r="AS24" s="279" t="s">
        <v>640</v>
      </c>
      <c r="AT24" s="276"/>
      <c r="AU24" s="272"/>
      <c r="AV24" s="276"/>
      <c r="AW24" s="274"/>
      <c r="AX24" s="279"/>
      <c r="AZ24" s="341"/>
      <c r="BA24" s="276" t="str">
        <f t="shared" si="4"/>
        <v>39A</v>
      </c>
      <c r="BB24" s="342"/>
      <c r="BC24" s="279" t="str">
        <f t="shared" si="5"/>
        <v>39B</v>
      </c>
    </row>
    <row r="25" spans="1:55" ht="16.2" thickBot="1" x14ac:dyDescent="0.35">
      <c r="A25" s="140"/>
      <c r="B25" s="269">
        <v>52</v>
      </c>
      <c r="C25" s="270">
        <f t="shared" ref="C25:C32" si="6">IF($B25&gt;0,VLOOKUP($B25,EventsOrder,2,FALSE)," ")</f>
        <v>2.5</v>
      </c>
      <c r="D25" s="270" t="str">
        <f t="shared" ref="D25:D32" si="7">IF($B25&gt;0,VLOOKUP($B25,EventsOrder,6,FALSE)," ")</f>
        <v>Long Jump Pit 1</v>
      </c>
      <c r="E25" s="271"/>
      <c r="F25" s="118"/>
      <c r="G25" s="272" t="s">
        <v>100</v>
      </c>
      <c r="H25" s="278" t="s">
        <v>700</v>
      </c>
      <c r="I25" s="274" t="s">
        <v>818</v>
      </c>
      <c r="J25" s="279" t="s">
        <v>697</v>
      </c>
      <c r="K25" s="276"/>
      <c r="L25" s="272" t="s">
        <v>130</v>
      </c>
      <c r="M25" s="278" t="s">
        <v>748</v>
      </c>
      <c r="N25" s="274" t="s">
        <v>726</v>
      </c>
      <c r="O25" s="279" t="s">
        <v>747</v>
      </c>
      <c r="P25" s="276"/>
      <c r="Q25" s="272" t="s">
        <v>110</v>
      </c>
      <c r="R25" s="1389" t="s">
        <v>939</v>
      </c>
      <c r="S25" s="274" t="s">
        <v>820</v>
      </c>
      <c r="T25" s="1390" t="s">
        <v>943</v>
      </c>
      <c r="U25" s="277"/>
      <c r="V25" s="272" t="s">
        <v>118</v>
      </c>
      <c r="W25" s="1382" t="s">
        <v>861</v>
      </c>
      <c r="X25" s="274" t="s">
        <v>819</v>
      </c>
      <c r="Y25" s="1382" t="s">
        <v>867</v>
      </c>
      <c r="Z25" s="276"/>
      <c r="AA25" s="272" t="s">
        <v>127</v>
      </c>
      <c r="AB25" s="278" t="s">
        <v>767</v>
      </c>
      <c r="AC25" s="274" t="s">
        <v>821</v>
      </c>
      <c r="AD25" s="279" t="s">
        <v>768</v>
      </c>
      <c r="AE25" s="276"/>
      <c r="AF25" s="272" t="s">
        <v>136</v>
      </c>
      <c r="AG25" s="278" t="s">
        <v>549</v>
      </c>
      <c r="AH25" s="274" t="s">
        <v>513</v>
      </c>
      <c r="AI25" s="279" t="s">
        <v>557</v>
      </c>
      <c r="AJ25" s="276"/>
      <c r="AK25" s="272" t="s">
        <v>142</v>
      </c>
      <c r="AL25" s="278" t="s">
        <v>602</v>
      </c>
      <c r="AM25" s="274" t="s">
        <v>576</v>
      </c>
      <c r="AN25" s="279" t="s">
        <v>603</v>
      </c>
      <c r="AO25" s="276"/>
      <c r="AP25" s="272" t="s">
        <v>151</v>
      </c>
      <c r="AQ25" s="278" t="s">
        <v>638</v>
      </c>
      <c r="AR25" s="274" t="s">
        <v>822</v>
      </c>
      <c r="AS25" s="279" t="s">
        <v>635</v>
      </c>
      <c r="AT25" s="276"/>
      <c r="AU25" s="272"/>
      <c r="AV25" s="278"/>
      <c r="AW25" s="274"/>
      <c r="AX25" s="279"/>
      <c r="AZ25" s="341"/>
      <c r="BA25" s="278" t="str">
        <f t="shared" si="4"/>
        <v>52A</v>
      </c>
      <c r="BB25" s="342"/>
      <c r="BC25" s="279" t="str">
        <f t="shared" si="5"/>
        <v>52B</v>
      </c>
    </row>
    <row r="26" spans="1:55" ht="16.2" thickBot="1" x14ac:dyDescent="0.35">
      <c r="A26" s="140"/>
      <c r="B26" s="269">
        <v>59</v>
      </c>
      <c r="C26" s="270">
        <f t="shared" si="6"/>
        <v>3.3</v>
      </c>
      <c r="D26" s="270" t="str">
        <f t="shared" si="7"/>
        <v xml:space="preserve">Shot </v>
      </c>
      <c r="E26" s="303"/>
      <c r="F26" s="118"/>
      <c r="G26" s="272" t="s">
        <v>100</v>
      </c>
      <c r="H26" s="278" t="s">
        <v>699</v>
      </c>
      <c r="I26" s="274" t="s">
        <v>818</v>
      </c>
      <c r="J26" s="279" t="s">
        <v>702</v>
      </c>
      <c r="K26" s="276"/>
      <c r="L26" s="272" t="s">
        <v>130</v>
      </c>
      <c r="M26" s="278" t="s">
        <v>746</v>
      </c>
      <c r="N26" s="274" t="s">
        <v>726</v>
      </c>
      <c r="O26" s="279" t="s">
        <v>743</v>
      </c>
      <c r="P26" s="276"/>
      <c r="Q26" s="272" t="s">
        <v>110</v>
      </c>
      <c r="R26" s="1389" t="s">
        <v>940</v>
      </c>
      <c r="S26" s="274" t="s">
        <v>820</v>
      </c>
      <c r="T26" s="1390" t="s">
        <v>942</v>
      </c>
      <c r="U26" s="277"/>
      <c r="V26" s="272" t="s">
        <v>118</v>
      </c>
      <c r="W26" s="1382" t="s">
        <v>857</v>
      </c>
      <c r="X26" s="274" t="s">
        <v>819</v>
      </c>
      <c r="Y26" s="1382" t="s">
        <v>868</v>
      </c>
      <c r="Z26" s="276"/>
      <c r="AA26" s="272" t="s">
        <v>127</v>
      </c>
      <c r="AB26" s="278" t="s">
        <v>769</v>
      </c>
      <c r="AC26" s="274" t="s">
        <v>821</v>
      </c>
      <c r="AD26" s="279" t="s">
        <v>770</v>
      </c>
      <c r="AE26" s="276"/>
      <c r="AF26" s="272" t="s">
        <v>136</v>
      </c>
      <c r="AG26" s="278" t="s">
        <v>558</v>
      </c>
      <c r="AH26" s="274" t="s">
        <v>513</v>
      </c>
      <c r="AI26" s="279" t="s">
        <v>555</v>
      </c>
      <c r="AJ26" s="276"/>
      <c r="AK26" s="272" t="s">
        <v>142</v>
      </c>
      <c r="AL26" s="278" t="s">
        <v>603</v>
      </c>
      <c r="AM26" s="274" t="s">
        <v>576</v>
      </c>
      <c r="AN26" s="279" t="s">
        <v>596</v>
      </c>
      <c r="AO26" s="276"/>
      <c r="AP26" s="272" t="s">
        <v>151</v>
      </c>
      <c r="AQ26" s="278" t="s">
        <v>638</v>
      </c>
      <c r="AR26" s="274" t="s">
        <v>822</v>
      </c>
      <c r="AS26" s="279" t="s">
        <v>641</v>
      </c>
      <c r="AT26" s="276"/>
      <c r="AU26" s="272"/>
      <c r="AV26" s="278"/>
      <c r="AW26" s="274"/>
      <c r="AX26" s="279"/>
      <c r="AZ26" s="341"/>
      <c r="BA26" s="278" t="str">
        <f t="shared" si="4"/>
        <v>59A</v>
      </c>
      <c r="BB26" s="342"/>
      <c r="BC26" s="279" t="str">
        <f t="shared" si="5"/>
        <v>59B</v>
      </c>
    </row>
    <row r="27" spans="1:55" ht="16.2" thickBot="1" x14ac:dyDescent="0.35">
      <c r="A27" s="140"/>
      <c r="B27" s="269">
        <v>66</v>
      </c>
      <c r="C27" s="270">
        <f t="shared" si="6"/>
        <v>3.55</v>
      </c>
      <c r="D27" s="270" t="str">
        <f t="shared" si="7"/>
        <v xml:space="preserve">200m </v>
      </c>
      <c r="E27" s="271"/>
      <c r="F27" s="118"/>
      <c r="G27" s="272" t="s">
        <v>100</v>
      </c>
      <c r="H27" s="273" t="s">
        <v>703</v>
      </c>
      <c r="I27" s="274" t="s">
        <v>818</v>
      </c>
      <c r="J27" s="279" t="s">
        <v>696</v>
      </c>
      <c r="K27" s="276"/>
      <c r="L27" s="272" t="s">
        <v>130</v>
      </c>
      <c r="M27" s="273" t="s">
        <v>748</v>
      </c>
      <c r="N27" s="274" t="s">
        <v>726</v>
      </c>
      <c r="O27" s="279" t="s">
        <v>747</v>
      </c>
      <c r="P27" s="276"/>
      <c r="Q27" s="272" t="s">
        <v>110</v>
      </c>
      <c r="R27" s="1389" t="s">
        <v>936</v>
      </c>
      <c r="S27" s="274" t="s">
        <v>820</v>
      </c>
      <c r="T27" s="1390" t="s">
        <v>940</v>
      </c>
      <c r="U27" s="277"/>
      <c r="V27" s="272" t="s">
        <v>118</v>
      </c>
      <c r="W27" s="1382" t="s">
        <v>862</v>
      </c>
      <c r="X27" s="274" t="s">
        <v>819</v>
      </c>
      <c r="Y27" s="1382" t="s">
        <v>869</v>
      </c>
      <c r="Z27" s="276"/>
      <c r="AA27" s="272" t="s">
        <v>127</v>
      </c>
      <c r="AB27" s="273" t="s">
        <v>767</v>
      </c>
      <c r="AC27" s="274" t="s">
        <v>821</v>
      </c>
      <c r="AD27" s="279" t="s">
        <v>771</v>
      </c>
      <c r="AE27" s="276"/>
      <c r="AF27" s="272" t="s">
        <v>136</v>
      </c>
      <c r="AG27" s="273" t="s">
        <v>553</v>
      </c>
      <c r="AH27" s="274" t="s">
        <v>513</v>
      </c>
      <c r="AI27" s="279" t="s">
        <v>556</v>
      </c>
      <c r="AJ27" s="276"/>
      <c r="AK27" s="272" t="s">
        <v>142</v>
      </c>
      <c r="AL27" s="273" t="s">
        <v>602</v>
      </c>
      <c r="AM27" s="274" t="s">
        <v>576</v>
      </c>
      <c r="AN27" s="279" t="s">
        <v>601</v>
      </c>
      <c r="AO27" s="276"/>
      <c r="AP27" s="272" t="s">
        <v>151</v>
      </c>
      <c r="AQ27" s="278" t="s">
        <v>638</v>
      </c>
      <c r="AR27" s="274" t="s">
        <v>822</v>
      </c>
      <c r="AS27" s="279" t="s">
        <v>636</v>
      </c>
      <c r="AT27" s="276"/>
      <c r="AU27" s="272"/>
      <c r="AV27" s="273"/>
      <c r="AW27" s="274"/>
      <c r="AX27" s="279"/>
      <c r="AZ27" s="341"/>
      <c r="BA27" s="273" t="str">
        <f t="shared" si="4"/>
        <v>66A</v>
      </c>
      <c r="BB27" s="342"/>
      <c r="BC27" s="279" t="str">
        <f t="shared" si="5"/>
        <v>66B</v>
      </c>
    </row>
    <row r="28" spans="1:55" ht="16.2" thickBot="1" x14ac:dyDescent="0.35">
      <c r="A28" s="140"/>
      <c r="B28" s="269">
        <v>75</v>
      </c>
      <c r="C28" s="270">
        <f t="shared" si="6"/>
        <v>4.2</v>
      </c>
      <c r="D28" s="270" t="str">
        <f t="shared" si="7"/>
        <v>Javelin Match 1 &amp; 3</v>
      </c>
      <c r="E28" s="271"/>
      <c r="F28" s="118"/>
      <c r="G28" s="272" t="s">
        <v>100</v>
      </c>
      <c r="H28" s="278" t="s">
        <v>696</v>
      </c>
      <c r="I28" s="274" t="s">
        <v>818</v>
      </c>
      <c r="J28" s="279" t="s">
        <v>702</v>
      </c>
      <c r="K28" s="276"/>
      <c r="L28" s="272" t="s">
        <v>130</v>
      </c>
      <c r="M28" s="278" t="s">
        <v>745</v>
      </c>
      <c r="N28" s="274" t="s">
        <v>726</v>
      </c>
      <c r="O28" s="279" t="s">
        <v>746</v>
      </c>
      <c r="P28" s="276"/>
      <c r="Q28" s="272" t="s">
        <v>110</v>
      </c>
      <c r="R28" s="1389" t="s">
        <v>939</v>
      </c>
      <c r="S28" s="274" t="s">
        <v>820</v>
      </c>
      <c r="T28" s="1390" t="s">
        <v>936</v>
      </c>
      <c r="U28" s="277"/>
      <c r="V28" s="272" t="s">
        <v>118</v>
      </c>
      <c r="W28" s="1381" t="s">
        <v>857</v>
      </c>
      <c r="X28" s="274" t="s">
        <v>819</v>
      </c>
      <c r="Y28" s="1382" t="s">
        <v>860</v>
      </c>
      <c r="Z28" s="276"/>
      <c r="AA28" s="272" t="s">
        <v>127</v>
      </c>
      <c r="AB28" s="278" t="s">
        <v>769</v>
      </c>
      <c r="AC28" s="274" t="s">
        <v>821</v>
      </c>
      <c r="AD28" s="279" t="s">
        <v>763</v>
      </c>
      <c r="AE28" s="276"/>
      <c r="AF28" s="272" t="s">
        <v>136</v>
      </c>
      <c r="AG28" s="278" t="s">
        <v>558</v>
      </c>
      <c r="AH28" s="274" t="s">
        <v>513</v>
      </c>
      <c r="AI28" s="279" t="s">
        <v>555</v>
      </c>
      <c r="AJ28" s="276"/>
      <c r="AK28" s="272" t="s">
        <v>142</v>
      </c>
      <c r="AL28" s="278" t="s">
        <v>603</v>
      </c>
      <c r="AM28" s="274" t="s">
        <v>576</v>
      </c>
      <c r="AN28" s="279" t="s">
        <v>600</v>
      </c>
      <c r="AO28" s="276"/>
      <c r="AP28" s="272" t="s">
        <v>151</v>
      </c>
      <c r="AQ28" s="278" t="s">
        <v>639</v>
      </c>
      <c r="AR28" s="274" t="s">
        <v>822</v>
      </c>
      <c r="AS28" s="279" t="s">
        <v>641</v>
      </c>
      <c r="AT28" s="276"/>
      <c r="AU28" s="272"/>
      <c r="AV28" s="278"/>
      <c r="AW28" s="274"/>
      <c r="AX28" s="279"/>
      <c r="AZ28" s="341"/>
      <c r="BA28" s="278" t="str">
        <f t="shared" si="4"/>
        <v>75A</v>
      </c>
      <c r="BB28" s="342"/>
      <c r="BC28" s="279" t="str">
        <f t="shared" si="5"/>
        <v>75B</v>
      </c>
    </row>
    <row r="29" spans="1:55" ht="16.2" thickBot="1" x14ac:dyDescent="0.35">
      <c r="A29" s="140"/>
      <c r="B29" s="269">
        <v>82</v>
      </c>
      <c r="C29" s="270">
        <f t="shared" si="6"/>
        <v>4.5</v>
      </c>
      <c r="D29" s="270" t="str">
        <f t="shared" si="7"/>
        <v xml:space="preserve">4 x 100m </v>
      </c>
      <c r="E29" s="303"/>
      <c r="F29" s="118"/>
      <c r="G29" s="272"/>
      <c r="H29" s="278" t="str">
        <f>H$3</f>
        <v>BRAT</v>
      </c>
      <c r="I29" s="274"/>
      <c r="J29" s="279"/>
      <c r="K29" s="276"/>
      <c r="L29" s="272"/>
      <c r="M29" s="278" t="str">
        <f>M$3</f>
        <v>Kidder &amp; Stourport</v>
      </c>
      <c r="N29" s="274"/>
      <c r="O29" s="279"/>
      <c r="P29" s="276"/>
      <c r="Q29" s="272"/>
      <c r="R29" s="278" t="str">
        <f>R$3</f>
        <v>Royal Sutton</v>
      </c>
      <c r="S29" s="274"/>
      <c r="T29" s="279"/>
      <c r="U29" s="277"/>
      <c r="V29" s="272"/>
      <c r="W29" s="278" t="str">
        <f>W$3</f>
        <v>Rugby &amp; N'hampton</v>
      </c>
      <c r="X29" s="274"/>
      <c r="Y29" s="279"/>
      <c r="Z29" s="276"/>
      <c r="AA29" s="272"/>
      <c r="AB29" s="278" t="str">
        <f>AB$3</f>
        <v>Solihull &amp; S.Heath</v>
      </c>
      <c r="AC29" s="274"/>
      <c r="AD29" s="279"/>
      <c r="AE29" s="276"/>
      <c r="AF29" s="272"/>
      <c r="AG29" s="278" t="str">
        <f>AG$3</f>
        <v>Stratford</v>
      </c>
      <c r="AH29" s="274"/>
      <c r="AI29" s="279"/>
      <c r="AJ29" s="276"/>
      <c r="AK29" s="272"/>
      <c r="AL29" s="278" t="str">
        <f>AL$3</f>
        <v>Tamworth</v>
      </c>
      <c r="AM29" s="274"/>
      <c r="AN29" s="279"/>
      <c r="AO29" s="276"/>
      <c r="AP29" s="272"/>
      <c r="AQ29" s="278" t="str">
        <f>AQ$3</f>
        <v>Worcester</v>
      </c>
      <c r="AR29" s="274"/>
      <c r="AS29" s="279"/>
      <c r="AT29" s="276"/>
      <c r="AU29" s="272"/>
      <c r="AV29" s="278">
        <f>AV$3</f>
        <v>0</v>
      </c>
      <c r="AW29" s="274"/>
      <c r="AX29" s="279"/>
      <c r="AZ29" s="341"/>
      <c r="BA29" s="278">
        <f>BA$3</f>
        <v>0</v>
      </c>
      <c r="BB29" s="342"/>
      <c r="BC29" s="279"/>
    </row>
    <row r="30" spans="1:55" ht="16.2" thickBot="1" x14ac:dyDescent="0.35">
      <c r="A30" s="140"/>
      <c r="B30" s="269" t="str">
        <f>B29&amp;"R"</f>
        <v>82R</v>
      </c>
      <c r="C30" s="270"/>
      <c r="D30" s="270"/>
      <c r="E30" s="271"/>
      <c r="F30" s="118"/>
      <c r="G30" s="304">
        <v>1</v>
      </c>
      <c r="H30" s="278" t="s">
        <v>696</v>
      </c>
      <c r="I30" s="305">
        <v>2</v>
      </c>
      <c r="J30" s="279" t="s">
        <v>697</v>
      </c>
      <c r="K30" s="276"/>
      <c r="L30" s="304">
        <v>1</v>
      </c>
      <c r="M30" s="278" t="s">
        <v>744</v>
      </c>
      <c r="N30" s="305">
        <v>2</v>
      </c>
      <c r="O30" s="279" t="s">
        <v>747</v>
      </c>
      <c r="P30" s="276"/>
      <c r="Q30" s="1399">
        <v>1</v>
      </c>
      <c r="R30" s="1389" t="s">
        <v>938</v>
      </c>
      <c r="S30" s="1398">
        <v>2</v>
      </c>
      <c r="T30" s="1390" t="s">
        <v>940</v>
      </c>
      <c r="U30" s="277"/>
      <c r="V30" s="304">
        <v>1</v>
      </c>
      <c r="W30" s="1381" t="s">
        <v>866</v>
      </c>
      <c r="X30" s="305">
        <v>2</v>
      </c>
      <c r="Y30" s="1381" t="s">
        <v>857</v>
      </c>
      <c r="Z30" s="276"/>
      <c r="AA30" s="304">
        <v>1</v>
      </c>
      <c r="AB30" s="278" t="s">
        <v>767</v>
      </c>
      <c r="AC30" s="305">
        <v>2</v>
      </c>
      <c r="AD30" s="279" t="s">
        <v>768</v>
      </c>
      <c r="AE30" s="276"/>
      <c r="AF30" s="304">
        <v>1</v>
      </c>
      <c r="AG30" s="278" t="s">
        <v>553</v>
      </c>
      <c r="AH30" s="305">
        <v>2</v>
      </c>
      <c r="AI30" s="279" t="s">
        <v>552</v>
      </c>
      <c r="AJ30" s="276"/>
      <c r="AK30" s="304">
        <v>1</v>
      </c>
      <c r="AL30" s="278" t="s">
        <v>601</v>
      </c>
      <c r="AM30" s="305">
        <v>2</v>
      </c>
      <c r="AN30" s="279" t="s">
        <v>598</v>
      </c>
      <c r="AO30" s="276"/>
      <c r="AP30" s="304">
        <v>1</v>
      </c>
      <c r="AQ30" s="278" t="s">
        <v>638</v>
      </c>
      <c r="AR30" s="305">
        <v>2</v>
      </c>
      <c r="AS30" s="279" t="s">
        <v>635</v>
      </c>
      <c r="AT30" s="276"/>
      <c r="AU30" s="304">
        <v>1</v>
      </c>
      <c r="AV30" s="278"/>
      <c r="AW30" s="305">
        <v>2</v>
      </c>
      <c r="AX30" s="279"/>
      <c r="AZ30" s="343">
        <v>1</v>
      </c>
      <c r="BA30" s="278" t="str">
        <f t="shared" ref="BA30:BA31" si="8">CONCATENATE(LEFT(BA$3,3),$B30,LEFT(BA$6,1))</f>
        <v>82RA</v>
      </c>
      <c r="BB30" s="344">
        <v>2</v>
      </c>
      <c r="BC30" s="279" t="str">
        <f t="shared" ref="BC30:BC31" si="9">CONCATENATE(LEFT(BC$3,3),$B30,LEFT(BC$6,1))</f>
        <v>82RB</v>
      </c>
    </row>
    <row r="31" spans="1:55" ht="16.2" thickBot="1" x14ac:dyDescent="0.35">
      <c r="A31" s="140"/>
      <c r="B31" s="269" t="str">
        <f>B29&amp;"S"</f>
        <v>82S</v>
      </c>
      <c r="C31" s="270"/>
      <c r="D31" s="270"/>
      <c r="E31" s="271"/>
      <c r="F31" s="118"/>
      <c r="G31" s="304">
        <v>3</v>
      </c>
      <c r="H31" s="278" t="s">
        <v>699</v>
      </c>
      <c r="I31" s="305">
        <v>4</v>
      </c>
      <c r="J31" s="279" t="s">
        <v>701</v>
      </c>
      <c r="K31" s="276"/>
      <c r="L31" s="304">
        <v>3</v>
      </c>
      <c r="M31" s="278" t="s">
        <v>743</v>
      </c>
      <c r="N31" s="305">
        <v>4</v>
      </c>
      <c r="O31" s="279" t="s">
        <v>748</v>
      </c>
      <c r="P31" s="276"/>
      <c r="Q31" s="1399">
        <v>3</v>
      </c>
      <c r="R31" s="1389" t="s">
        <v>939</v>
      </c>
      <c r="S31" s="1398">
        <v>4</v>
      </c>
      <c r="T31" s="1390" t="s">
        <v>936</v>
      </c>
      <c r="U31" s="277"/>
      <c r="V31" s="304">
        <v>3</v>
      </c>
      <c r="W31" s="1382" t="s">
        <v>862</v>
      </c>
      <c r="X31" s="305">
        <v>4</v>
      </c>
      <c r="Y31" s="1382" t="s">
        <v>860</v>
      </c>
      <c r="Z31" s="276"/>
      <c r="AA31" s="304">
        <v>3</v>
      </c>
      <c r="AB31" s="279" t="s">
        <v>770</v>
      </c>
      <c r="AC31" s="305">
        <v>4</v>
      </c>
      <c r="AD31" s="279" t="s">
        <v>771</v>
      </c>
      <c r="AE31" s="276"/>
      <c r="AF31" s="304">
        <v>3</v>
      </c>
      <c r="AG31" s="278" t="s">
        <v>555</v>
      </c>
      <c r="AH31" s="305">
        <v>4</v>
      </c>
      <c r="AI31" s="279" t="s">
        <v>556</v>
      </c>
      <c r="AJ31" s="276"/>
      <c r="AK31" s="304">
        <v>3</v>
      </c>
      <c r="AL31" s="278" t="s">
        <v>597</v>
      </c>
      <c r="AM31" s="305">
        <v>4</v>
      </c>
      <c r="AN31" s="279" t="s">
        <v>602</v>
      </c>
      <c r="AO31" s="276"/>
      <c r="AP31" s="304">
        <v>3</v>
      </c>
      <c r="AQ31" s="278" t="s">
        <v>640</v>
      </c>
      <c r="AR31" s="305">
        <v>4</v>
      </c>
      <c r="AS31" s="278" t="s">
        <v>639</v>
      </c>
      <c r="AT31" s="276"/>
      <c r="AU31" s="304">
        <v>3</v>
      </c>
      <c r="AV31" s="278"/>
      <c r="AW31" s="305">
        <v>4</v>
      </c>
      <c r="AX31" s="279"/>
      <c r="AZ31" s="343">
        <v>3</v>
      </c>
      <c r="BA31" s="278" t="str">
        <f t="shared" si="8"/>
        <v>82SA</v>
      </c>
      <c r="BB31" s="344">
        <v>4</v>
      </c>
      <c r="BC31" s="279" t="str">
        <f t="shared" si="9"/>
        <v>82SB</v>
      </c>
    </row>
    <row r="32" spans="1:55" ht="15.6" x14ac:dyDescent="0.3">
      <c r="A32" s="140"/>
      <c r="B32" s="269"/>
      <c r="C32" s="270" t="str">
        <f t="shared" si="6"/>
        <v xml:space="preserve"> </v>
      </c>
      <c r="D32" s="270" t="str">
        <f t="shared" si="7"/>
        <v xml:space="preserve"> </v>
      </c>
      <c r="E32" s="271"/>
      <c r="F32" s="118"/>
      <c r="G32" s="272"/>
      <c r="H32" s="278"/>
      <c r="I32" s="274"/>
      <c r="J32" s="279"/>
      <c r="K32" s="276"/>
      <c r="L32" s="272"/>
      <c r="M32" s="278"/>
      <c r="N32" s="274"/>
      <c r="O32" s="279"/>
      <c r="P32" s="276"/>
      <c r="Q32" s="272"/>
      <c r="R32" s="278"/>
      <c r="S32" s="274"/>
      <c r="T32" s="279"/>
      <c r="U32" s="277"/>
      <c r="V32" s="272"/>
      <c r="W32" s="278"/>
      <c r="X32" s="274"/>
      <c r="Y32" s="279"/>
      <c r="Z32" s="276"/>
      <c r="AA32" s="272"/>
      <c r="AB32" s="278"/>
      <c r="AC32" s="274"/>
      <c r="AD32" s="279"/>
      <c r="AE32" s="276"/>
      <c r="AF32" s="272"/>
      <c r="AG32" s="278"/>
      <c r="AH32" s="274"/>
      <c r="AI32" s="279"/>
      <c r="AJ32" s="276"/>
      <c r="AK32" s="272"/>
      <c r="AL32" s="278"/>
      <c r="AM32" s="274"/>
      <c r="AN32" s="279"/>
      <c r="AO32" s="276"/>
      <c r="AP32" s="272"/>
      <c r="AQ32" s="278"/>
      <c r="AR32" s="274"/>
      <c r="AS32" s="279"/>
      <c r="AT32" s="276"/>
      <c r="AU32" s="272"/>
      <c r="AV32" s="278"/>
      <c r="AW32" s="274"/>
      <c r="AX32" s="279"/>
      <c r="AZ32" s="341"/>
      <c r="BA32" s="345"/>
      <c r="BB32" s="342"/>
      <c r="BC32" s="279"/>
    </row>
    <row r="33" spans="1:55" ht="16.2" thickBot="1" x14ac:dyDescent="0.35">
      <c r="A33" s="140"/>
      <c r="B33" s="16"/>
      <c r="C33" s="221"/>
      <c r="D33" s="118"/>
      <c r="E33" s="139"/>
      <c r="F33" s="118"/>
      <c r="G33" s="306"/>
      <c r="H33" s="276"/>
      <c r="I33" s="307"/>
      <c r="J33" s="280"/>
      <c r="K33" s="276"/>
      <c r="L33" s="306"/>
      <c r="M33" s="276"/>
      <c r="N33" s="307"/>
      <c r="O33" s="280"/>
      <c r="P33" s="276"/>
      <c r="Q33" s="306"/>
      <c r="R33" s="276"/>
      <c r="S33" s="307"/>
      <c r="T33" s="280"/>
      <c r="U33" s="277"/>
      <c r="V33" s="306"/>
      <c r="W33" s="276"/>
      <c r="X33" s="307"/>
      <c r="Y33" s="280"/>
      <c r="Z33" s="276"/>
      <c r="AA33" s="306"/>
      <c r="AB33" s="276"/>
      <c r="AC33" s="307"/>
      <c r="AD33" s="280"/>
      <c r="AE33" s="276"/>
      <c r="AF33" s="306"/>
      <c r="AG33" s="276"/>
      <c r="AH33" s="307"/>
      <c r="AI33" s="280"/>
      <c r="AJ33" s="276"/>
      <c r="AK33" s="306"/>
      <c r="AL33" s="276"/>
      <c r="AM33" s="307"/>
      <c r="AN33" s="280"/>
      <c r="AO33" s="276"/>
      <c r="AP33" s="306"/>
      <c r="AQ33" s="276"/>
      <c r="AR33" s="307"/>
      <c r="AS33" s="280"/>
      <c r="AT33" s="276"/>
      <c r="AU33" s="306"/>
      <c r="AV33" s="276"/>
      <c r="AW33" s="307"/>
      <c r="AX33" s="280"/>
      <c r="AZ33" s="16"/>
      <c r="BB33" s="32"/>
      <c r="BC33" s="280"/>
    </row>
    <row r="34" spans="1:55" ht="16.2" thickBot="1" x14ac:dyDescent="0.35">
      <c r="A34" s="140"/>
      <c r="B34" s="286" t="s">
        <v>165</v>
      </c>
      <c r="C34" s="287" t="s">
        <v>168</v>
      </c>
      <c r="D34" s="288" t="s">
        <v>241</v>
      </c>
      <c r="E34" s="289"/>
      <c r="F34" s="118"/>
      <c r="G34" s="290" t="s">
        <v>167</v>
      </c>
      <c r="H34" s="291" t="s">
        <v>242</v>
      </c>
      <c r="I34" s="291" t="s">
        <v>167</v>
      </c>
      <c r="J34" s="292" t="s">
        <v>243</v>
      </c>
      <c r="K34" s="276"/>
      <c r="L34" s="290" t="s">
        <v>167</v>
      </c>
      <c r="M34" s="291" t="s">
        <v>242</v>
      </c>
      <c r="N34" s="291" t="s">
        <v>167</v>
      </c>
      <c r="O34" s="292" t="s">
        <v>243</v>
      </c>
      <c r="P34" s="276"/>
      <c r="Q34" s="290" t="s">
        <v>167</v>
      </c>
      <c r="R34" s="291" t="s">
        <v>242</v>
      </c>
      <c r="S34" s="291" t="s">
        <v>167</v>
      </c>
      <c r="T34" s="292" t="s">
        <v>243</v>
      </c>
      <c r="U34" s="277"/>
      <c r="V34" s="290" t="s">
        <v>167</v>
      </c>
      <c r="W34" s="291" t="s">
        <v>242</v>
      </c>
      <c r="X34" s="291" t="s">
        <v>167</v>
      </c>
      <c r="Y34" s="292" t="s">
        <v>243</v>
      </c>
      <c r="Z34" s="276"/>
      <c r="AA34" s="290" t="s">
        <v>167</v>
      </c>
      <c r="AB34" s="291" t="s">
        <v>242</v>
      </c>
      <c r="AC34" s="291" t="s">
        <v>167</v>
      </c>
      <c r="AD34" s="292" t="s">
        <v>243</v>
      </c>
      <c r="AE34" s="276"/>
      <c r="AF34" s="290" t="s">
        <v>167</v>
      </c>
      <c r="AG34" s="291" t="s">
        <v>242</v>
      </c>
      <c r="AH34" s="291" t="s">
        <v>167</v>
      </c>
      <c r="AI34" s="292" t="s">
        <v>243</v>
      </c>
      <c r="AJ34" s="276"/>
      <c r="AK34" s="290" t="s">
        <v>167</v>
      </c>
      <c r="AL34" s="291" t="s">
        <v>242</v>
      </c>
      <c r="AM34" s="291" t="s">
        <v>167</v>
      </c>
      <c r="AN34" s="292" t="s">
        <v>243</v>
      </c>
      <c r="AO34" s="276"/>
      <c r="AP34" s="290" t="s">
        <v>167</v>
      </c>
      <c r="AQ34" s="291" t="s">
        <v>242</v>
      </c>
      <c r="AR34" s="291" t="s">
        <v>167</v>
      </c>
      <c r="AS34" s="292" t="s">
        <v>243</v>
      </c>
      <c r="AT34" s="276"/>
      <c r="AU34" s="290" t="s">
        <v>167</v>
      </c>
      <c r="AV34" s="291" t="s">
        <v>242</v>
      </c>
      <c r="AW34" s="291" t="s">
        <v>167</v>
      </c>
      <c r="AX34" s="292" t="s">
        <v>243</v>
      </c>
      <c r="AZ34" s="286" t="s">
        <v>167</v>
      </c>
      <c r="BA34" s="287" t="s">
        <v>242</v>
      </c>
      <c r="BB34" s="287" t="s">
        <v>167</v>
      </c>
      <c r="BC34" s="338" t="s">
        <v>243</v>
      </c>
    </row>
    <row r="35" spans="1:55" ht="16.2" thickBot="1" x14ac:dyDescent="0.35">
      <c r="A35" s="140"/>
      <c r="B35" s="294"/>
      <c r="C35" s="295"/>
      <c r="D35" s="296" t="s">
        <v>485</v>
      </c>
      <c r="E35" s="297"/>
      <c r="F35" s="143"/>
      <c r="G35" s="298"/>
      <c r="H35" s="299"/>
      <c r="I35" s="300"/>
      <c r="J35" s="301"/>
      <c r="K35" s="302"/>
      <c r="L35" s="298"/>
      <c r="M35" s="299"/>
      <c r="N35" s="300"/>
      <c r="O35" s="301"/>
      <c r="P35" s="302"/>
      <c r="Q35" s="298"/>
      <c r="R35" s="299"/>
      <c r="S35" s="300"/>
      <c r="T35" s="301"/>
      <c r="U35" s="308"/>
      <c r="V35" s="298"/>
      <c r="W35" s="299"/>
      <c r="X35" s="300"/>
      <c r="Y35" s="301"/>
      <c r="Z35" s="302"/>
      <c r="AA35" s="298"/>
      <c r="AB35" s="299"/>
      <c r="AC35" s="300"/>
      <c r="AD35" s="301"/>
      <c r="AE35" s="302"/>
      <c r="AF35" s="298"/>
      <c r="AG35" s="299"/>
      <c r="AH35" s="300"/>
      <c r="AI35" s="301"/>
      <c r="AJ35" s="302"/>
      <c r="AK35" s="298"/>
      <c r="AL35" s="299"/>
      <c r="AM35" s="300"/>
      <c r="AN35" s="301"/>
      <c r="AO35" s="302"/>
      <c r="AP35" s="298"/>
      <c r="AQ35" s="299"/>
      <c r="AR35" s="300"/>
      <c r="AS35" s="301"/>
      <c r="AT35" s="302"/>
      <c r="AU35" s="298"/>
      <c r="AV35" s="299"/>
      <c r="AW35" s="300"/>
      <c r="AX35" s="301"/>
      <c r="AY35" s="140"/>
      <c r="AZ35" s="294"/>
      <c r="BA35" s="322"/>
      <c r="BB35" s="295"/>
      <c r="BC35" s="301"/>
    </row>
    <row r="36" spans="1:55" ht="16.2" thickBot="1" x14ac:dyDescent="0.35">
      <c r="A36" s="140"/>
      <c r="B36" s="269">
        <v>3</v>
      </c>
      <c r="C36" s="270">
        <f t="shared" ref="C36:C42" si="10">IF($B36&gt;0,VLOOKUP($B36,EventsOrder,2,FALSE)," ")</f>
        <v>11.1</v>
      </c>
      <c r="D36" s="270" t="str">
        <f t="shared" ref="D36:D42" si="11">IF($B36&gt;0,VLOOKUP($B36,EventsOrder,6,FALSE)," ")</f>
        <v xml:space="preserve">1500m </v>
      </c>
      <c r="E36" s="271"/>
      <c r="F36" s="118"/>
      <c r="G36" s="272" t="s">
        <v>100</v>
      </c>
      <c r="H36" s="278" t="s">
        <v>704</v>
      </c>
      <c r="I36" s="274" t="s">
        <v>818</v>
      </c>
      <c r="J36" s="279" t="s">
        <v>705</v>
      </c>
      <c r="K36" s="276"/>
      <c r="L36" s="272" t="s">
        <v>130</v>
      </c>
      <c r="M36" s="278" t="s">
        <v>749</v>
      </c>
      <c r="N36" s="274"/>
      <c r="O36" s="279"/>
      <c r="P36" s="276"/>
      <c r="Q36" s="272" t="s">
        <v>110</v>
      </c>
      <c r="R36" s="1389"/>
      <c r="S36" s="274" t="s">
        <v>820</v>
      </c>
      <c r="T36" s="279"/>
      <c r="U36" s="277"/>
      <c r="V36" s="272" t="s">
        <v>118</v>
      </c>
      <c r="W36" s="1381" t="s">
        <v>870</v>
      </c>
      <c r="X36" s="274" t="s">
        <v>819</v>
      </c>
      <c r="Y36" s="1381" t="s">
        <v>879</v>
      </c>
      <c r="Z36" s="276"/>
      <c r="AA36" s="272" t="s">
        <v>127</v>
      </c>
      <c r="AB36" s="278" t="s">
        <v>772</v>
      </c>
      <c r="AC36" s="274" t="s">
        <v>821</v>
      </c>
      <c r="AD36" s="279" t="s">
        <v>773</v>
      </c>
      <c r="AE36" s="276"/>
      <c r="AF36" s="272" t="s">
        <v>136</v>
      </c>
      <c r="AG36" s="278" t="s">
        <v>559</v>
      </c>
      <c r="AH36" s="274" t="s">
        <v>513</v>
      </c>
      <c r="AI36" s="279" t="s">
        <v>560</v>
      </c>
      <c r="AJ36" s="276"/>
      <c r="AK36" s="272" t="s">
        <v>142</v>
      </c>
      <c r="AL36" s="278" t="s">
        <v>615</v>
      </c>
      <c r="AM36" s="274"/>
      <c r="AN36" s="279"/>
      <c r="AO36" s="276"/>
      <c r="AP36" s="272"/>
      <c r="AQ36" s="278"/>
      <c r="AR36" s="274"/>
      <c r="AS36" s="279"/>
      <c r="AT36" s="276"/>
      <c r="AU36" s="272"/>
      <c r="AV36" s="278"/>
      <c r="AW36" s="274"/>
      <c r="AX36" s="279"/>
      <c r="AZ36" s="341"/>
      <c r="BA36" s="278"/>
      <c r="BB36" s="342"/>
      <c r="BC36" s="279"/>
    </row>
    <row r="37" spans="1:55" ht="16.2" thickBot="1" x14ac:dyDescent="0.35">
      <c r="A37" s="140"/>
      <c r="B37" s="269">
        <v>10</v>
      </c>
      <c r="C37" s="270">
        <f t="shared" si="10"/>
        <v>11.5</v>
      </c>
      <c r="D37" s="270" t="str">
        <f t="shared" si="11"/>
        <v xml:space="preserve">80m hurdles </v>
      </c>
      <c r="E37" s="271"/>
      <c r="F37" s="118"/>
      <c r="G37" s="272" t="s">
        <v>100</v>
      </c>
      <c r="H37" s="278" t="s">
        <v>706</v>
      </c>
      <c r="I37" s="274" t="s">
        <v>818</v>
      </c>
      <c r="J37" s="279" t="s">
        <v>707</v>
      </c>
      <c r="K37" s="276"/>
      <c r="L37" s="272" t="s">
        <v>130</v>
      </c>
      <c r="M37" s="278" t="s">
        <v>750</v>
      </c>
      <c r="N37" s="274"/>
      <c r="O37" s="279"/>
      <c r="P37" s="276"/>
      <c r="Q37" s="272" t="s">
        <v>110</v>
      </c>
      <c r="R37" s="1389" t="s">
        <v>944</v>
      </c>
      <c r="S37" s="274" t="s">
        <v>820</v>
      </c>
      <c r="T37" s="1390" t="s">
        <v>945</v>
      </c>
      <c r="U37" s="277"/>
      <c r="V37" s="272" t="s">
        <v>118</v>
      </c>
      <c r="W37" s="1382" t="s">
        <v>1097</v>
      </c>
      <c r="X37" s="274" t="s">
        <v>819</v>
      </c>
      <c r="Y37" s="1382" t="s">
        <v>880</v>
      </c>
      <c r="Z37" s="276"/>
      <c r="AA37" s="272" t="s">
        <v>127</v>
      </c>
      <c r="AB37" s="278" t="s">
        <v>774</v>
      </c>
      <c r="AC37" s="274"/>
      <c r="AD37" s="279"/>
      <c r="AE37" s="276"/>
      <c r="AF37" s="272" t="s">
        <v>136</v>
      </c>
      <c r="AG37" s="278" t="s">
        <v>561</v>
      </c>
      <c r="AH37" s="274" t="s">
        <v>513</v>
      </c>
      <c r="AI37" s="279" t="s">
        <v>562</v>
      </c>
      <c r="AJ37" s="276"/>
      <c r="AK37" s="272" t="s">
        <v>142</v>
      </c>
      <c r="AL37" s="278" t="s">
        <v>604</v>
      </c>
      <c r="AM37" s="274"/>
      <c r="AN37" s="279"/>
      <c r="AO37" s="276"/>
      <c r="AP37" s="272" t="s">
        <v>151</v>
      </c>
      <c r="AQ37" s="278" t="s">
        <v>642</v>
      </c>
      <c r="AR37" s="274"/>
      <c r="AS37" s="279"/>
      <c r="AT37" s="276"/>
      <c r="AU37" s="272"/>
      <c r="AV37" s="278"/>
      <c r="AW37" s="274"/>
      <c r="AX37" s="279"/>
      <c r="AZ37" s="341"/>
      <c r="BA37" s="278"/>
      <c r="BB37" s="342"/>
      <c r="BC37" s="279"/>
    </row>
    <row r="38" spans="1:55" ht="16.2" thickBot="1" x14ac:dyDescent="0.35">
      <c r="A38" s="140"/>
      <c r="B38" s="269">
        <v>12</v>
      </c>
      <c r="C38" s="270">
        <f t="shared" si="10"/>
        <v>12.15</v>
      </c>
      <c r="D38" s="270" t="str">
        <f t="shared" si="11"/>
        <v>Discus Match 2</v>
      </c>
      <c r="E38" s="271"/>
      <c r="F38" s="118"/>
      <c r="G38" s="272"/>
      <c r="H38" s="278"/>
      <c r="I38" s="274"/>
      <c r="J38" s="279"/>
      <c r="K38" s="276"/>
      <c r="L38" s="272"/>
      <c r="M38" s="278"/>
      <c r="N38" s="274"/>
      <c r="O38" s="279"/>
      <c r="P38" s="276"/>
      <c r="Q38" s="272" t="s">
        <v>110</v>
      </c>
      <c r="R38" s="1389"/>
      <c r="S38" s="274" t="s">
        <v>820</v>
      </c>
      <c r="T38" s="279"/>
      <c r="U38" s="277"/>
      <c r="V38" s="272" t="s">
        <v>118</v>
      </c>
      <c r="W38" s="1382"/>
      <c r="X38" s="274" t="s">
        <v>819</v>
      </c>
      <c r="Y38" s="1382"/>
      <c r="Z38" s="276"/>
      <c r="AA38" s="272"/>
      <c r="AB38" s="278"/>
      <c r="AC38" s="274"/>
      <c r="AD38" s="279"/>
      <c r="AE38" s="276"/>
      <c r="AF38" s="272"/>
      <c r="AG38" s="278"/>
      <c r="AH38" s="274"/>
      <c r="AI38" s="279"/>
      <c r="AJ38" s="276"/>
      <c r="AK38" s="272"/>
      <c r="AL38" s="278"/>
      <c r="AM38" s="274"/>
      <c r="AN38" s="279"/>
      <c r="AO38" s="276"/>
      <c r="AP38" s="272"/>
      <c r="AQ38" s="278"/>
      <c r="AR38" s="274"/>
      <c r="AS38" s="279"/>
      <c r="AT38" s="276"/>
      <c r="AU38" s="272"/>
      <c r="AV38" s="278"/>
      <c r="AW38" s="274"/>
      <c r="AX38" s="279"/>
      <c r="AZ38" s="341"/>
      <c r="BA38" s="278"/>
      <c r="BB38" s="342"/>
      <c r="BC38" s="279"/>
    </row>
    <row r="39" spans="1:55" ht="16.2" thickBot="1" x14ac:dyDescent="0.35">
      <c r="A39" s="140"/>
      <c r="B39" s="269">
        <v>17</v>
      </c>
      <c r="C39" s="270">
        <f t="shared" si="10"/>
        <v>12.3</v>
      </c>
      <c r="D39" s="270" t="str">
        <f t="shared" si="11"/>
        <v xml:space="preserve">High Jump </v>
      </c>
      <c r="E39" s="271"/>
      <c r="F39" s="118"/>
      <c r="G39" s="272" t="s">
        <v>100</v>
      </c>
      <c r="H39" s="278" t="s">
        <v>708</v>
      </c>
      <c r="I39" s="274" t="s">
        <v>818</v>
      </c>
      <c r="J39" s="279" t="s">
        <v>707</v>
      </c>
      <c r="K39" s="276"/>
      <c r="L39" s="272"/>
      <c r="M39" s="278"/>
      <c r="N39" s="274"/>
      <c r="O39" s="279"/>
      <c r="P39" s="276"/>
      <c r="Q39" s="272" t="s">
        <v>110</v>
      </c>
      <c r="R39" s="1389" t="s">
        <v>945</v>
      </c>
      <c r="S39" s="274" t="s">
        <v>820</v>
      </c>
      <c r="T39" s="1390" t="s">
        <v>944</v>
      </c>
      <c r="U39" s="277"/>
      <c r="V39" s="272" t="s">
        <v>118</v>
      </c>
      <c r="W39" s="1382" t="s">
        <v>871</v>
      </c>
      <c r="X39" s="274" t="s">
        <v>819</v>
      </c>
      <c r="Y39" s="1383" t="s">
        <v>881</v>
      </c>
      <c r="Z39" s="276"/>
      <c r="AA39" s="272"/>
      <c r="AB39" s="278"/>
      <c r="AC39" s="274"/>
      <c r="AD39" s="279"/>
      <c r="AE39" s="276"/>
      <c r="AF39" s="272" t="s">
        <v>136</v>
      </c>
      <c r="AG39" s="278" t="s">
        <v>566</v>
      </c>
      <c r="AH39" s="274" t="s">
        <v>513</v>
      </c>
      <c r="AI39" s="279" t="s">
        <v>564</v>
      </c>
      <c r="AJ39" s="276"/>
      <c r="AK39" s="272" t="s">
        <v>142</v>
      </c>
      <c r="AL39" s="278" t="s">
        <v>605</v>
      </c>
      <c r="AM39" s="274" t="s">
        <v>576</v>
      </c>
      <c r="AN39" s="279" t="s">
        <v>604</v>
      </c>
      <c r="AO39" s="276"/>
      <c r="AP39" s="272"/>
      <c r="AQ39" s="278"/>
      <c r="AR39" s="274"/>
      <c r="AS39" s="279"/>
      <c r="AT39" s="276"/>
      <c r="AU39" s="272"/>
      <c r="AV39" s="278"/>
      <c r="AW39" s="274"/>
      <c r="AX39" s="279"/>
      <c r="AZ39" s="341"/>
      <c r="BA39" s="278"/>
      <c r="BB39" s="342"/>
      <c r="BC39" s="279"/>
    </row>
    <row r="40" spans="1:55" ht="16.2" thickBot="1" x14ac:dyDescent="0.35">
      <c r="A40" s="140"/>
      <c r="B40" s="269">
        <v>21</v>
      </c>
      <c r="C40" s="270">
        <f t="shared" si="10"/>
        <v>1</v>
      </c>
      <c r="D40" s="270" t="str">
        <f t="shared" si="11"/>
        <v>Long Jump Pit 2</v>
      </c>
      <c r="E40" s="271"/>
      <c r="F40" s="118"/>
      <c r="G40" s="272" t="s">
        <v>100</v>
      </c>
      <c r="H40" s="273" t="s">
        <v>709</v>
      </c>
      <c r="I40" s="274" t="s">
        <v>818</v>
      </c>
      <c r="J40" s="275" t="s">
        <v>710</v>
      </c>
      <c r="K40" s="276"/>
      <c r="L40" s="272" t="s">
        <v>130</v>
      </c>
      <c r="M40" s="273" t="s">
        <v>751</v>
      </c>
      <c r="N40" s="274"/>
      <c r="O40" s="275"/>
      <c r="P40" s="276"/>
      <c r="Q40" s="272" t="s">
        <v>110</v>
      </c>
      <c r="R40" s="1389" t="s">
        <v>944</v>
      </c>
      <c r="S40" s="274" t="s">
        <v>820</v>
      </c>
      <c r="T40" s="1390" t="s">
        <v>950</v>
      </c>
      <c r="U40" s="277"/>
      <c r="V40" s="272" t="s">
        <v>118</v>
      </c>
      <c r="W40" s="1382" t="s">
        <v>872</v>
      </c>
      <c r="X40" s="274" t="s">
        <v>819</v>
      </c>
      <c r="Y40" s="1382" t="s">
        <v>882</v>
      </c>
      <c r="Z40" s="276"/>
      <c r="AA40" s="272" t="s">
        <v>127</v>
      </c>
      <c r="AB40" s="273" t="s">
        <v>775</v>
      </c>
      <c r="AC40" s="274" t="s">
        <v>821</v>
      </c>
      <c r="AD40" s="275" t="s">
        <v>776</v>
      </c>
      <c r="AE40" s="276"/>
      <c r="AF40" s="272" t="s">
        <v>136</v>
      </c>
      <c r="AG40" s="273" t="s">
        <v>564</v>
      </c>
      <c r="AH40" s="274" t="s">
        <v>513</v>
      </c>
      <c r="AI40" s="275" t="s">
        <v>565</v>
      </c>
      <c r="AJ40" s="276"/>
      <c r="AK40" s="272" t="s">
        <v>142</v>
      </c>
      <c r="AL40" s="273" t="s">
        <v>606</v>
      </c>
      <c r="AM40" s="274" t="s">
        <v>576</v>
      </c>
      <c r="AN40" s="275" t="s">
        <v>607</v>
      </c>
      <c r="AO40" s="276"/>
      <c r="AP40" s="272" t="s">
        <v>151</v>
      </c>
      <c r="AQ40" s="278" t="s">
        <v>643</v>
      </c>
      <c r="AR40" s="274" t="s">
        <v>822</v>
      </c>
      <c r="AS40" s="279" t="s">
        <v>648</v>
      </c>
      <c r="AT40" s="276"/>
      <c r="AU40" s="272"/>
      <c r="AV40" s="273"/>
      <c r="AW40" s="274"/>
      <c r="AX40" s="275"/>
      <c r="AZ40" s="341"/>
      <c r="BA40" s="273"/>
      <c r="BB40" s="342"/>
      <c r="BC40" s="275"/>
    </row>
    <row r="41" spans="1:55" ht="16.2" thickBot="1" x14ac:dyDescent="0.35">
      <c r="A41" s="140"/>
      <c r="B41" s="269">
        <v>26</v>
      </c>
      <c r="C41" s="270">
        <f t="shared" si="10"/>
        <v>1</v>
      </c>
      <c r="D41" s="270" t="str">
        <f t="shared" si="11"/>
        <v xml:space="preserve">800m </v>
      </c>
      <c r="E41" s="271"/>
      <c r="F41" s="118"/>
      <c r="G41" s="272" t="s">
        <v>100</v>
      </c>
      <c r="H41" s="278" t="s">
        <v>711</v>
      </c>
      <c r="I41" s="274" t="s">
        <v>818</v>
      </c>
      <c r="J41" s="279" t="s">
        <v>724</v>
      </c>
      <c r="K41" s="276"/>
      <c r="L41" s="272"/>
      <c r="M41" s="278"/>
      <c r="N41" s="274"/>
      <c r="O41" s="279"/>
      <c r="P41" s="276"/>
      <c r="Q41" s="272" t="s">
        <v>110</v>
      </c>
      <c r="R41" s="1389" t="s">
        <v>946</v>
      </c>
      <c r="S41" s="274" t="s">
        <v>820</v>
      </c>
      <c r="T41" s="1394"/>
      <c r="U41" s="277"/>
      <c r="V41" s="272" t="s">
        <v>118</v>
      </c>
      <c r="W41" s="1382" t="s">
        <v>873</v>
      </c>
      <c r="X41" s="274" t="s">
        <v>819</v>
      </c>
      <c r="Y41" s="1382" t="s">
        <v>883</v>
      </c>
      <c r="Z41" s="276"/>
      <c r="AA41" s="272" t="s">
        <v>127</v>
      </c>
      <c r="AB41" s="278" t="s">
        <v>777</v>
      </c>
      <c r="AC41" s="274" t="s">
        <v>821</v>
      </c>
      <c r="AD41" s="279" t="s">
        <v>778</v>
      </c>
      <c r="AE41" s="276"/>
      <c r="AF41" s="272" t="s">
        <v>136</v>
      </c>
      <c r="AG41" s="278" t="s">
        <v>566</v>
      </c>
      <c r="AH41" s="274" t="s">
        <v>513</v>
      </c>
      <c r="AI41" s="279" t="s">
        <v>567</v>
      </c>
      <c r="AJ41" s="276"/>
      <c r="AK41" s="272" t="s">
        <v>142</v>
      </c>
      <c r="AL41" s="278" t="s">
        <v>608</v>
      </c>
      <c r="AM41" s="274" t="s">
        <v>576</v>
      </c>
      <c r="AN41" s="279" t="s">
        <v>609</v>
      </c>
      <c r="AO41" s="276"/>
      <c r="AP41" s="272" t="s">
        <v>151</v>
      </c>
      <c r="AQ41" s="278" t="s">
        <v>644</v>
      </c>
      <c r="AR41" s="274"/>
      <c r="AS41" s="279"/>
      <c r="AT41" s="276"/>
      <c r="AU41" s="272"/>
      <c r="AV41" s="278"/>
      <c r="AW41" s="274"/>
      <c r="AX41" s="279"/>
      <c r="AZ41" s="341"/>
      <c r="BA41" s="278"/>
      <c r="BB41" s="342"/>
      <c r="BC41" s="279"/>
    </row>
    <row r="42" spans="1:55" ht="16.2" thickBot="1" x14ac:dyDescent="0.35">
      <c r="A42" s="140"/>
      <c r="B42" s="269">
        <v>41</v>
      </c>
      <c r="C42" s="270">
        <f t="shared" si="10"/>
        <v>2.25</v>
      </c>
      <c r="D42" s="270" t="str">
        <f t="shared" si="11"/>
        <v xml:space="preserve">100m </v>
      </c>
      <c r="E42" s="271"/>
      <c r="F42" s="118"/>
      <c r="G42" s="272" t="s">
        <v>100</v>
      </c>
      <c r="H42" s="276" t="s">
        <v>712</v>
      </c>
      <c r="I42" s="274" t="s">
        <v>818</v>
      </c>
      <c r="J42" s="279" t="s">
        <v>709</v>
      </c>
      <c r="K42" s="276"/>
      <c r="L42" s="272" t="s">
        <v>130</v>
      </c>
      <c r="M42" s="276" t="s">
        <v>750</v>
      </c>
      <c r="N42" s="274" t="s">
        <v>726</v>
      </c>
      <c r="O42" s="279" t="s">
        <v>751</v>
      </c>
      <c r="P42" s="276"/>
      <c r="Q42" s="272" t="s">
        <v>110</v>
      </c>
      <c r="R42" s="1389" t="s">
        <v>947</v>
      </c>
      <c r="S42" s="274" t="s">
        <v>820</v>
      </c>
      <c r="T42" s="1390" t="s">
        <v>949</v>
      </c>
      <c r="U42" s="277"/>
      <c r="V42" s="272" t="s">
        <v>118</v>
      </c>
      <c r="W42" s="1382" t="s">
        <v>874</v>
      </c>
      <c r="X42" s="274" t="s">
        <v>819</v>
      </c>
      <c r="Y42" s="1382" t="s">
        <v>884</v>
      </c>
      <c r="Z42" s="276"/>
      <c r="AA42" s="272" t="s">
        <v>127</v>
      </c>
      <c r="AB42" s="276" t="s">
        <v>779</v>
      </c>
      <c r="AC42" s="274" t="s">
        <v>821</v>
      </c>
      <c r="AD42" s="279" t="s">
        <v>776</v>
      </c>
      <c r="AE42" s="276"/>
      <c r="AF42" s="272" t="s">
        <v>136</v>
      </c>
      <c r="AG42" s="276" t="s">
        <v>568</v>
      </c>
      <c r="AH42" s="274" t="s">
        <v>513</v>
      </c>
      <c r="AI42" s="279" t="s">
        <v>565</v>
      </c>
      <c r="AJ42" s="276"/>
      <c r="AK42" s="272" t="s">
        <v>142</v>
      </c>
      <c r="AL42" s="276" t="s">
        <v>607</v>
      </c>
      <c r="AM42" s="274" t="s">
        <v>576</v>
      </c>
      <c r="AN42" s="279" t="s">
        <v>610</v>
      </c>
      <c r="AO42" s="276"/>
      <c r="AP42" s="272" t="s">
        <v>151</v>
      </c>
      <c r="AQ42" s="276" t="s">
        <v>642</v>
      </c>
      <c r="AR42" s="274" t="s">
        <v>822</v>
      </c>
      <c r="AS42" s="279" t="s">
        <v>643</v>
      </c>
      <c r="AT42" s="276"/>
      <c r="AU42" s="272"/>
      <c r="AV42" s="276"/>
      <c r="AW42" s="274"/>
      <c r="AX42" s="279"/>
      <c r="AZ42" s="341"/>
      <c r="BA42" s="276"/>
      <c r="BB42" s="342"/>
      <c r="BC42" s="279"/>
    </row>
    <row r="43" spans="1:55" ht="16.2" thickBot="1" x14ac:dyDescent="0.35">
      <c r="A43" s="140"/>
      <c r="B43" s="269">
        <v>49</v>
      </c>
      <c r="C43" s="270">
        <f t="shared" ref="C43:C50" si="12">IF($B43&gt;0,VLOOKUP($B43,EventsOrder,2,FALSE)," ")</f>
        <v>2.4</v>
      </c>
      <c r="D43" s="270" t="str">
        <f t="shared" ref="D43:D50" si="13">IF($B43&gt;0,VLOOKUP($B43,EventsOrder,6,FALSE)," ")</f>
        <v>Javelin Match 1 &amp; 3</v>
      </c>
      <c r="E43" s="303"/>
      <c r="F43" s="118"/>
      <c r="G43" s="272" t="s">
        <v>100</v>
      </c>
      <c r="H43" s="278" t="s">
        <v>713</v>
      </c>
      <c r="I43" s="274" t="s">
        <v>818</v>
      </c>
      <c r="J43" s="279" t="s">
        <v>707</v>
      </c>
      <c r="K43" s="276"/>
      <c r="L43" s="272" t="s">
        <v>130</v>
      </c>
      <c r="M43" s="278" t="s">
        <v>750</v>
      </c>
      <c r="N43" s="274" t="s">
        <v>726</v>
      </c>
      <c r="O43" s="279" t="s">
        <v>752</v>
      </c>
      <c r="P43" s="276"/>
      <c r="Q43" s="272" t="s">
        <v>110</v>
      </c>
      <c r="R43" s="1389" t="s">
        <v>948</v>
      </c>
      <c r="S43" s="274" t="s">
        <v>820</v>
      </c>
      <c r="T43" s="1390" t="s">
        <v>945</v>
      </c>
      <c r="U43" s="277"/>
      <c r="V43" s="272" t="s">
        <v>118</v>
      </c>
      <c r="W43" s="1382" t="s">
        <v>875</v>
      </c>
      <c r="X43" s="274" t="s">
        <v>819</v>
      </c>
      <c r="Y43" s="1382" t="s">
        <v>885</v>
      </c>
      <c r="Z43" s="276"/>
      <c r="AA43" s="272" t="s">
        <v>127</v>
      </c>
      <c r="AB43" s="278" t="s">
        <v>780</v>
      </c>
      <c r="AC43" s="274" t="s">
        <v>821</v>
      </c>
      <c r="AD43" s="279" t="s">
        <v>781</v>
      </c>
      <c r="AE43" s="276"/>
      <c r="AF43" s="272" t="s">
        <v>136</v>
      </c>
      <c r="AG43" s="273" t="s">
        <v>563</v>
      </c>
      <c r="AH43" s="274" t="s">
        <v>513</v>
      </c>
      <c r="AI43" s="279" t="s">
        <v>561</v>
      </c>
      <c r="AJ43" s="276"/>
      <c r="AK43" s="272" t="s">
        <v>142</v>
      </c>
      <c r="AL43" s="278" t="s">
        <v>611</v>
      </c>
      <c r="AM43" s="274" t="s">
        <v>576</v>
      </c>
      <c r="AN43" s="279" t="s">
        <v>612</v>
      </c>
      <c r="AO43" s="276"/>
      <c r="AP43" s="272" t="s">
        <v>151</v>
      </c>
      <c r="AQ43" s="278" t="s">
        <v>645</v>
      </c>
      <c r="AR43" s="274" t="s">
        <v>822</v>
      </c>
      <c r="AS43" s="279" t="s">
        <v>647</v>
      </c>
      <c r="AT43" s="276"/>
      <c r="AU43" s="272"/>
      <c r="AV43" s="278"/>
      <c r="AW43" s="274"/>
      <c r="AX43" s="279"/>
      <c r="AZ43" s="341"/>
      <c r="BA43" s="278"/>
      <c r="BB43" s="342"/>
      <c r="BC43" s="279"/>
    </row>
    <row r="44" spans="1:55" ht="16.2" thickBot="1" x14ac:dyDescent="0.35">
      <c r="A44" s="140"/>
      <c r="B44" s="269">
        <v>63</v>
      </c>
      <c r="C44" s="270">
        <f t="shared" si="12"/>
        <v>1.4</v>
      </c>
      <c r="D44" s="270" t="str">
        <f t="shared" si="13"/>
        <v xml:space="preserve">300m </v>
      </c>
      <c r="E44" s="271"/>
      <c r="F44" s="118"/>
      <c r="G44" s="272" t="s">
        <v>100</v>
      </c>
      <c r="H44" s="273" t="s">
        <v>714</v>
      </c>
      <c r="I44" s="274" t="s">
        <v>818</v>
      </c>
      <c r="J44" s="278" t="s">
        <v>708</v>
      </c>
      <c r="K44" s="276"/>
      <c r="L44" s="272" t="s">
        <v>130</v>
      </c>
      <c r="M44" s="273" t="s">
        <v>752</v>
      </c>
      <c r="N44" s="274" t="s">
        <v>726</v>
      </c>
      <c r="O44" s="275" t="s">
        <v>749</v>
      </c>
      <c r="P44" s="276"/>
      <c r="Q44" s="272" t="s">
        <v>110</v>
      </c>
      <c r="R44" s="1389" t="s">
        <v>947</v>
      </c>
      <c r="S44" s="274" t="s">
        <v>820</v>
      </c>
      <c r="T44" s="1390" t="s">
        <v>950</v>
      </c>
      <c r="U44" s="277"/>
      <c r="V44" s="272" t="s">
        <v>118</v>
      </c>
      <c r="W44" s="1382" t="s">
        <v>876</v>
      </c>
      <c r="X44" s="274" t="s">
        <v>819</v>
      </c>
      <c r="Y44" s="1382" t="s">
        <v>886</v>
      </c>
      <c r="Z44" s="276"/>
      <c r="AA44" s="272" t="s">
        <v>127</v>
      </c>
      <c r="AB44" s="273" t="s">
        <v>777</v>
      </c>
      <c r="AC44" s="274" t="s">
        <v>821</v>
      </c>
      <c r="AD44" s="275" t="s">
        <v>774</v>
      </c>
      <c r="AE44" s="276"/>
      <c r="AF44" s="272" t="s">
        <v>136</v>
      </c>
      <c r="AG44" s="273" t="s">
        <v>563</v>
      </c>
      <c r="AH44" s="274" t="s">
        <v>513</v>
      </c>
      <c r="AI44" s="275" t="s">
        <v>565</v>
      </c>
      <c r="AJ44" s="276"/>
      <c r="AK44" s="272" t="s">
        <v>142</v>
      </c>
      <c r="AL44" s="273" t="s">
        <v>611</v>
      </c>
      <c r="AM44" s="274" t="s">
        <v>576</v>
      </c>
      <c r="AN44" s="275" t="s">
        <v>605</v>
      </c>
      <c r="AO44" s="276"/>
      <c r="AP44" s="272" t="s">
        <v>151</v>
      </c>
      <c r="AQ44" s="278" t="s">
        <v>646</v>
      </c>
      <c r="AR44" s="274" t="s">
        <v>822</v>
      </c>
      <c r="AS44" s="279" t="s">
        <v>644</v>
      </c>
      <c r="AT44" s="276"/>
      <c r="AU44" s="272"/>
      <c r="AV44" s="273"/>
      <c r="AW44" s="274"/>
      <c r="AX44" s="275"/>
      <c r="AZ44" s="341"/>
      <c r="BA44" s="273"/>
      <c r="BB44" s="342"/>
      <c r="BC44" s="275"/>
    </row>
    <row r="45" spans="1:55" ht="16.2" thickBot="1" x14ac:dyDescent="0.35">
      <c r="A45" s="140"/>
      <c r="B45" s="269">
        <v>68</v>
      </c>
      <c r="C45" s="270">
        <f t="shared" si="12"/>
        <v>4.0999999999999996</v>
      </c>
      <c r="D45" s="270" t="str">
        <f t="shared" si="13"/>
        <v xml:space="preserve">200m </v>
      </c>
      <c r="E45" s="271"/>
      <c r="F45" s="118"/>
      <c r="G45" s="272" t="s">
        <v>100</v>
      </c>
      <c r="H45" s="273" t="s">
        <v>712</v>
      </c>
      <c r="I45" s="274" t="s">
        <v>818</v>
      </c>
      <c r="J45" s="275" t="s">
        <v>715</v>
      </c>
      <c r="K45" s="276"/>
      <c r="L45" s="272" t="s">
        <v>130</v>
      </c>
      <c r="M45" s="273" t="s">
        <v>752</v>
      </c>
      <c r="N45" s="274" t="s">
        <v>726</v>
      </c>
      <c r="O45" s="275" t="s">
        <v>751</v>
      </c>
      <c r="P45" s="276"/>
      <c r="Q45" s="272" t="s">
        <v>110</v>
      </c>
      <c r="R45" s="1389" t="s">
        <v>949</v>
      </c>
      <c r="S45" s="274" t="s">
        <v>820</v>
      </c>
      <c r="T45" s="1390" t="s">
        <v>951</v>
      </c>
      <c r="U45" s="277"/>
      <c r="V45" s="272" t="s">
        <v>118</v>
      </c>
      <c r="W45" s="1382" t="s">
        <v>877</v>
      </c>
      <c r="X45" s="274" t="s">
        <v>819</v>
      </c>
      <c r="Y45" s="1382" t="s">
        <v>872</v>
      </c>
      <c r="Z45" s="276"/>
      <c r="AA45" s="272" t="s">
        <v>127</v>
      </c>
      <c r="AB45" s="273" t="s">
        <v>775</v>
      </c>
      <c r="AC45" s="274" t="s">
        <v>821</v>
      </c>
      <c r="AD45" s="275" t="s">
        <v>781</v>
      </c>
      <c r="AE45" s="276"/>
      <c r="AF45" s="272" t="s">
        <v>136</v>
      </c>
      <c r="AG45" s="273" t="s">
        <v>568</v>
      </c>
      <c r="AH45" s="274" t="s">
        <v>513</v>
      </c>
      <c r="AI45" s="275" t="s">
        <v>566</v>
      </c>
      <c r="AJ45" s="276"/>
      <c r="AK45" s="272" t="s">
        <v>142</v>
      </c>
      <c r="AL45" s="273" t="s">
        <v>607</v>
      </c>
      <c r="AM45" s="274"/>
      <c r="AN45" s="275"/>
      <c r="AO45" s="276"/>
      <c r="AP45" s="272" t="s">
        <v>151</v>
      </c>
      <c r="AQ45" s="278" t="s">
        <v>645</v>
      </c>
      <c r="AR45" s="274" t="s">
        <v>822</v>
      </c>
      <c r="AS45" s="279" t="s">
        <v>647</v>
      </c>
      <c r="AT45" s="276"/>
      <c r="AU45" s="272"/>
      <c r="AV45" s="273"/>
      <c r="AW45" s="274"/>
      <c r="AX45" s="275"/>
      <c r="AZ45" s="341"/>
      <c r="BA45" s="273"/>
      <c r="BB45" s="342"/>
      <c r="BC45" s="275"/>
    </row>
    <row r="46" spans="1:55" ht="16.2" thickBot="1" x14ac:dyDescent="0.35">
      <c r="A46" s="140"/>
      <c r="B46" s="269">
        <v>73</v>
      </c>
      <c r="C46" s="270">
        <f t="shared" si="12"/>
        <v>4.2</v>
      </c>
      <c r="D46" s="270" t="str">
        <f t="shared" si="13"/>
        <v xml:space="preserve">Shot </v>
      </c>
      <c r="E46" s="303"/>
      <c r="F46" s="118"/>
      <c r="G46" s="272" t="s">
        <v>100</v>
      </c>
      <c r="H46" s="273" t="s">
        <v>713</v>
      </c>
      <c r="I46" s="274" t="s">
        <v>818</v>
      </c>
      <c r="J46" s="275" t="s">
        <v>706</v>
      </c>
      <c r="K46" s="276"/>
      <c r="L46" s="272"/>
      <c r="M46" s="273"/>
      <c r="N46" s="274"/>
      <c r="O46" s="275"/>
      <c r="P46" s="276"/>
      <c r="Q46" s="272" t="s">
        <v>110</v>
      </c>
      <c r="R46" s="1389" t="s">
        <v>948</v>
      </c>
      <c r="S46" s="274" t="s">
        <v>820</v>
      </c>
      <c r="T46" s="1390" t="s">
        <v>950</v>
      </c>
      <c r="U46" s="277"/>
      <c r="V46" s="272" t="s">
        <v>118</v>
      </c>
      <c r="W46" s="1382" t="s">
        <v>878</v>
      </c>
      <c r="X46" s="274" t="s">
        <v>819</v>
      </c>
      <c r="Y46" s="1382" t="s">
        <v>880</v>
      </c>
      <c r="Z46" s="276"/>
      <c r="AA46" s="272" t="s">
        <v>127</v>
      </c>
      <c r="AB46" s="273" t="s">
        <v>780</v>
      </c>
      <c r="AC46" s="274" t="s">
        <v>821</v>
      </c>
      <c r="AD46" s="275" t="s">
        <v>776</v>
      </c>
      <c r="AE46" s="276"/>
      <c r="AF46" s="272" t="s">
        <v>136</v>
      </c>
      <c r="AG46" s="273" t="s">
        <v>561</v>
      </c>
      <c r="AH46" s="274" t="s">
        <v>513</v>
      </c>
      <c r="AI46" s="275" t="s">
        <v>567</v>
      </c>
      <c r="AJ46" s="276"/>
      <c r="AK46" s="272" t="s">
        <v>142</v>
      </c>
      <c r="AL46" s="273" t="s">
        <v>605</v>
      </c>
      <c r="AM46" s="274" t="s">
        <v>576</v>
      </c>
      <c r="AN46" s="275" t="s">
        <v>606</v>
      </c>
      <c r="AO46" s="276"/>
      <c r="AP46" s="272" t="s">
        <v>151</v>
      </c>
      <c r="AQ46" s="278" t="s">
        <v>646</v>
      </c>
      <c r="AR46" s="274" t="s">
        <v>822</v>
      </c>
      <c r="AS46" s="279" t="s">
        <v>648</v>
      </c>
      <c r="AT46" s="276"/>
      <c r="AU46" s="272"/>
      <c r="AV46" s="273"/>
      <c r="AW46" s="274"/>
      <c r="AX46" s="275"/>
      <c r="AZ46" s="341"/>
      <c r="BA46" s="273"/>
      <c r="BB46" s="342"/>
      <c r="BC46" s="275"/>
    </row>
    <row r="47" spans="1:55" ht="16.2" thickBot="1" x14ac:dyDescent="0.35">
      <c r="A47" s="140"/>
      <c r="B47" s="269">
        <v>83</v>
      </c>
      <c r="C47" s="270">
        <f t="shared" si="12"/>
        <v>4.55</v>
      </c>
      <c r="D47" s="270" t="str">
        <f t="shared" si="13"/>
        <v xml:space="preserve">4 x 100m </v>
      </c>
      <c r="E47" s="271"/>
      <c r="F47" s="118"/>
      <c r="G47" s="272"/>
      <c r="H47" s="278" t="str">
        <f>H$3</f>
        <v>BRAT</v>
      </c>
      <c r="I47" s="274"/>
      <c r="J47" s="279"/>
      <c r="K47" s="276"/>
      <c r="L47" s="272"/>
      <c r="M47" s="278" t="str">
        <f>M$3</f>
        <v>Kidder &amp; Stourport</v>
      </c>
      <c r="N47" s="274"/>
      <c r="O47" s="279"/>
      <c r="P47" s="276"/>
      <c r="Q47" s="272"/>
      <c r="R47" s="278" t="str">
        <f>R$3</f>
        <v>Royal Sutton</v>
      </c>
      <c r="S47" s="274"/>
      <c r="T47" s="279"/>
      <c r="U47" s="277"/>
      <c r="V47" s="272"/>
      <c r="W47" s="278" t="str">
        <f>W$3</f>
        <v>Rugby &amp; N'hampton</v>
      </c>
      <c r="X47" s="274"/>
      <c r="Y47" s="279"/>
      <c r="Z47" s="276"/>
      <c r="AA47" s="272"/>
      <c r="AB47" s="278" t="str">
        <f>AB$3</f>
        <v>Solihull &amp; S.Heath</v>
      </c>
      <c r="AC47" s="274"/>
      <c r="AD47" s="279"/>
      <c r="AE47" s="276"/>
      <c r="AF47" s="272"/>
      <c r="AG47" s="278" t="str">
        <f>AG$3</f>
        <v>Stratford</v>
      </c>
      <c r="AH47" s="274"/>
      <c r="AI47" s="279"/>
      <c r="AJ47" s="276"/>
      <c r="AK47" s="272"/>
      <c r="AL47" s="278" t="str">
        <f>AL$3</f>
        <v>Tamworth</v>
      </c>
      <c r="AM47" s="274"/>
      <c r="AN47" s="279"/>
      <c r="AO47" s="276"/>
      <c r="AP47" s="272"/>
      <c r="AQ47" s="278" t="str">
        <f>AQ$3</f>
        <v>Worcester</v>
      </c>
      <c r="AR47" s="274"/>
      <c r="AS47" s="279"/>
      <c r="AT47" s="276"/>
      <c r="AU47" s="272"/>
      <c r="AV47" s="278">
        <f>AV$3</f>
        <v>0</v>
      </c>
      <c r="AW47" s="274"/>
      <c r="AX47" s="279"/>
      <c r="AZ47" s="341"/>
      <c r="BA47" s="278">
        <f>BA$3</f>
        <v>0</v>
      </c>
      <c r="BB47" s="342"/>
      <c r="BC47" s="279"/>
    </row>
    <row r="48" spans="1:55" ht="16.2" thickBot="1" x14ac:dyDescent="0.35">
      <c r="A48" s="140"/>
      <c r="B48" s="269" t="str">
        <f>B47&amp;"R"</f>
        <v>83R</v>
      </c>
      <c r="C48" s="270"/>
      <c r="D48" s="270"/>
      <c r="E48" s="271"/>
      <c r="F48" s="118"/>
      <c r="G48" s="304">
        <v>1</v>
      </c>
      <c r="H48" s="278" t="s">
        <v>706</v>
      </c>
      <c r="I48" s="305">
        <v>2</v>
      </c>
      <c r="J48" s="279" t="s">
        <v>709</v>
      </c>
      <c r="K48" s="276"/>
      <c r="L48" s="304">
        <v>1</v>
      </c>
      <c r="M48" s="278" t="s">
        <v>749</v>
      </c>
      <c r="N48" s="305">
        <v>2</v>
      </c>
      <c r="O48" s="279" t="s">
        <v>750</v>
      </c>
      <c r="P48" s="276"/>
      <c r="Q48" s="1399">
        <v>1</v>
      </c>
      <c r="R48" s="1389" t="s">
        <v>949</v>
      </c>
      <c r="S48" s="1398">
        <v>2</v>
      </c>
      <c r="T48" s="1390" t="s">
        <v>950</v>
      </c>
      <c r="U48" s="277"/>
      <c r="V48" s="304">
        <v>1</v>
      </c>
      <c r="W48" s="1381" t="s">
        <v>874</v>
      </c>
      <c r="X48" s="305">
        <v>2</v>
      </c>
      <c r="Y48" s="1381" t="s">
        <v>877</v>
      </c>
      <c r="Z48" s="276"/>
      <c r="AA48" s="304">
        <v>1</v>
      </c>
      <c r="AB48" s="278" t="s">
        <v>775</v>
      </c>
      <c r="AC48" s="305">
        <v>2</v>
      </c>
      <c r="AD48" s="279" t="s">
        <v>776</v>
      </c>
      <c r="AE48" s="276"/>
      <c r="AF48" s="304">
        <v>1</v>
      </c>
      <c r="AG48" s="278" t="s">
        <v>568</v>
      </c>
      <c r="AH48" s="305">
        <v>2</v>
      </c>
      <c r="AI48" s="275" t="s">
        <v>565</v>
      </c>
      <c r="AJ48" s="276"/>
      <c r="AK48" s="304">
        <v>1</v>
      </c>
      <c r="AL48" s="278" t="s">
        <v>606</v>
      </c>
      <c r="AM48" s="305">
        <v>2</v>
      </c>
      <c r="AN48" s="279" t="s">
        <v>607</v>
      </c>
      <c r="AO48" s="276"/>
      <c r="AP48" s="304">
        <v>1</v>
      </c>
      <c r="AQ48" s="278" t="s">
        <v>642</v>
      </c>
      <c r="AR48" s="305">
        <v>2</v>
      </c>
      <c r="AS48" s="279" t="s">
        <v>645</v>
      </c>
      <c r="AT48" s="276"/>
      <c r="AU48" s="304">
        <v>1</v>
      </c>
      <c r="AV48" s="278"/>
      <c r="AW48" s="305">
        <v>2</v>
      </c>
      <c r="AX48" s="279"/>
      <c r="AZ48" s="343">
        <v>1</v>
      </c>
      <c r="BA48" s="278" t="str">
        <f t="shared" ref="BA48:BA49" si="14">CONCATENATE(LEFT(BA$3,3),$B48,LEFT(BA$6,1))</f>
        <v>83RA</v>
      </c>
      <c r="BB48" s="344">
        <v>2</v>
      </c>
      <c r="BC48" s="279" t="str">
        <f t="shared" ref="BC48:BC49" si="15">CONCATENATE(LEFT(BC$3,3),$B48,LEFT(BC$6,1))</f>
        <v>83RB</v>
      </c>
    </row>
    <row r="49" spans="1:55" ht="16.2" thickBot="1" x14ac:dyDescent="0.35">
      <c r="A49" s="140"/>
      <c r="B49" s="269" t="str">
        <f>B47&amp;"S"</f>
        <v>83S</v>
      </c>
      <c r="C49" s="270"/>
      <c r="D49" s="270"/>
      <c r="E49" s="271"/>
      <c r="F49" s="118"/>
      <c r="G49" s="304">
        <v>3</v>
      </c>
      <c r="H49" s="278" t="s">
        <v>715</v>
      </c>
      <c r="I49" s="305">
        <v>4</v>
      </c>
      <c r="J49" s="279" t="s">
        <v>712</v>
      </c>
      <c r="K49" s="276"/>
      <c r="L49" s="304">
        <v>3</v>
      </c>
      <c r="M49" s="278" t="s">
        <v>751</v>
      </c>
      <c r="N49" s="305">
        <v>4</v>
      </c>
      <c r="O49" s="279" t="s">
        <v>752</v>
      </c>
      <c r="P49" s="276"/>
      <c r="Q49" s="1399">
        <v>3</v>
      </c>
      <c r="R49" s="1389" t="s">
        <v>945</v>
      </c>
      <c r="S49" s="1398">
        <v>4</v>
      </c>
      <c r="T49" s="1390" t="s">
        <v>944</v>
      </c>
      <c r="U49" s="277"/>
      <c r="V49" s="304">
        <v>3</v>
      </c>
      <c r="W49" s="1382" t="s">
        <v>882</v>
      </c>
      <c r="X49" s="305">
        <v>4</v>
      </c>
      <c r="Y49" s="1382" t="s">
        <v>884</v>
      </c>
      <c r="Z49" s="276"/>
      <c r="AA49" s="304">
        <v>3</v>
      </c>
      <c r="AB49" s="278" t="s">
        <v>779</v>
      </c>
      <c r="AC49" s="305">
        <v>4</v>
      </c>
      <c r="AD49" s="279" t="s">
        <v>781</v>
      </c>
      <c r="AE49" s="276"/>
      <c r="AF49" s="304">
        <v>3</v>
      </c>
      <c r="AG49" s="278" t="s">
        <v>564</v>
      </c>
      <c r="AH49" s="305">
        <v>4</v>
      </c>
      <c r="AI49" s="279" t="s">
        <v>566</v>
      </c>
      <c r="AJ49" s="276"/>
      <c r="AK49" s="304">
        <v>3</v>
      </c>
      <c r="AL49" s="278" t="s">
        <v>612</v>
      </c>
      <c r="AM49" s="305">
        <v>4</v>
      </c>
      <c r="AN49" s="278" t="s">
        <v>611</v>
      </c>
      <c r="AO49" s="276"/>
      <c r="AP49" s="304">
        <v>3</v>
      </c>
      <c r="AQ49" s="278" t="s">
        <v>647</v>
      </c>
      <c r="AR49" s="305">
        <v>4</v>
      </c>
      <c r="AS49" s="279" t="s">
        <v>646</v>
      </c>
      <c r="AT49" s="276"/>
      <c r="AU49" s="304">
        <v>3</v>
      </c>
      <c r="AV49" s="278"/>
      <c r="AW49" s="305">
        <v>4</v>
      </c>
      <c r="AX49" s="279"/>
      <c r="AZ49" s="343">
        <v>3</v>
      </c>
      <c r="BA49" s="278" t="str">
        <f t="shared" si="14"/>
        <v>83SA</v>
      </c>
      <c r="BB49" s="344">
        <v>4</v>
      </c>
      <c r="BC49" s="279" t="str">
        <f t="shared" si="15"/>
        <v>83SB</v>
      </c>
    </row>
    <row r="50" spans="1:55" ht="15.6" x14ac:dyDescent="0.3">
      <c r="A50" s="140"/>
      <c r="B50" s="269"/>
      <c r="C50" s="270" t="str">
        <f t="shared" si="12"/>
        <v xml:space="preserve"> </v>
      </c>
      <c r="D50" s="270" t="str">
        <f t="shared" si="13"/>
        <v xml:space="preserve"> </v>
      </c>
      <c r="E50" s="271"/>
      <c r="F50" s="118"/>
      <c r="G50" s="272"/>
      <c r="H50" s="278"/>
      <c r="I50" s="274"/>
      <c r="J50" s="279"/>
      <c r="K50" s="276"/>
      <c r="L50" s="272"/>
      <c r="M50" s="278"/>
      <c r="N50" s="274"/>
      <c r="O50" s="279"/>
      <c r="P50" s="276"/>
      <c r="Q50" s="272"/>
      <c r="R50" s="278"/>
      <c r="S50" s="274"/>
      <c r="T50" s="279"/>
      <c r="U50" s="277"/>
      <c r="V50" s="272"/>
      <c r="W50" s="278"/>
      <c r="X50" s="274"/>
      <c r="Y50" s="279"/>
      <c r="Z50" s="276"/>
      <c r="AA50" s="272"/>
      <c r="AB50" s="278"/>
      <c r="AC50" s="274"/>
      <c r="AD50" s="279"/>
      <c r="AE50" s="276"/>
      <c r="AF50" s="272"/>
      <c r="AG50" s="278"/>
      <c r="AH50" s="274"/>
      <c r="AI50" s="279"/>
      <c r="AJ50" s="276"/>
      <c r="AK50" s="272"/>
      <c r="AL50" s="278"/>
      <c r="AM50" s="274"/>
      <c r="AN50" s="279"/>
      <c r="AO50" s="276"/>
      <c r="AP50" s="272"/>
      <c r="AQ50" s="278"/>
      <c r="AR50" s="274"/>
      <c r="AS50" s="279"/>
      <c r="AT50" s="276"/>
      <c r="AU50" s="272"/>
      <c r="AV50" s="278"/>
      <c r="AW50" s="274"/>
      <c r="AX50" s="279"/>
      <c r="AZ50" s="341"/>
      <c r="BA50" s="278"/>
      <c r="BB50" s="342"/>
      <c r="BC50" s="279"/>
    </row>
    <row r="51" spans="1:55" ht="16.2" thickBot="1" x14ac:dyDescent="0.35">
      <c r="A51" s="140"/>
      <c r="B51" s="16"/>
      <c r="D51" s="118"/>
      <c r="E51" s="139"/>
      <c r="F51" s="118"/>
      <c r="G51" s="306"/>
      <c r="H51" s="276"/>
      <c r="I51" s="307"/>
      <c r="J51" s="280"/>
      <c r="K51" s="276"/>
      <c r="L51" s="306"/>
      <c r="M51" s="276"/>
      <c r="N51" s="307"/>
      <c r="O51" s="280"/>
      <c r="P51" s="276"/>
      <c r="Q51" s="306"/>
      <c r="R51" s="276"/>
      <c r="S51" s="307"/>
      <c r="T51" s="280"/>
      <c r="U51" s="277"/>
      <c r="V51" s="306"/>
      <c r="W51" s="276"/>
      <c r="X51" s="307"/>
      <c r="Y51" s="280"/>
      <c r="Z51" s="276"/>
      <c r="AA51" s="306"/>
      <c r="AB51" s="276"/>
      <c r="AC51" s="307"/>
      <c r="AD51" s="280"/>
      <c r="AE51" s="276"/>
      <c r="AF51" s="306"/>
      <c r="AG51" s="276"/>
      <c r="AH51" s="307"/>
      <c r="AI51" s="280"/>
      <c r="AJ51" s="276"/>
      <c r="AK51" s="306"/>
      <c r="AL51" s="276"/>
      <c r="AM51" s="307"/>
      <c r="AN51" s="280"/>
      <c r="AO51" s="276"/>
      <c r="AP51" s="306"/>
      <c r="AQ51" s="276"/>
      <c r="AR51" s="307"/>
      <c r="AS51" s="280"/>
      <c r="AT51" s="276"/>
      <c r="AU51" s="306"/>
      <c r="AV51" s="276"/>
      <c r="AW51" s="307"/>
      <c r="AX51" s="280"/>
      <c r="AZ51" s="16"/>
      <c r="BB51" s="32"/>
      <c r="BC51" s="280"/>
    </row>
    <row r="52" spans="1:55" ht="16.2" thickBot="1" x14ac:dyDescent="0.35">
      <c r="A52" s="140"/>
      <c r="B52" s="286" t="s">
        <v>165</v>
      </c>
      <c r="C52" s="287" t="s">
        <v>168</v>
      </c>
      <c r="D52" s="288" t="s">
        <v>241</v>
      </c>
      <c r="E52" s="289"/>
      <c r="F52" s="118"/>
      <c r="G52" s="290" t="s">
        <v>167</v>
      </c>
      <c r="H52" s="291" t="s">
        <v>242</v>
      </c>
      <c r="I52" s="291" t="s">
        <v>167</v>
      </c>
      <c r="J52" s="292" t="s">
        <v>243</v>
      </c>
      <c r="K52" s="276"/>
      <c r="L52" s="290" t="s">
        <v>167</v>
      </c>
      <c r="M52" s="291" t="s">
        <v>242</v>
      </c>
      <c r="N52" s="291" t="s">
        <v>167</v>
      </c>
      <c r="O52" s="292" t="s">
        <v>243</v>
      </c>
      <c r="P52" s="276"/>
      <c r="Q52" s="290" t="s">
        <v>167</v>
      </c>
      <c r="R52" s="291" t="s">
        <v>242</v>
      </c>
      <c r="S52" s="291" t="s">
        <v>167</v>
      </c>
      <c r="T52" s="292" t="s">
        <v>243</v>
      </c>
      <c r="U52" s="277"/>
      <c r="V52" s="290" t="s">
        <v>167</v>
      </c>
      <c r="W52" s="291" t="s">
        <v>242</v>
      </c>
      <c r="X52" s="291" t="s">
        <v>167</v>
      </c>
      <c r="Y52" s="292" t="s">
        <v>243</v>
      </c>
      <c r="Z52" s="276"/>
      <c r="AA52" s="290" t="s">
        <v>167</v>
      </c>
      <c r="AB52" s="291" t="s">
        <v>242</v>
      </c>
      <c r="AC52" s="291" t="s">
        <v>167</v>
      </c>
      <c r="AD52" s="292" t="s">
        <v>243</v>
      </c>
      <c r="AE52" s="276"/>
      <c r="AF52" s="290" t="s">
        <v>167</v>
      </c>
      <c r="AG52" s="291" t="s">
        <v>242</v>
      </c>
      <c r="AH52" s="291" t="s">
        <v>167</v>
      </c>
      <c r="AI52" s="292" t="s">
        <v>243</v>
      </c>
      <c r="AJ52" s="276"/>
      <c r="AK52" s="290" t="s">
        <v>167</v>
      </c>
      <c r="AL52" s="291" t="s">
        <v>242</v>
      </c>
      <c r="AM52" s="291" t="s">
        <v>167</v>
      </c>
      <c r="AN52" s="292" t="s">
        <v>243</v>
      </c>
      <c r="AO52" s="276"/>
      <c r="AP52" s="290" t="s">
        <v>167</v>
      </c>
      <c r="AQ52" s="291" t="s">
        <v>242</v>
      </c>
      <c r="AR52" s="291" t="s">
        <v>167</v>
      </c>
      <c r="AS52" s="292" t="s">
        <v>243</v>
      </c>
      <c r="AT52" s="276"/>
      <c r="AU52" s="290" t="s">
        <v>167</v>
      </c>
      <c r="AV52" s="291" t="s">
        <v>242</v>
      </c>
      <c r="AW52" s="291" t="s">
        <v>167</v>
      </c>
      <c r="AX52" s="292" t="s">
        <v>243</v>
      </c>
      <c r="AZ52" s="286" t="s">
        <v>167</v>
      </c>
      <c r="BA52" s="287" t="s">
        <v>242</v>
      </c>
      <c r="BB52" s="287" t="s">
        <v>167</v>
      </c>
      <c r="BC52" s="338" t="s">
        <v>243</v>
      </c>
    </row>
    <row r="53" spans="1:55" ht="15.6" x14ac:dyDescent="0.3">
      <c r="A53" s="140"/>
      <c r="B53" s="264"/>
      <c r="C53" s="266"/>
      <c r="D53" s="309" t="s">
        <v>477</v>
      </c>
      <c r="E53" s="310"/>
      <c r="F53" s="143"/>
      <c r="G53" s="298"/>
      <c r="H53" s="299"/>
      <c r="I53" s="300"/>
      <c r="J53" s="301"/>
      <c r="K53" s="302"/>
      <c r="L53" s="298"/>
      <c r="M53" s="299"/>
      <c r="N53" s="300"/>
      <c r="O53" s="301"/>
      <c r="P53" s="302"/>
      <c r="Q53" s="298"/>
      <c r="R53" s="299"/>
      <c r="S53" s="300"/>
      <c r="T53" s="301"/>
      <c r="U53" s="308"/>
      <c r="V53" s="298"/>
      <c r="W53" s="299"/>
      <c r="X53" s="300"/>
      <c r="Y53" s="301"/>
      <c r="Z53" s="302"/>
      <c r="AA53" s="298"/>
      <c r="AB53" s="299"/>
      <c r="AC53" s="300"/>
      <c r="AD53" s="301"/>
      <c r="AE53" s="302"/>
      <c r="AF53" s="298"/>
      <c r="AG53" s="299"/>
      <c r="AH53" s="300"/>
      <c r="AI53" s="301"/>
      <c r="AJ53" s="302"/>
      <c r="AK53" s="298"/>
      <c r="AL53" s="299"/>
      <c r="AM53" s="300"/>
      <c r="AN53" s="301"/>
      <c r="AO53" s="302"/>
      <c r="AP53" s="298"/>
      <c r="AQ53" s="299"/>
      <c r="AR53" s="300"/>
      <c r="AS53" s="301"/>
      <c r="AT53" s="302"/>
      <c r="AU53" s="298"/>
      <c r="AV53" s="299"/>
      <c r="AW53" s="300"/>
      <c r="AX53" s="301"/>
      <c r="AY53" s="140"/>
      <c r="AZ53" s="294"/>
      <c r="BA53" s="322"/>
      <c r="BB53" s="295"/>
      <c r="BC53" s="301"/>
    </row>
    <row r="54" spans="1:55" ht="16.2" thickBot="1" x14ac:dyDescent="0.35">
      <c r="A54" s="140"/>
      <c r="B54" s="269">
        <v>4</v>
      </c>
      <c r="C54" s="270">
        <f t="shared" ref="C54:C60" si="16">IF($B54&gt;0,VLOOKUP($B54,EventsOrder,2,FALSE)," ")</f>
        <v>11.2</v>
      </c>
      <c r="D54" s="270" t="str">
        <f t="shared" ref="D54:D60" si="17">IF($B54&gt;0,VLOOKUP($B54,EventsOrder,6,FALSE)," ")</f>
        <v xml:space="preserve">1500m (U18/U20) </v>
      </c>
      <c r="E54" s="271"/>
      <c r="F54" s="118"/>
      <c r="G54" s="272" t="s">
        <v>100</v>
      </c>
      <c r="H54" s="278" t="s">
        <v>716</v>
      </c>
      <c r="I54" s="274"/>
      <c r="J54" s="279"/>
      <c r="K54" s="276"/>
      <c r="L54" s="272"/>
      <c r="M54" s="278"/>
      <c r="N54" s="274"/>
      <c r="O54" s="279"/>
      <c r="P54" s="276"/>
      <c r="Q54" s="272" t="s">
        <v>110</v>
      </c>
      <c r="R54" s="1389" t="s">
        <v>952</v>
      </c>
      <c r="S54" s="274" t="s">
        <v>820</v>
      </c>
      <c r="T54" s="279"/>
      <c r="U54" s="277"/>
      <c r="V54" s="272" t="s">
        <v>118</v>
      </c>
      <c r="W54" s="278"/>
      <c r="X54" s="274" t="s">
        <v>819</v>
      </c>
      <c r="Y54" s="279"/>
      <c r="Z54" s="276"/>
      <c r="AA54" s="272"/>
      <c r="AB54" s="278"/>
      <c r="AC54" s="274"/>
      <c r="AD54" s="279"/>
      <c r="AE54" s="276"/>
      <c r="AF54" s="272" t="s">
        <v>136</v>
      </c>
      <c r="AG54" s="278" t="s">
        <v>569</v>
      </c>
      <c r="AH54" s="274"/>
      <c r="AI54" s="279"/>
      <c r="AJ54" s="276"/>
      <c r="AK54" s="272"/>
      <c r="AL54" s="278"/>
      <c r="AM54" s="274"/>
      <c r="AN54" s="279"/>
      <c r="AO54" s="276"/>
      <c r="AP54" s="272"/>
      <c r="AQ54" s="278"/>
      <c r="AR54" s="274"/>
      <c r="AS54" s="279"/>
      <c r="AT54" s="276"/>
      <c r="AU54" s="272"/>
      <c r="AV54" s="278"/>
      <c r="AW54" s="274"/>
      <c r="AX54" s="279"/>
      <c r="AZ54" s="341"/>
      <c r="BA54" s="278"/>
      <c r="BB54" s="342"/>
      <c r="BC54" s="279"/>
    </row>
    <row r="55" spans="1:55" ht="16.2" thickBot="1" x14ac:dyDescent="0.35">
      <c r="A55" s="140"/>
      <c r="B55" s="269">
        <v>13</v>
      </c>
      <c r="C55" s="270">
        <f t="shared" si="16"/>
        <v>12.15</v>
      </c>
      <c r="D55" s="270" t="str">
        <f t="shared" si="17"/>
        <v>Javelin (U18) Match 1 &amp; 3</v>
      </c>
      <c r="E55" s="271"/>
      <c r="F55" s="118"/>
      <c r="G55" s="272" t="s">
        <v>100</v>
      </c>
      <c r="H55" s="278" t="s">
        <v>716</v>
      </c>
      <c r="I55" s="274"/>
      <c r="J55" s="279"/>
      <c r="K55" s="276"/>
      <c r="L55" s="272"/>
      <c r="M55" s="278"/>
      <c r="N55" s="274"/>
      <c r="O55" s="279"/>
      <c r="P55" s="276"/>
      <c r="Q55" s="272" t="s">
        <v>110</v>
      </c>
      <c r="R55" s="1389" t="s">
        <v>952</v>
      </c>
      <c r="S55" s="274" t="s">
        <v>820</v>
      </c>
      <c r="T55" s="279"/>
      <c r="U55" s="277"/>
      <c r="V55" s="272" t="s">
        <v>118</v>
      </c>
      <c r="W55" s="1381" t="s">
        <v>887</v>
      </c>
      <c r="X55" s="274" t="s">
        <v>819</v>
      </c>
      <c r="Y55" s="1381" t="s">
        <v>889</v>
      </c>
      <c r="Z55" s="276"/>
      <c r="AA55" s="272" t="s">
        <v>127</v>
      </c>
      <c r="AB55" s="278" t="s">
        <v>782</v>
      </c>
      <c r="AC55" s="274" t="s">
        <v>821</v>
      </c>
      <c r="AD55" s="279" t="s">
        <v>783</v>
      </c>
      <c r="AE55" s="276"/>
      <c r="AF55" s="272" t="s">
        <v>136</v>
      </c>
      <c r="AG55" s="278" t="s">
        <v>570</v>
      </c>
      <c r="AH55" s="274"/>
      <c r="AI55" s="279"/>
      <c r="AJ55" s="276"/>
      <c r="AK55" s="272" t="s">
        <v>142</v>
      </c>
      <c r="AL55" s="278" t="s">
        <v>613</v>
      </c>
      <c r="AM55" s="274"/>
      <c r="AN55" s="279"/>
      <c r="AO55" s="276"/>
      <c r="AP55" s="272"/>
      <c r="AQ55" s="278"/>
      <c r="AR55" s="274"/>
      <c r="AS55" s="279"/>
      <c r="AT55" s="276"/>
      <c r="AU55" s="272"/>
      <c r="AV55" s="278"/>
      <c r="AW55" s="274"/>
      <c r="AX55" s="279"/>
      <c r="AZ55" s="341"/>
      <c r="BA55" s="278"/>
      <c r="BB55" s="342"/>
      <c r="BC55" s="279"/>
    </row>
    <row r="56" spans="1:55" ht="16.2" thickBot="1" x14ac:dyDescent="0.35">
      <c r="A56" s="140"/>
      <c r="B56" s="269">
        <v>19</v>
      </c>
      <c r="C56" s="270">
        <f t="shared" si="16"/>
        <v>12.3</v>
      </c>
      <c r="D56" s="270" t="str">
        <f t="shared" si="17"/>
        <v xml:space="preserve">100m hurdles (U18) </v>
      </c>
      <c r="E56" s="271"/>
      <c r="F56" s="118"/>
      <c r="G56" s="272"/>
      <c r="H56" s="273"/>
      <c r="I56" s="274"/>
      <c r="J56" s="279"/>
      <c r="K56" s="276"/>
      <c r="L56" s="272" t="s">
        <v>130</v>
      </c>
      <c r="M56" s="273" t="s">
        <v>753</v>
      </c>
      <c r="N56" s="274"/>
      <c r="O56" s="279"/>
      <c r="P56" s="276"/>
      <c r="Q56" s="272" t="s">
        <v>110</v>
      </c>
      <c r="R56" s="1389"/>
      <c r="S56" s="274" t="s">
        <v>820</v>
      </c>
      <c r="T56" s="279"/>
      <c r="U56" s="277"/>
      <c r="V56" s="272" t="s">
        <v>118</v>
      </c>
      <c r="W56" s="1382" t="s">
        <v>888</v>
      </c>
      <c r="X56" s="274" t="s">
        <v>819</v>
      </c>
      <c r="Y56" s="1382"/>
      <c r="Z56" s="276"/>
      <c r="AA56" s="272"/>
      <c r="AB56" s="273"/>
      <c r="AC56" s="274"/>
      <c r="AD56" s="279"/>
      <c r="AE56" s="276"/>
      <c r="AF56" s="272" t="s">
        <v>136</v>
      </c>
      <c r="AG56" s="273" t="s">
        <v>571</v>
      </c>
      <c r="AH56" s="274" t="s">
        <v>513</v>
      </c>
      <c r="AI56" s="279" t="s">
        <v>572</v>
      </c>
      <c r="AJ56" s="276"/>
      <c r="AK56" s="272" t="s">
        <v>142</v>
      </c>
      <c r="AL56" s="273" t="s">
        <v>614</v>
      </c>
      <c r="AM56" s="274"/>
      <c r="AN56" s="279"/>
      <c r="AO56" s="276"/>
      <c r="AP56" s="272"/>
      <c r="AQ56" s="273"/>
      <c r="AR56" s="274"/>
      <c r="AS56" s="279"/>
      <c r="AT56" s="276"/>
      <c r="AU56" s="272"/>
      <c r="AV56" s="273"/>
      <c r="AW56" s="274"/>
      <c r="AX56" s="279"/>
      <c r="AZ56" s="341"/>
      <c r="BA56" s="273"/>
      <c r="BB56" s="342"/>
      <c r="BC56" s="279"/>
    </row>
    <row r="57" spans="1:55" ht="16.2" thickBot="1" x14ac:dyDescent="0.35">
      <c r="A57" s="140"/>
      <c r="B57" s="269">
        <v>28</v>
      </c>
      <c r="C57" s="270">
        <f t="shared" si="16"/>
        <v>1.2</v>
      </c>
      <c r="D57" s="270" t="str">
        <f t="shared" si="17"/>
        <v xml:space="preserve">800m (U18/U20) </v>
      </c>
      <c r="E57" s="271"/>
      <c r="F57" s="118"/>
      <c r="G57" s="272" t="s">
        <v>100</v>
      </c>
      <c r="H57" s="278" t="s">
        <v>717</v>
      </c>
      <c r="I57" s="274"/>
      <c r="J57" s="279"/>
      <c r="K57" s="276"/>
      <c r="L57" s="272"/>
      <c r="M57" s="278"/>
      <c r="N57" s="274"/>
      <c r="O57" s="279"/>
      <c r="P57" s="276"/>
      <c r="Q57" s="272" t="s">
        <v>110</v>
      </c>
      <c r="R57" s="1389"/>
      <c r="S57" s="274" t="s">
        <v>820</v>
      </c>
      <c r="T57" s="279"/>
      <c r="U57" s="277"/>
      <c r="V57" s="272" t="s">
        <v>118</v>
      </c>
      <c r="W57" s="1382"/>
      <c r="X57" s="274" t="s">
        <v>819</v>
      </c>
      <c r="Y57" s="1382"/>
      <c r="Z57" s="276"/>
      <c r="AA57" s="272"/>
      <c r="AB57" s="278"/>
      <c r="AC57" s="274"/>
      <c r="AD57" s="279"/>
      <c r="AE57" s="276"/>
      <c r="AF57" s="272"/>
      <c r="AG57" s="278"/>
      <c r="AH57" s="274"/>
      <c r="AI57" s="279"/>
      <c r="AJ57" s="276"/>
      <c r="AK57" s="272"/>
      <c r="AL57" s="278"/>
      <c r="AM57" s="274"/>
      <c r="AN57" s="279"/>
      <c r="AO57" s="276"/>
      <c r="AP57" s="272" t="s">
        <v>151</v>
      </c>
      <c r="AQ57" s="278" t="s">
        <v>649</v>
      </c>
      <c r="AR57" s="274"/>
      <c r="AS57" s="279"/>
      <c r="AT57" s="276"/>
      <c r="AU57" s="272"/>
      <c r="AV57" s="278"/>
      <c r="AW57" s="274"/>
      <c r="AX57" s="279"/>
      <c r="AZ57" s="341"/>
      <c r="BA57" s="278"/>
      <c r="BB57" s="342"/>
      <c r="BC57" s="279"/>
    </row>
    <row r="58" spans="1:55" ht="16.2" thickBot="1" x14ac:dyDescent="0.35">
      <c r="A58" s="140"/>
      <c r="B58" s="269">
        <v>33</v>
      </c>
      <c r="C58" s="270">
        <f t="shared" si="16"/>
        <v>1.3</v>
      </c>
      <c r="D58" s="270" t="str">
        <f t="shared" si="17"/>
        <v xml:space="preserve">400m (U18/U20) </v>
      </c>
      <c r="E58" s="271"/>
      <c r="F58" s="118"/>
      <c r="G58" s="272" t="s">
        <v>100</v>
      </c>
      <c r="H58" s="279" t="s">
        <v>717</v>
      </c>
      <c r="I58" s="274"/>
      <c r="J58" s="279"/>
      <c r="K58" s="276"/>
      <c r="L58" s="272"/>
      <c r="M58" s="278"/>
      <c r="N58" s="274"/>
      <c r="O58" s="279"/>
      <c r="P58" s="276"/>
      <c r="Q58" s="272" t="s">
        <v>110</v>
      </c>
      <c r="R58" s="1389" t="s">
        <v>953</v>
      </c>
      <c r="S58" s="274" t="s">
        <v>820</v>
      </c>
      <c r="T58" s="279"/>
      <c r="U58" s="277"/>
      <c r="V58" s="272" t="s">
        <v>118</v>
      </c>
      <c r="W58" s="1382"/>
      <c r="X58" s="274" t="s">
        <v>819</v>
      </c>
      <c r="Y58" s="1382"/>
      <c r="Z58" s="276"/>
      <c r="AA58" s="272"/>
      <c r="AB58" s="278"/>
      <c r="AC58" s="274"/>
      <c r="AD58" s="279"/>
      <c r="AE58" s="276"/>
      <c r="AF58" s="272" t="s">
        <v>136</v>
      </c>
      <c r="AG58" s="278" t="s">
        <v>570</v>
      </c>
      <c r="AH58" s="274"/>
      <c r="AI58" s="279"/>
      <c r="AJ58" s="276"/>
      <c r="AK58" s="272"/>
      <c r="AL58" s="278"/>
      <c r="AM58" s="274"/>
      <c r="AN58" s="279"/>
      <c r="AO58" s="276"/>
      <c r="AP58" s="272"/>
      <c r="AQ58" s="278"/>
      <c r="AR58" s="274"/>
      <c r="AS58" s="279"/>
      <c r="AT58" s="276"/>
      <c r="AU58" s="272"/>
      <c r="AV58" s="278"/>
      <c r="AW58" s="274"/>
      <c r="AX58" s="279"/>
      <c r="AZ58" s="341"/>
      <c r="BA58" s="278"/>
      <c r="BB58" s="342"/>
      <c r="BC58" s="279"/>
    </row>
    <row r="59" spans="1:55" ht="16.2" thickBot="1" x14ac:dyDescent="0.35">
      <c r="A59" s="140"/>
      <c r="B59" s="269">
        <v>35</v>
      </c>
      <c r="C59" s="270">
        <f t="shared" si="16"/>
        <v>1.5</v>
      </c>
      <c r="D59" s="270" t="str">
        <f t="shared" si="17"/>
        <v xml:space="preserve">Shot (U18) </v>
      </c>
      <c r="E59" s="271"/>
      <c r="F59" s="118"/>
      <c r="G59" s="272" t="s">
        <v>100</v>
      </c>
      <c r="H59" s="278" t="s">
        <v>719</v>
      </c>
      <c r="I59" s="274" t="s">
        <v>818</v>
      </c>
      <c r="J59" s="279" t="s">
        <v>720</v>
      </c>
      <c r="K59" s="276"/>
      <c r="L59" s="272" t="s">
        <v>130</v>
      </c>
      <c r="M59" s="278" t="s">
        <v>753</v>
      </c>
      <c r="N59" s="274" t="s">
        <v>726</v>
      </c>
      <c r="O59" s="279" t="s">
        <v>754</v>
      </c>
      <c r="P59" s="276"/>
      <c r="Q59" s="272" t="s">
        <v>110</v>
      </c>
      <c r="R59" s="278"/>
      <c r="S59" s="274" t="s">
        <v>820</v>
      </c>
      <c r="T59" s="279"/>
      <c r="U59" s="277"/>
      <c r="V59" s="272" t="s">
        <v>118</v>
      </c>
      <c r="W59" s="1382" t="s">
        <v>889</v>
      </c>
      <c r="X59" s="274" t="s">
        <v>819</v>
      </c>
      <c r="Y59" s="1382" t="s">
        <v>892</v>
      </c>
      <c r="Z59" s="276"/>
      <c r="AA59" s="272" t="s">
        <v>127</v>
      </c>
      <c r="AB59" s="278" t="s">
        <v>783</v>
      </c>
      <c r="AC59" s="274"/>
      <c r="AD59" s="279"/>
      <c r="AE59" s="276"/>
      <c r="AF59" s="272"/>
      <c r="AG59" s="278"/>
      <c r="AH59" s="274"/>
      <c r="AI59" s="279"/>
      <c r="AJ59" s="276"/>
      <c r="AK59" s="272" t="s">
        <v>142</v>
      </c>
      <c r="AL59" s="279" t="s">
        <v>614</v>
      </c>
      <c r="AM59" s="274"/>
      <c r="AN59" s="279"/>
      <c r="AO59" s="276"/>
      <c r="AP59" s="272"/>
      <c r="AQ59" s="278"/>
      <c r="AR59" s="274"/>
      <c r="AS59" s="279"/>
      <c r="AT59" s="276"/>
      <c r="AU59" s="272"/>
      <c r="AV59" s="278"/>
      <c r="AW59" s="274"/>
      <c r="AX59" s="279"/>
      <c r="AZ59" s="341"/>
      <c r="BA59" s="278"/>
      <c r="BB59" s="342"/>
      <c r="BC59" s="279"/>
    </row>
    <row r="60" spans="1:55" ht="16.2" thickBot="1" x14ac:dyDescent="0.35">
      <c r="A60" s="140"/>
      <c r="B60" s="269">
        <v>42</v>
      </c>
      <c r="C60" s="270">
        <f t="shared" si="16"/>
        <v>2.2999999999999998</v>
      </c>
      <c r="D60" s="270" t="str">
        <f t="shared" si="17"/>
        <v xml:space="preserve">100m (U18/U20) </v>
      </c>
      <c r="E60" s="271"/>
      <c r="F60" s="118"/>
      <c r="G60" s="272" t="s">
        <v>100</v>
      </c>
      <c r="H60" s="276" t="s">
        <v>720</v>
      </c>
      <c r="I60" s="274" t="s">
        <v>818</v>
      </c>
      <c r="J60" s="279" t="s">
        <v>721</v>
      </c>
      <c r="K60" s="276"/>
      <c r="L60" s="272"/>
      <c r="M60" s="276"/>
      <c r="N60" s="274"/>
      <c r="O60" s="279"/>
      <c r="P60" s="276"/>
      <c r="Q60" s="272" t="s">
        <v>110</v>
      </c>
      <c r="R60" s="276"/>
      <c r="S60" s="274" t="s">
        <v>820</v>
      </c>
      <c r="T60" s="279"/>
      <c r="U60" s="277"/>
      <c r="V60" s="272" t="s">
        <v>118</v>
      </c>
      <c r="W60" s="1382" t="s">
        <v>890</v>
      </c>
      <c r="X60" s="274" t="s">
        <v>819</v>
      </c>
      <c r="Y60" s="279"/>
      <c r="Z60" s="276"/>
      <c r="AA60" s="272"/>
      <c r="AB60" s="276"/>
      <c r="AC60" s="274"/>
      <c r="AD60" s="279"/>
      <c r="AE60" s="276"/>
      <c r="AF60" s="272" t="s">
        <v>136</v>
      </c>
      <c r="AG60" s="276" t="s">
        <v>571</v>
      </c>
      <c r="AH60" s="274" t="s">
        <v>513</v>
      </c>
      <c r="AI60" s="279" t="s">
        <v>573</v>
      </c>
      <c r="AJ60" s="276"/>
      <c r="AK60" s="272" t="s">
        <v>142</v>
      </c>
      <c r="AL60" s="276" t="s">
        <v>613</v>
      </c>
      <c r="AM60" s="274" t="s">
        <v>576</v>
      </c>
      <c r="AN60" s="279" t="s">
        <v>614</v>
      </c>
      <c r="AO60" s="276"/>
      <c r="AP60" s="272"/>
      <c r="AQ60" s="276"/>
      <c r="AR60" s="274"/>
      <c r="AS60" s="279"/>
      <c r="AT60" s="276"/>
      <c r="AU60" s="272"/>
      <c r="AV60" s="276"/>
      <c r="AW60" s="274"/>
      <c r="AX60" s="279"/>
      <c r="AZ60" s="341"/>
      <c r="BA60" s="276"/>
      <c r="BB60" s="342"/>
      <c r="BC60" s="279"/>
    </row>
    <row r="61" spans="1:55" ht="16.2" thickBot="1" x14ac:dyDescent="0.35">
      <c r="A61" s="140"/>
      <c r="B61" s="269">
        <v>48</v>
      </c>
      <c r="C61" s="270">
        <f t="shared" ref="C61:C68" si="18">IF($B61&gt;0,VLOOKUP($B61,EventsOrder,2,FALSE)," ")</f>
        <v>2.4</v>
      </c>
      <c r="D61" s="270" t="str">
        <f t="shared" ref="D61:D68" si="19">IF($B61&gt;0,VLOOKUP($B61,EventsOrder,6,FALSE)," ")</f>
        <v>Discus (U18) Match 2</v>
      </c>
      <c r="E61" s="303"/>
      <c r="F61" s="118"/>
      <c r="G61" s="272"/>
      <c r="H61" s="278"/>
      <c r="I61" s="274"/>
      <c r="J61" s="279"/>
      <c r="K61" s="276"/>
      <c r="L61" s="272"/>
      <c r="M61" s="278"/>
      <c r="N61" s="274"/>
      <c r="O61" s="279"/>
      <c r="P61" s="276"/>
      <c r="Q61" s="272" t="s">
        <v>110</v>
      </c>
      <c r="R61" s="278"/>
      <c r="S61" s="274" t="s">
        <v>820</v>
      </c>
      <c r="T61" s="279"/>
      <c r="U61" s="277"/>
      <c r="V61" s="272" t="s">
        <v>118</v>
      </c>
      <c r="W61" s="1382"/>
      <c r="X61" s="274" t="s">
        <v>819</v>
      </c>
      <c r="Y61" s="279"/>
      <c r="Z61" s="276"/>
      <c r="AA61" s="272"/>
      <c r="AB61" s="278"/>
      <c r="AC61" s="274"/>
      <c r="AD61" s="279"/>
      <c r="AE61" s="276"/>
      <c r="AF61" s="272"/>
      <c r="AG61" s="278"/>
      <c r="AH61" s="274"/>
      <c r="AI61" s="279"/>
      <c r="AJ61" s="276"/>
      <c r="AK61" s="272"/>
      <c r="AL61" s="278"/>
      <c r="AM61" s="274"/>
      <c r="AN61" s="279"/>
      <c r="AO61" s="276"/>
      <c r="AP61" s="272"/>
      <c r="AQ61" s="278"/>
      <c r="AR61" s="274"/>
      <c r="AS61" s="279"/>
      <c r="AT61" s="276"/>
      <c r="AU61" s="272"/>
      <c r="AV61" s="278"/>
      <c r="AW61" s="274"/>
      <c r="AX61" s="279"/>
      <c r="AZ61" s="341"/>
      <c r="BA61" s="278"/>
      <c r="BB61" s="342"/>
      <c r="BC61" s="279"/>
    </row>
    <row r="62" spans="1:55" ht="16.2" thickBot="1" x14ac:dyDescent="0.35">
      <c r="A62" s="140"/>
      <c r="B62" s="269">
        <v>57</v>
      </c>
      <c r="C62" s="270">
        <f t="shared" si="18"/>
        <v>3.2</v>
      </c>
      <c r="D62" s="270" t="str">
        <f t="shared" si="19"/>
        <v xml:space="preserve">High Jump (U18/U20) </v>
      </c>
      <c r="E62" s="271"/>
      <c r="F62" s="118"/>
      <c r="G62" s="272" t="s">
        <v>100</v>
      </c>
      <c r="H62" s="278" t="s">
        <v>719</v>
      </c>
      <c r="I62" s="274"/>
      <c r="J62" s="279"/>
      <c r="K62" s="276"/>
      <c r="L62" s="272"/>
      <c r="M62" s="278"/>
      <c r="N62" s="274"/>
      <c r="O62" s="279"/>
      <c r="P62" s="276"/>
      <c r="Q62" s="272" t="s">
        <v>110</v>
      </c>
      <c r="R62" s="278"/>
      <c r="S62" s="274" t="s">
        <v>820</v>
      </c>
      <c r="T62" s="279"/>
      <c r="U62" s="277"/>
      <c r="V62" s="272" t="s">
        <v>118</v>
      </c>
      <c r="W62" s="1382" t="s">
        <v>887</v>
      </c>
      <c r="X62" s="274" t="s">
        <v>819</v>
      </c>
      <c r="Y62" s="279"/>
      <c r="Z62" s="276"/>
      <c r="AA62" s="272" t="s">
        <v>127</v>
      </c>
      <c r="AB62" s="278" t="s">
        <v>784</v>
      </c>
      <c r="AC62" s="274"/>
      <c r="AD62" s="279"/>
      <c r="AE62" s="276"/>
      <c r="AF62" s="272" t="s">
        <v>136</v>
      </c>
      <c r="AG62" s="278" t="s">
        <v>571</v>
      </c>
      <c r="AH62" s="274" t="s">
        <v>513</v>
      </c>
      <c r="AI62" s="279" t="s">
        <v>572</v>
      </c>
      <c r="AJ62" s="276"/>
      <c r="AK62" s="272" t="s">
        <v>142</v>
      </c>
      <c r="AL62" s="278" t="s">
        <v>954</v>
      </c>
      <c r="AM62" s="274"/>
      <c r="AN62" s="279"/>
      <c r="AO62" s="276"/>
      <c r="AP62" s="272"/>
      <c r="AQ62" s="278"/>
      <c r="AR62" s="274"/>
      <c r="AS62" s="279"/>
      <c r="AT62" s="276"/>
      <c r="AU62" s="272"/>
      <c r="AV62" s="278"/>
      <c r="AW62" s="274"/>
      <c r="AX62" s="279"/>
      <c r="AZ62" s="341"/>
      <c r="BA62" s="278"/>
      <c r="BB62" s="342"/>
      <c r="BC62" s="279"/>
    </row>
    <row r="63" spans="1:55" ht="16.2" thickBot="1" x14ac:dyDescent="0.35">
      <c r="A63" s="140"/>
      <c r="B63" s="269">
        <v>67</v>
      </c>
      <c r="C63" s="270">
        <f t="shared" si="18"/>
        <v>4</v>
      </c>
      <c r="D63" s="270" t="str">
        <f t="shared" si="19"/>
        <v>Long Jump (U18/20) Pit1</v>
      </c>
      <c r="E63" s="303"/>
      <c r="F63" s="118"/>
      <c r="G63" s="272" t="s">
        <v>100</v>
      </c>
      <c r="H63" s="278" t="s">
        <v>719</v>
      </c>
      <c r="I63" s="274" t="s">
        <v>818</v>
      </c>
      <c r="J63" s="279" t="s">
        <v>718</v>
      </c>
      <c r="K63" s="276"/>
      <c r="L63" s="272" t="s">
        <v>130</v>
      </c>
      <c r="M63" s="278" t="s">
        <v>754</v>
      </c>
      <c r="N63" s="274"/>
      <c r="O63" s="279"/>
      <c r="P63" s="276"/>
      <c r="Q63" s="272" t="s">
        <v>110</v>
      </c>
      <c r="R63" s="278"/>
      <c r="S63" s="274" t="s">
        <v>820</v>
      </c>
      <c r="T63" s="279"/>
      <c r="U63" s="277"/>
      <c r="V63" s="272" t="s">
        <v>118</v>
      </c>
      <c r="W63" s="1382" t="s">
        <v>891</v>
      </c>
      <c r="X63" s="274" t="s">
        <v>819</v>
      </c>
      <c r="Y63" s="279"/>
      <c r="Z63" s="276"/>
      <c r="AA63" s="272" t="s">
        <v>127</v>
      </c>
      <c r="AB63" s="278" t="s">
        <v>783</v>
      </c>
      <c r="AC63" s="274"/>
      <c r="AD63" s="279"/>
      <c r="AE63" s="276"/>
      <c r="AF63" s="272" t="s">
        <v>136</v>
      </c>
      <c r="AG63" s="278" t="s">
        <v>572</v>
      </c>
      <c r="AH63" s="274" t="s">
        <v>513</v>
      </c>
      <c r="AI63" s="279" t="s">
        <v>573</v>
      </c>
      <c r="AJ63" s="276"/>
      <c r="AK63" s="272" t="s">
        <v>142</v>
      </c>
      <c r="AL63" s="278" t="s">
        <v>954</v>
      </c>
      <c r="AM63" s="274"/>
      <c r="AN63" s="279"/>
      <c r="AO63" s="276"/>
      <c r="AP63" s="272"/>
      <c r="AQ63" s="278"/>
      <c r="AR63" s="274"/>
      <c r="AS63" s="279"/>
      <c r="AT63" s="276"/>
      <c r="AU63" s="272"/>
      <c r="AV63" s="278"/>
      <c r="AW63" s="274"/>
      <c r="AX63" s="279"/>
      <c r="AZ63" s="341"/>
      <c r="BA63" s="278"/>
      <c r="BB63" s="342"/>
      <c r="BC63" s="279"/>
    </row>
    <row r="64" spans="1:55" ht="16.2" thickBot="1" x14ac:dyDescent="0.35">
      <c r="A64" s="140"/>
      <c r="B64" s="269">
        <v>70</v>
      </c>
      <c r="C64" s="270">
        <f t="shared" si="18"/>
        <v>4.1500000000000004</v>
      </c>
      <c r="D64" s="270" t="str">
        <f t="shared" si="19"/>
        <v xml:space="preserve">200m (U18/U20) </v>
      </c>
      <c r="E64" s="271"/>
      <c r="F64" s="118"/>
      <c r="G64" s="272" t="s">
        <v>100</v>
      </c>
      <c r="H64" s="278" t="s">
        <v>720</v>
      </c>
      <c r="I64" s="274" t="s">
        <v>818</v>
      </c>
      <c r="J64" s="279" t="s">
        <v>721</v>
      </c>
      <c r="K64" s="276"/>
      <c r="L64" s="272" t="s">
        <v>130</v>
      </c>
      <c r="M64" s="278" t="s">
        <v>753</v>
      </c>
      <c r="N64" s="274"/>
      <c r="O64" s="279"/>
      <c r="P64" s="276"/>
      <c r="Q64" s="272" t="s">
        <v>110</v>
      </c>
      <c r="R64" s="1389" t="s">
        <v>953</v>
      </c>
      <c r="S64" s="274" t="s">
        <v>820</v>
      </c>
      <c r="T64" s="279"/>
      <c r="U64" s="277"/>
      <c r="V64" s="272" t="s">
        <v>118</v>
      </c>
      <c r="W64" s="1382" t="s">
        <v>887</v>
      </c>
      <c r="X64" s="274" t="s">
        <v>819</v>
      </c>
      <c r="Y64" s="279"/>
      <c r="Z64" s="276"/>
      <c r="AA64" s="272"/>
      <c r="AB64" s="278"/>
      <c r="AC64" s="274"/>
      <c r="AD64" s="279"/>
      <c r="AE64" s="276"/>
      <c r="AF64" s="272" t="s">
        <v>136</v>
      </c>
      <c r="AG64" s="278" t="s">
        <v>570</v>
      </c>
      <c r="AH64" s="274" t="s">
        <v>513</v>
      </c>
      <c r="AI64" s="279" t="s">
        <v>573</v>
      </c>
      <c r="AJ64" s="276"/>
      <c r="AK64" s="272" t="s">
        <v>142</v>
      </c>
      <c r="AL64" s="278" t="s">
        <v>613</v>
      </c>
      <c r="AM64" s="274" t="s">
        <v>576</v>
      </c>
      <c r="AN64" s="278" t="s">
        <v>954</v>
      </c>
      <c r="AO64" s="276"/>
      <c r="AP64" s="272" t="s">
        <v>151</v>
      </c>
      <c r="AQ64" s="278" t="s">
        <v>649</v>
      </c>
      <c r="AR64" s="274"/>
      <c r="AS64" s="279"/>
      <c r="AT64" s="276"/>
      <c r="AU64" s="272"/>
      <c r="AV64" s="278"/>
      <c r="AW64" s="274"/>
      <c r="AX64" s="279"/>
      <c r="AZ64" s="341"/>
      <c r="BA64" s="278"/>
      <c r="BB64" s="342"/>
      <c r="BC64" s="279"/>
    </row>
    <row r="65" spans="1:55" ht="15.6" x14ac:dyDescent="0.3">
      <c r="A65" s="140"/>
      <c r="B65" s="269">
        <v>84</v>
      </c>
      <c r="C65" s="270">
        <f t="shared" si="18"/>
        <v>5</v>
      </c>
      <c r="D65" s="270" t="str">
        <f t="shared" si="19"/>
        <v xml:space="preserve">4 x 100m (U18/U20) </v>
      </c>
      <c r="E65" s="271"/>
      <c r="F65" s="118"/>
      <c r="G65" s="272"/>
      <c r="H65" s="278" t="str">
        <f>H$3</f>
        <v>BRAT</v>
      </c>
      <c r="I65" s="274"/>
      <c r="J65" s="279"/>
      <c r="K65" s="276"/>
      <c r="L65" s="272"/>
      <c r="M65" s="278" t="str">
        <f>M$3</f>
        <v>Kidder &amp; Stourport</v>
      </c>
      <c r="N65" s="274"/>
      <c r="O65" s="279"/>
      <c r="P65" s="276"/>
      <c r="Q65" s="272"/>
      <c r="R65" s="278" t="str">
        <f>R$3</f>
        <v>Royal Sutton</v>
      </c>
      <c r="S65" s="274"/>
      <c r="T65" s="279"/>
      <c r="U65" s="277"/>
      <c r="V65" s="272"/>
      <c r="W65" s="278" t="str">
        <f>W$3</f>
        <v>Rugby &amp; N'hampton</v>
      </c>
      <c r="X65" s="274"/>
      <c r="Y65" s="279"/>
      <c r="Z65" s="276"/>
      <c r="AA65" s="272"/>
      <c r="AB65" s="278" t="str">
        <f>AB$3</f>
        <v>Solihull &amp; S.Heath</v>
      </c>
      <c r="AC65" s="274"/>
      <c r="AD65" s="279"/>
      <c r="AE65" s="276"/>
      <c r="AF65" s="272"/>
      <c r="AG65" s="278" t="str">
        <f>AG$3</f>
        <v>Stratford</v>
      </c>
      <c r="AH65" s="274"/>
      <c r="AI65" s="279"/>
      <c r="AJ65" s="276"/>
      <c r="AK65" s="272"/>
      <c r="AL65" s="278" t="str">
        <f>AL$3</f>
        <v>Tamworth</v>
      </c>
      <c r="AM65" s="274"/>
      <c r="AN65" s="279"/>
      <c r="AO65" s="276"/>
      <c r="AP65" s="272"/>
      <c r="AQ65" s="278" t="str">
        <f>AQ$3</f>
        <v>Worcester</v>
      </c>
      <c r="AR65" s="274"/>
      <c r="AS65" s="279"/>
      <c r="AT65" s="276"/>
      <c r="AU65" s="272"/>
      <c r="AV65" s="278">
        <f>AV$3</f>
        <v>0</v>
      </c>
      <c r="AW65" s="274"/>
      <c r="AX65" s="279"/>
      <c r="AZ65" s="341"/>
      <c r="BA65" s="278">
        <f>BA$3</f>
        <v>0</v>
      </c>
      <c r="BB65" s="342"/>
      <c r="BC65" s="279"/>
    </row>
    <row r="66" spans="1:55" ht="15.6" x14ac:dyDescent="0.3">
      <c r="A66" s="140"/>
      <c r="B66" s="269" t="str">
        <f>B65&amp;"R"</f>
        <v>84R</v>
      </c>
      <c r="C66" s="270"/>
      <c r="D66" s="270"/>
      <c r="E66" s="271"/>
      <c r="F66" s="118"/>
      <c r="G66" s="304">
        <v>1</v>
      </c>
      <c r="H66" s="278" t="s">
        <v>718</v>
      </c>
      <c r="I66" s="305">
        <v>2</v>
      </c>
      <c r="J66" s="279" t="s">
        <v>719</v>
      </c>
      <c r="K66" s="276"/>
      <c r="L66" s="304">
        <v>1</v>
      </c>
      <c r="M66" s="278"/>
      <c r="N66" s="305">
        <v>2</v>
      </c>
      <c r="O66" s="279"/>
      <c r="P66" s="276"/>
      <c r="Q66" s="304">
        <v>1</v>
      </c>
      <c r="R66" s="278"/>
      <c r="S66" s="305">
        <v>2</v>
      </c>
      <c r="T66" s="279"/>
      <c r="U66" s="277"/>
      <c r="V66" s="304">
        <v>1</v>
      </c>
      <c r="W66" s="278"/>
      <c r="X66" s="305">
        <v>2</v>
      </c>
      <c r="Y66" s="279"/>
      <c r="Z66" s="276"/>
      <c r="AA66" s="304">
        <v>1</v>
      </c>
      <c r="AB66" s="278"/>
      <c r="AC66" s="305">
        <v>2</v>
      </c>
      <c r="AD66" s="279"/>
      <c r="AE66" s="276"/>
      <c r="AF66" s="304">
        <v>1</v>
      </c>
      <c r="AG66" s="278" t="s">
        <v>571</v>
      </c>
      <c r="AH66" s="305">
        <v>2</v>
      </c>
      <c r="AI66" s="279" t="s">
        <v>570</v>
      </c>
      <c r="AJ66" s="276"/>
      <c r="AK66" s="304">
        <v>1</v>
      </c>
      <c r="AL66" s="278"/>
      <c r="AM66" s="305">
        <v>2</v>
      </c>
      <c r="AN66" s="279"/>
      <c r="AO66" s="276"/>
      <c r="AP66" s="304">
        <v>1</v>
      </c>
      <c r="AQ66" s="278"/>
      <c r="AR66" s="305">
        <v>2</v>
      </c>
      <c r="AS66" s="279"/>
      <c r="AT66" s="276"/>
      <c r="AU66" s="304">
        <v>1</v>
      </c>
      <c r="AV66" s="278"/>
      <c r="AW66" s="305">
        <v>2</v>
      </c>
      <c r="AX66" s="279"/>
      <c r="AZ66" s="343">
        <v>1</v>
      </c>
      <c r="BA66" s="278" t="str">
        <f t="shared" ref="BA66:BA67" si="20">CONCATENATE(LEFT(BA$3,3),$B66,LEFT(BA$6,1))</f>
        <v>84RA</v>
      </c>
      <c r="BB66" s="344">
        <v>2</v>
      </c>
      <c r="BC66" s="279" t="str">
        <f t="shared" ref="BC66:BC67" si="21">CONCATENATE(LEFT(BC$3,3),$B66,LEFT(BC$6,1))</f>
        <v>84RB</v>
      </c>
    </row>
    <row r="67" spans="1:55" ht="15.6" x14ac:dyDescent="0.3">
      <c r="A67" s="140"/>
      <c r="B67" s="269" t="str">
        <f>B65&amp;"S"</f>
        <v>84S</v>
      </c>
      <c r="C67" s="270"/>
      <c r="D67" s="270"/>
      <c r="E67" s="271"/>
      <c r="F67" s="118"/>
      <c r="G67" s="304">
        <v>3</v>
      </c>
      <c r="H67" s="278" t="s">
        <v>721</v>
      </c>
      <c r="I67" s="305">
        <v>4</v>
      </c>
      <c r="J67" s="279" t="s">
        <v>720</v>
      </c>
      <c r="K67" s="276"/>
      <c r="L67" s="304">
        <v>3</v>
      </c>
      <c r="M67" s="278"/>
      <c r="N67" s="305">
        <v>4</v>
      </c>
      <c r="O67" s="279"/>
      <c r="P67" s="276"/>
      <c r="Q67" s="304">
        <v>3</v>
      </c>
      <c r="R67" s="278"/>
      <c r="S67" s="305">
        <v>4</v>
      </c>
      <c r="T67" s="279"/>
      <c r="U67" s="277"/>
      <c r="V67" s="304">
        <v>3</v>
      </c>
      <c r="W67" s="278"/>
      <c r="X67" s="305">
        <v>4</v>
      </c>
      <c r="Y67" s="279"/>
      <c r="Z67" s="276"/>
      <c r="AA67" s="304">
        <v>3</v>
      </c>
      <c r="AB67" s="278"/>
      <c r="AC67" s="305">
        <v>4</v>
      </c>
      <c r="AD67" s="279"/>
      <c r="AE67" s="276"/>
      <c r="AF67" s="304">
        <v>3</v>
      </c>
      <c r="AG67" s="278" t="s">
        <v>572</v>
      </c>
      <c r="AH67" s="305">
        <v>4</v>
      </c>
      <c r="AI67" s="279" t="s">
        <v>573</v>
      </c>
      <c r="AJ67" s="276"/>
      <c r="AK67" s="304">
        <v>3</v>
      </c>
      <c r="AL67" s="278"/>
      <c r="AM67" s="305">
        <v>4</v>
      </c>
      <c r="AN67" s="279"/>
      <c r="AO67" s="276"/>
      <c r="AP67" s="304">
        <v>3</v>
      </c>
      <c r="AQ67" s="278"/>
      <c r="AR67" s="305">
        <v>4</v>
      </c>
      <c r="AS67" s="279"/>
      <c r="AT67" s="276"/>
      <c r="AU67" s="304">
        <v>3</v>
      </c>
      <c r="AV67" s="278"/>
      <c r="AW67" s="305">
        <v>4</v>
      </c>
      <c r="AX67" s="279"/>
      <c r="AZ67" s="343">
        <v>3</v>
      </c>
      <c r="BA67" s="278" t="str">
        <f t="shared" si="20"/>
        <v>84SA</v>
      </c>
      <c r="BB67" s="344">
        <v>4</v>
      </c>
      <c r="BC67" s="279" t="str">
        <f t="shared" si="21"/>
        <v>84SB</v>
      </c>
    </row>
    <row r="68" spans="1:55" ht="16.2" thickBot="1" x14ac:dyDescent="0.35">
      <c r="A68" s="140"/>
      <c r="B68" s="311"/>
      <c r="C68" s="312" t="str">
        <f t="shared" si="18"/>
        <v xml:space="preserve"> </v>
      </c>
      <c r="D68" s="312" t="str">
        <f t="shared" si="19"/>
        <v xml:space="preserve"> </v>
      </c>
      <c r="E68" s="313"/>
      <c r="F68" s="118"/>
      <c r="G68" s="314"/>
      <c r="H68" s="315"/>
      <c r="I68" s="316"/>
      <c r="J68" s="317"/>
      <c r="K68" s="276"/>
      <c r="L68" s="314"/>
      <c r="M68" s="315"/>
      <c r="N68" s="316"/>
      <c r="O68" s="317"/>
      <c r="P68" s="276"/>
      <c r="Q68" s="314"/>
      <c r="R68" s="315"/>
      <c r="S68" s="316"/>
      <c r="T68" s="317"/>
      <c r="U68" s="277"/>
      <c r="V68" s="314"/>
      <c r="W68" s="315"/>
      <c r="X68" s="316"/>
      <c r="Y68" s="317"/>
      <c r="Z68" s="276"/>
      <c r="AA68" s="314"/>
      <c r="AB68" s="315"/>
      <c r="AC68" s="316"/>
      <c r="AD68" s="317"/>
      <c r="AE68" s="276"/>
      <c r="AF68" s="314"/>
      <c r="AG68" s="315"/>
      <c r="AH68" s="316"/>
      <c r="AI68" s="317"/>
      <c r="AJ68" s="276"/>
      <c r="AK68" s="314"/>
      <c r="AL68" s="315"/>
      <c r="AM68" s="316"/>
      <c r="AN68" s="317"/>
      <c r="AO68" s="276"/>
      <c r="AP68" s="314"/>
      <c r="AQ68" s="315"/>
      <c r="AR68" s="316"/>
      <c r="AS68" s="317"/>
      <c r="AT68" s="276"/>
      <c r="AU68" s="314"/>
      <c r="AV68" s="315"/>
      <c r="AW68" s="316"/>
      <c r="AX68" s="317"/>
      <c r="AZ68" s="346"/>
      <c r="BA68" s="315"/>
      <c r="BB68" s="347"/>
      <c r="BC68" s="317"/>
    </row>
    <row r="69" spans="1:55" ht="15.6" x14ac:dyDescent="0.3">
      <c r="A69" s="140"/>
      <c r="B69" s="925"/>
      <c r="C69" s="222"/>
      <c r="D69" s="222"/>
      <c r="E69" s="222"/>
      <c r="F69" s="118"/>
      <c r="G69" s="307"/>
      <c r="H69" s="276"/>
      <c r="I69" s="307"/>
      <c r="J69" s="276"/>
      <c r="K69" s="276"/>
      <c r="L69" s="307"/>
      <c r="M69" s="276"/>
      <c r="N69" s="307"/>
      <c r="O69" s="276"/>
      <c r="P69" s="276"/>
      <c r="Q69" s="307"/>
      <c r="R69" s="276"/>
      <c r="S69" s="307"/>
      <c r="T69" s="276"/>
      <c r="U69" s="277"/>
      <c r="V69" s="307"/>
      <c r="W69" s="276"/>
      <c r="X69" s="307"/>
      <c r="Y69" s="276"/>
      <c r="Z69" s="276"/>
      <c r="AA69" s="307"/>
      <c r="AB69" s="276"/>
      <c r="AC69" s="307"/>
      <c r="AD69" s="276"/>
      <c r="AE69" s="276"/>
      <c r="AF69" s="307"/>
      <c r="AG69" s="276"/>
      <c r="AH69" s="307"/>
      <c r="AI69" s="276"/>
      <c r="AJ69" s="276"/>
      <c r="AK69" s="307"/>
      <c r="AL69" s="276"/>
      <c r="AM69" s="307"/>
      <c r="AN69" s="276"/>
      <c r="AO69" s="276"/>
      <c r="AP69" s="307"/>
      <c r="AQ69" s="276"/>
      <c r="AR69" s="307"/>
      <c r="AS69" s="276"/>
      <c r="AT69" s="276"/>
      <c r="AU69" s="307"/>
      <c r="AV69" s="276"/>
      <c r="AW69" s="307"/>
      <c r="AX69" s="276"/>
      <c r="AZ69" s="32"/>
      <c r="BA69" s="276"/>
      <c r="BB69" s="32"/>
      <c r="BC69" s="276"/>
    </row>
    <row r="70" spans="1:55" ht="15.6" x14ac:dyDescent="0.3">
      <c r="A70" s="140"/>
      <c r="B70" s="925"/>
      <c r="C70" s="222"/>
      <c r="D70" s="222"/>
      <c r="E70" s="222"/>
      <c r="F70" s="118"/>
      <c r="G70" s="307"/>
      <c r="H70" s="276"/>
      <c r="I70" s="307"/>
      <c r="J70" s="276"/>
      <c r="K70" s="276"/>
      <c r="L70" s="307"/>
      <c r="M70" s="276"/>
      <c r="N70" s="307"/>
      <c r="O70" s="276"/>
      <c r="P70" s="276"/>
      <c r="Q70" s="307"/>
      <c r="R70" s="276"/>
      <c r="S70" s="307"/>
      <c r="T70" s="276"/>
      <c r="U70" s="277"/>
      <c r="V70" s="307"/>
      <c r="W70" s="276"/>
      <c r="X70" s="307"/>
      <c r="Y70" s="276"/>
      <c r="Z70" s="276"/>
      <c r="AA70" s="307"/>
      <c r="AB70" s="276"/>
      <c r="AC70" s="307"/>
      <c r="AD70" s="276"/>
      <c r="AE70" s="276"/>
      <c r="AF70" s="307"/>
      <c r="AG70" s="276"/>
      <c r="AH70" s="307"/>
      <c r="AI70" s="276"/>
      <c r="AJ70" s="276"/>
      <c r="AK70" s="307"/>
      <c r="AL70" s="276"/>
      <c r="AM70" s="307"/>
      <c r="AN70" s="276"/>
      <c r="AO70" s="276"/>
      <c r="AP70" s="307"/>
      <c r="AQ70" s="276"/>
      <c r="AR70" s="307"/>
      <c r="AS70" s="276"/>
      <c r="AT70" s="276"/>
      <c r="AU70" s="307"/>
      <c r="AV70" s="276"/>
      <c r="AW70" s="307"/>
      <c r="AX70" s="276"/>
      <c r="AZ70" s="32"/>
      <c r="BA70" s="276"/>
      <c r="BB70" s="32"/>
      <c r="BC70" s="276"/>
    </row>
    <row r="71" spans="1:55" ht="15.6" x14ac:dyDescent="0.3">
      <c r="A71" s="140"/>
      <c r="B71" s="222"/>
      <c r="C71" s="222"/>
      <c r="D71" s="222"/>
      <c r="E71" s="222"/>
      <c r="F71" s="118"/>
      <c r="G71" s="307"/>
      <c r="H71" s="276"/>
      <c r="I71" s="307"/>
      <c r="J71" s="276"/>
      <c r="K71" s="276"/>
      <c r="L71" s="307"/>
      <c r="M71" s="276"/>
      <c r="N71" s="307"/>
      <c r="O71" s="276"/>
      <c r="P71" s="276"/>
      <c r="Q71" s="307"/>
      <c r="R71" s="276"/>
      <c r="S71" s="307"/>
      <c r="T71" s="276"/>
      <c r="U71" s="277"/>
      <c r="V71" s="307"/>
      <c r="W71" s="276"/>
      <c r="X71" s="307"/>
      <c r="Y71" s="276"/>
      <c r="Z71" s="276"/>
      <c r="AA71" s="307"/>
      <c r="AB71" s="276"/>
      <c r="AC71" s="307"/>
      <c r="AD71" s="276"/>
      <c r="AE71" s="276"/>
      <c r="AF71" s="307"/>
      <c r="AG71" s="276"/>
      <c r="AH71" s="307"/>
      <c r="AI71" s="276"/>
      <c r="AJ71" s="276"/>
      <c r="AK71" s="307"/>
      <c r="AL71" s="276"/>
      <c r="AM71" s="307"/>
      <c r="AN71" s="276"/>
      <c r="AO71" s="276"/>
      <c r="AP71" s="307"/>
      <c r="AQ71" s="276"/>
      <c r="AR71" s="307"/>
      <c r="AS71" s="276"/>
      <c r="AT71" s="276"/>
      <c r="AU71" s="307"/>
      <c r="AV71" s="276"/>
      <c r="AW71" s="307"/>
      <c r="AX71" s="276"/>
      <c r="AZ71" s="32"/>
      <c r="BA71" s="276"/>
      <c r="BB71" s="32"/>
      <c r="BC71" s="276"/>
    </row>
    <row r="72" spans="1:55" ht="15.6" x14ac:dyDescent="0.3">
      <c r="A72" s="140"/>
      <c r="B72" s="55"/>
      <c r="C72" s="121" t="s">
        <v>245</v>
      </c>
      <c r="F72" s="118"/>
      <c r="G72" s="276"/>
      <c r="H72" s="276"/>
      <c r="I72" s="276"/>
      <c r="J72" s="276"/>
      <c r="K72" s="276"/>
      <c r="L72" s="276"/>
      <c r="M72" s="276"/>
      <c r="N72" s="276"/>
      <c r="O72" s="276"/>
      <c r="P72" s="276"/>
      <c r="Q72" s="276"/>
      <c r="R72" s="276"/>
      <c r="S72" s="276"/>
      <c r="T72" s="276"/>
      <c r="U72" s="277"/>
      <c r="V72" s="276"/>
      <c r="W72" s="276"/>
      <c r="X72" s="276"/>
      <c r="Y72" s="276"/>
      <c r="Z72" s="276"/>
      <c r="AA72" s="276"/>
      <c r="AB72" s="276"/>
      <c r="AC72" s="276"/>
      <c r="AD72" s="276"/>
      <c r="AE72" s="276"/>
      <c r="AF72" s="276"/>
      <c r="AG72" s="276"/>
      <c r="AH72" s="276"/>
      <c r="AI72" s="276"/>
      <c r="AJ72" s="276"/>
      <c r="AK72" s="276"/>
      <c r="AL72" s="276"/>
      <c r="AM72" s="276"/>
      <c r="AN72" s="276"/>
      <c r="AO72" s="276"/>
      <c r="AP72" s="276"/>
      <c r="AQ72" s="276"/>
      <c r="AR72" s="276"/>
      <c r="AS72" s="276"/>
      <c r="AT72" s="276"/>
      <c r="AU72" s="276"/>
      <c r="AV72" s="276"/>
      <c r="AW72" s="276"/>
      <c r="AX72" s="276"/>
    </row>
    <row r="73" spans="1:55" ht="16.2" thickBot="1" x14ac:dyDescent="0.35">
      <c r="A73" s="140"/>
      <c r="F73" s="118"/>
      <c r="G73" s="276"/>
      <c r="H73" s="276"/>
      <c r="I73" s="276"/>
      <c r="J73" s="276"/>
      <c r="K73" s="276"/>
      <c r="L73" s="276"/>
      <c r="M73" s="276"/>
      <c r="N73" s="276"/>
      <c r="O73" s="276"/>
      <c r="P73" s="276"/>
      <c r="Q73" s="276"/>
      <c r="R73" s="276"/>
      <c r="S73" s="276"/>
      <c r="T73" s="276"/>
      <c r="U73" s="277"/>
      <c r="V73" s="276"/>
      <c r="W73" s="276"/>
      <c r="X73" s="276"/>
      <c r="Y73" s="276"/>
      <c r="Z73" s="276"/>
      <c r="AA73" s="276"/>
      <c r="AB73" s="276"/>
      <c r="AC73" s="276"/>
      <c r="AD73" s="276"/>
      <c r="AE73" s="276"/>
      <c r="AF73" s="276"/>
      <c r="AG73" s="276"/>
      <c r="AH73" s="276"/>
      <c r="AI73" s="276"/>
      <c r="AJ73" s="276"/>
      <c r="AK73" s="276"/>
      <c r="AL73" s="276"/>
      <c r="AM73" s="276"/>
      <c r="AN73" s="276"/>
      <c r="AO73" s="276"/>
      <c r="AP73" s="276"/>
      <c r="AQ73" s="276"/>
      <c r="AR73" s="276"/>
      <c r="AS73" s="276"/>
      <c r="AT73" s="276"/>
      <c r="AU73" s="276"/>
      <c r="AV73" s="276"/>
      <c r="AW73" s="276"/>
      <c r="AX73" s="276"/>
    </row>
    <row r="74" spans="1:55" ht="16.2" thickBot="1" x14ac:dyDescent="0.35">
      <c r="A74" s="140"/>
      <c r="B74" s="255" t="s">
        <v>165</v>
      </c>
      <c r="C74" s="256" t="s">
        <v>168</v>
      </c>
      <c r="D74" s="257" t="s">
        <v>241</v>
      </c>
      <c r="E74" s="258"/>
      <c r="F74" s="143"/>
      <c r="G74" s="348" t="s">
        <v>167</v>
      </c>
      <c r="H74" s="349" t="s">
        <v>242</v>
      </c>
      <c r="I74" s="302"/>
      <c r="J74" s="302"/>
      <c r="K74" s="302"/>
      <c r="L74" s="348" t="s">
        <v>167</v>
      </c>
      <c r="M74" s="349" t="s">
        <v>242</v>
      </c>
      <c r="N74" s="302"/>
      <c r="O74" s="302"/>
      <c r="P74" s="302"/>
      <c r="Q74" s="348" t="s">
        <v>167</v>
      </c>
      <c r="R74" s="349" t="s">
        <v>242</v>
      </c>
      <c r="S74" s="302"/>
      <c r="T74" s="302"/>
      <c r="U74" s="308"/>
      <c r="V74" s="348" t="s">
        <v>167</v>
      </c>
      <c r="W74" s="349" t="s">
        <v>242</v>
      </c>
      <c r="X74" s="302"/>
      <c r="Y74" s="302"/>
      <c r="Z74" s="302"/>
      <c r="AA74" s="348" t="s">
        <v>167</v>
      </c>
      <c r="AB74" s="349" t="s">
        <v>242</v>
      </c>
      <c r="AC74" s="302"/>
      <c r="AD74" s="302"/>
      <c r="AE74" s="302"/>
      <c r="AF74" s="348" t="s">
        <v>167</v>
      </c>
      <c r="AG74" s="349" t="s">
        <v>242</v>
      </c>
      <c r="AH74" s="302"/>
      <c r="AI74" s="302"/>
      <c r="AJ74" s="302"/>
      <c r="AK74" s="348" t="s">
        <v>167</v>
      </c>
      <c r="AL74" s="349" t="s">
        <v>242</v>
      </c>
      <c r="AM74" s="302"/>
      <c r="AN74" s="302"/>
      <c r="AO74" s="302"/>
      <c r="AP74" s="348" t="s">
        <v>167</v>
      </c>
      <c r="AQ74" s="349" t="s">
        <v>242</v>
      </c>
      <c r="AR74" s="302"/>
      <c r="AS74" s="302"/>
      <c r="AT74" s="302"/>
      <c r="AU74" s="348" t="s">
        <v>167</v>
      </c>
      <c r="AV74" s="349" t="s">
        <v>242</v>
      </c>
      <c r="AW74" s="302"/>
      <c r="AX74" s="302"/>
      <c r="AY74" s="140"/>
      <c r="AZ74" s="255" t="s">
        <v>167</v>
      </c>
      <c r="BA74" s="256" t="s">
        <v>242</v>
      </c>
      <c r="BB74" s="140"/>
      <c r="BC74" s="140"/>
    </row>
    <row r="75" spans="1:55" ht="15.6" x14ac:dyDescent="0.3">
      <c r="A75" s="140"/>
      <c r="B75" s="318"/>
      <c r="C75" s="319"/>
      <c r="D75" s="320"/>
      <c r="E75" s="321"/>
      <c r="F75" s="118"/>
      <c r="G75" s="350"/>
      <c r="H75" s="351"/>
      <c r="I75" s="276"/>
      <c r="J75" s="276"/>
      <c r="K75" s="276"/>
      <c r="L75" s="350"/>
      <c r="M75" s="351"/>
      <c r="N75" s="276"/>
      <c r="O75" s="276"/>
      <c r="P75" s="276"/>
      <c r="Q75" s="350"/>
      <c r="R75" s="351"/>
      <c r="S75" s="276"/>
      <c r="T75" s="276"/>
      <c r="U75" s="277"/>
      <c r="V75" s="350"/>
      <c r="W75" s="351"/>
      <c r="X75" s="276"/>
      <c r="Y75" s="276"/>
      <c r="Z75" s="276"/>
      <c r="AA75" s="350"/>
      <c r="AB75" s="351"/>
      <c r="AC75" s="276"/>
      <c r="AD75" s="276"/>
      <c r="AE75" s="276"/>
      <c r="AF75" s="350"/>
      <c r="AG75" s="351"/>
      <c r="AH75" s="276"/>
      <c r="AI75" s="276"/>
      <c r="AJ75" s="276"/>
      <c r="AK75" s="350"/>
      <c r="AL75" s="351"/>
      <c r="AM75" s="276"/>
      <c r="AN75" s="276"/>
      <c r="AO75" s="276"/>
      <c r="AP75" s="350"/>
      <c r="AQ75" s="351"/>
      <c r="AR75" s="276"/>
      <c r="AS75" s="276"/>
      <c r="AT75" s="276"/>
      <c r="AU75" s="350"/>
      <c r="AV75" s="351"/>
      <c r="AW75" s="276"/>
      <c r="AX75" s="276"/>
      <c r="AZ75" s="318"/>
      <c r="BA75" s="319"/>
    </row>
    <row r="76" spans="1:55" ht="16.2" thickBot="1" x14ac:dyDescent="0.35">
      <c r="A76" s="140"/>
      <c r="B76" s="294"/>
      <c r="C76" s="295"/>
      <c r="D76" s="296" t="s">
        <v>80</v>
      </c>
      <c r="E76" s="297"/>
      <c r="F76" s="143"/>
      <c r="G76" s="298"/>
      <c r="H76" s="299"/>
      <c r="I76" s="276"/>
      <c r="J76" s="276"/>
      <c r="K76" s="276"/>
      <c r="L76" s="298"/>
      <c r="M76" s="299"/>
      <c r="N76" s="276"/>
      <c r="O76" s="276"/>
      <c r="P76" s="276"/>
      <c r="Q76" s="298"/>
      <c r="R76" s="299"/>
      <c r="S76" s="276"/>
      <c r="T76" s="276"/>
      <c r="U76" s="277"/>
      <c r="V76" s="298"/>
      <c r="W76" s="299"/>
      <c r="X76" s="276"/>
      <c r="Y76" s="276"/>
      <c r="Z76" s="276"/>
      <c r="AA76" s="298"/>
      <c r="AB76" s="299"/>
      <c r="AC76" s="276"/>
      <c r="AD76" s="276"/>
      <c r="AE76" s="276"/>
      <c r="AF76" s="298"/>
      <c r="AG76" s="299"/>
      <c r="AH76" s="276"/>
      <c r="AI76" s="276"/>
      <c r="AJ76" s="276"/>
      <c r="AK76" s="298"/>
      <c r="AL76" s="299"/>
      <c r="AM76" s="276"/>
      <c r="AN76" s="276"/>
      <c r="AO76" s="276"/>
      <c r="AP76" s="298"/>
      <c r="AQ76" s="299"/>
      <c r="AR76" s="276"/>
      <c r="AS76" s="276"/>
      <c r="AT76" s="276"/>
      <c r="AU76" s="298"/>
      <c r="AV76" s="299"/>
      <c r="AW76" s="276"/>
      <c r="AX76" s="276"/>
      <c r="AZ76" s="294"/>
      <c r="BA76" s="322"/>
    </row>
    <row r="77" spans="1:55" ht="16.2" thickBot="1" x14ac:dyDescent="0.35">
      <c r="A77" s="140"/>
      <c r="B77" s="269">
        <v>88</v>
      </c>
      <c r="C77" s="270">
        <f t="shared" ref="C77:C83" si="22">IF($B77&gt;0,VLOOKUP($B77,EventsOrder,2,FALSE)," ")</f>
        <v>11</v>
      </c>
      <c r="D77" s="270" t="str">
        <f t="shared" ref="D77:D83" si="23">IF($B77&gt;0,VLOOKUP($B77,EventsOrder,6,FALSE)," ")</f>
        <v>1500m U14 Female</v>
      </c>
      <c r="E77" s="271"/>
      <c r="F77" s="118"/>
      <c r="G77" s="269">
        <v>30</v>
      </c>
      <c r="H77" s="299" t="s">
        <v>722</v>
      </c>
      <c r="I77" s="276"/>
      <c r="J77" s="276"/>
      <c r="K77" s="276"/>
      <c r="L77" s="269"/>
      <c r="M77" s="299"/>
      <c r="N77" s="276"/>
      <c r="O77" s="276"/>
      <c r="P77" s="276"/>
      <c r="Q77" s="269"/>
      <c r="R77" s="299"/>
      <c r="S77" s="276"/>
      <c r="T77" s="276"/>
      <c r="U77" s="277"/>
      <c r="V77" s="1384">
        <v>114</v>
      </c>
      <c r="W77" s="1385" t="s">
        <v>893</v>
      </c>
      <c r="X77" s="276"/>
      <c r="Y77" s="276"/>
      <c r="Z77" s="276"/>
      <c r="AA77" s="269"/>
      <c r="AB77" s="299"/>
      <c r="AC77" s="276"/>
      <c r="AD77" s="276"/>
      <c r="AE77" s="276"/>
      <c r="AF77" s="269">
        <v>152</v>
      </c>
      <c r="AG77" s="299" t="s">
        <v>574</v>
      </c>
      <c r="AH77" s="276"/>
      <c r="AI77" s="276"/>
      <c r="AJ77" s="276"/>
      <c r="AK77" s="269"/>
      <c r="AL77" s="299"/>
      <c r="AM77" s="276"/>
      <c r="AN77" s="276"/>
      <c r="AO77" s="276"/>
      <c r="AP77" s="269"/>
      <c r="AQ77" s="299"/>
      <c r="AR77" s="276"/>
      <c r="AS77" s="276"/>
      <c r="AT77" s="276"/>
      <c r="AU77" s="269"/>
      <c r="AV77" s="299"/>
      <c r="AW77" s="276"/>
      <c r="AX77" s="276"/>
      <c r="AZ77" s="269">
        <f t="shared" ref="AZ77:AZ82" si="24">$B77</f>
        <v>88</v>
      </c>
      <c r="BA77" s="299" t="str">
        <f t="shared" ref="BA77:BA82" si="25">CONCATENATE(LEFT(BA$3,3),$B77,LEFT(BA$6,1))</f>
        <v>88A</v>
      </c>
    </row>
    <row r="78" spans="1:55" ht="16.2" thickBot="1" x14ac:dyDescent="0.35">
      <c r="A78" s="140"/>
      <c r="B78" s="269">
        <v>89</v>
      </c>
      <c r="C78" s="270">
        <f t="shared" si="22"/>
        <v>11.1</v>
      </c>
      <c r="D78" s="270" t="str">
        <f t="shared" si="23"/>
        <v>1500m U16 Female</v>
      </c>
      <c r="E78" s="271"/>
      <c r="F78" s="118"/>
      <c r="G78" s="269"/>
      <c r="H78" s="299"/>
      <c r="I78" s="276"/>
      <c r="J78" s="276"/>
      <c r="K78" s="276"/>
      <c r="L78" s="269"/>
      <c r="M78" s="299"/>
      <c r="N78" s="276"/>
      <c r="O78" s="276"/>
      <c r="P78" s="276"/>
      <c r="Q78" s="269"/>
      <c r="R78" s="299"/>
      <c r="S78" s="276"/>
      <c r="T78" s="276"/>
      <c r="U78" s="277"/>
      <c r="V78" s="1386"/>
      <c r="W78" s="1387"/>
      <c r="X78" s="276"/>
      <c r="Y78" s="276"/>
      <c r="Z78" s="276"/>
      <c r="AA78" s="269"/>
      <c r="AB78" s="299"/>
      <c r="AC78" s="276"/>
      <c r="AD78" s="276"/>
      <c r="AE78" s="276"/>
      <c r="AF78" s="269"/>
      <c r="AG78" s="299"/>
      <c r="AH78" s="276"/>
      <c r="AI78" s="276"/>
      <c r="AJ78" s="276"/>
      <c r="AK78" s="269"/>
      <c r="AL78" s="299"/>
      <c r="AM78" s="276"/>
      <c r="AN78" s="276"/>
      <c r="AO78" s="276"/>
      <c r="AP78" s="269"/>
      <c r="AQ78" s="299"/>
      <c r="AR78" s="276"/>
      <c r="AS78" s="276"/>
      <c r="AT78" s="276"/>
      <c r="AU78" s="269"/>
      <c r="AV78" s="299"/>
      <c r="AW78" s="276"/>
      <c r="AX78" s="276"/>
      <c r="AZ78" s="269">
        <f t="shared" si="24"/>
        <v>89</v>
      </c>
      <c r="BA78" s="299" t="str">
        <f t="shared" si="25"/>
        <v>89A</v>
      </c>
    </row>
    <row r="79" spans="1:55" ht="16.2" thickBot="1" x14ac:dyDescent="0.35">
      <c r="A79" s="140"/>
      <c r="B79" s="269">
        <v>90</v>
      </c>
      <c r="C79" s="270">
        <f t="shared" si="22"/>
        <v>11.2</v>
      </c>
      <c r="D79" s="270" t="str">
        <f t="shared" si="23"/>
        <v>1500m (U18/U20) Female</v>
      </c>
      <c r="E79" s="271"/>
      <c r="F79" s="118"/>
      <c r="G79" s="269"/>
      <c r="H79" s="299"/>
      <c r="I79" s="276"/>
      <c r="J79" s="276"/>
      <c r="K79" s="276"/>
      <c r="L79" s="269"/>
      <c r="M79" s="299"/>
      <c r="N79" s="276"/>
      <c r="O79" s="276"/>
      <c r="P79" s="276"/>
      <c r="Q79" s="269"/>
      <c r="R79" s="299"/>
      <c r="S79" s="276"/>
      <c r="T79" s="276"/>
      <c r="U79" s="277"/>
      <c r="V79" s="1386"/>
      <c r="W79" s="1387"/>
      <c r="X79" s="276"/>
      <c r="Y79" s="276"/>
      <c r="Z79" s="276"/>
      <c r="AA79" s="269"/>
      <c r="AB79" s="299"/>
      <c r="AC79" s="276"/>
      <c r="AD79" s="276"/>
      <c r="AE79" s="276"/>
      <c r="AF79" s="269"/>
      <c r="AG79" s="299"/>
      <c r="AH79" s="276"/>
      <c r="AI79" s="276"/>
      <c r="AJ79" s="276"/>
      <c r="AK79" s="269"/>
      <c r="AL79" s="299"/>
      <c r="AM79" s="276"/>
      <c r="AN79" s="276"/>
      <c r="AO79" s="276"/>
      <c r="AP79" s="269"/>
      <c r="AQ79" s="299"/>
      <c r="AR79" s="276"/>
      <c r="AS79" s="276"/>
      <c r="AT79" s="276"/>
      <c r="AU79" s="269"/>
      <c r="AV79" s="299"/>
      <c r="AW79" s="276"/>
      <c r="AX79" s="276"/>
      <c r="AZ79" s="269">
        <f t="shared" si="24"/>
        <v>90</v>
      </c>
      <c r="BA79" s="299" t="str">
        <f t="shared" si="25"/>
        <v>90A</v>
      </c>
    </row>
    <row r="80" spans="1:55" ht="16.2" thickBot="1" x14ac:dyDescent="0.35">
      <c r="A80" s="140"/>
      <c r="B80" s="269">
        <v>94</v>
      </c>
      <c r="C80" s="270">
        <f t="shared" si="22"/>
        <v>12.4</v>
      </c>
      <c r="D80" s="270" t="str">
        <f t="shared" si="23"/>
        <v>800m U14 Female</v>
      </c>
      <c r="E80" s="271"/>
      <c r="F80" s="118"/>
      <c r="G80" s="269">
        <v>31</v>
      </c>
      <c r="H80" s="299" t="s">
        <v>723</v>
      </c>
      <c r="I80" s="276"/>
      <c r="J80" s="276"/>
      <c r="K80" s="276"/>
      <c r="L80" s="269">
        <v>77</v>
      </c>
      <c r="M80" s="299" t="s">
        <v>755</v>
      </c>
      <c r="N80" s="276"/>
      <c r="O80" s="276"/>
      <c r="P80" s="276"/>
      <c r="Q80" s="269"/>
      <c r="R80" s="299"/>
      <c r="S80" s="276"/>
      <c r="T80" s="276"/>
      <c r="U80" s="277"/>
      <c r="V80" s="1388">
        <v>115</v>
      </c>
      <c r="W80" s="1387" t="s">
        <v>894</v>
      </c>
      <c r="X80" s="276"/>
      <c r="Y80" s="276"/>
      <c r="Z80" s="276"/>
      <c r="AA80" s="269"/>
      <c r="AB80" s="299"/>
      <c r="AC80" s="276"/>
      <c r="AD80" s="276"/>
      <c r="AE80" s="276"/>
      <c r="AF80" s="269"/>
      <c r="AG80" s="299"/>
      <c r="AH80" s="276"/>
      <c r="AI80" s="276"/>
      <c r="AJ80" s="276"/>
      <c r="AK80" s="269">
        <v>54</v>
      </c>
      <c r="AL80" s="299" t="s">
        <v>1102</v>
      </c>
      <c r="AM80" s="276"/>
      <c r="AN80" s="276"/>
      <c r="AO80" s="276"/>
      <c r="AP80" s="269"/>
      <c r="AQ80" s="299"/>
      <c r="AR80" s="276"/>
      <c r="AS80" s="276"/>
      <c r="AT80" s="276"/>
      <c r="AU80" s="269"/>
      <c r="AV80" s="299"/>
      <c r="AW80" s="276"/>
      <c r="AX80" s="276"/>
      <c r="AZ80" s="269">
        <f t="shared" si="24"/>
        <v>94</v>
      </c>
      <c r="BA80" s="299" t="str">
        <f t="shared" si="25"/>
        <v>94A</v>
      </c>
    </row>
    <row r="81" spans="1:53" ht="15.6" x14ac:dyDescent="0.3">
      <c r="A81" s="140"/>
      <c r="B81" s="269">
        <v>95</v>
      </c>
      <c r="C81" s="270">
        <f t="shared" si="22"/>
        <v>1</v>
      </c>
      <c r="D81" s="270" t="str">
        <f t="shared" si="23"/>
        <v>800m U16 Female</v>
      </c>
      <c r="E81" s="271"/>
      <c r="F81" s="118"/>
      <c r="G81" s="269">
        <v>32</v>
      </c>
      <c r="H81" s="299" t="s">
        <v>724</v>
      </c>
      <c r="I81" s="276"/>
      <c r="J81" s="276"/>
      <c r="K81" s="276"/>
      <c r="L81" s="269"/>
      <c r="M81" s="299"/>
      <c r="N81" s="276"/>
      <c r="O81" s="276"/>
      <c r="P81" s="276"/>
      <c r="Q81" s="269"/>
      <c r="R81" s="299"/>
      <c r="S81" s="276"/>
      <c r="T81" s="276"/>
      <c r="U81" s="277"/>
      <c r="V81" s="269"/>
      <c r="W81" s="299"/>
      <c r="X81" s="276"/>
      <c r="Y81" s="276"/>
      <c r="Z81" s="276"/>
      <c r="AA81" s="269"/>
      <c r="AB81" s="299"/>
      <c r="AC81" s="276"/>
      <c r="AD81" s="276"/>
      <c r="AE81" s="276"/>
      <c r="AF81" s="269"/>
      <c r="AG81" s="299"/>
      <c r="AH81" s="276"/>
      <c r="AI81" s="276"/>
      <c r="AJ81" s="276"/>
      <c r="AK81" s="269"/>
      <c r="AL81" s="299"/>
      <c r="AM81" s="276"/>
      <c r="AN81" s="276"/>
      <c r="AO81" s="276"/>
      <c r="AP81" s="269"/>
      <c r="AQ81" s="299"/>
      <c r="AR81" s="276"/>
      <c r="AS81" s="276"/>
      <c r="AT81" s="276"/>
      <c r="AU81" s="269"/>
      <c r="AV81" s="299"/>
      <c r="AW81" s="276"/>
      <c r="AX81" s="276"/>
      <c r="AZ81" s="269">
        <f t="shared" si="24"/>
        <v>95</v>
      </c>
      <c r="BA81" s="299" t="str">
        <f t="shared" si="25"/>
        <v>95A</v>
      </c>
    </row>
    <row r="82" spans="1:53" ht="15.6" x14ac:dyDescent="0.3">
      <c r="A82" s="140"/>
      <c r="B82" s="269">
        <v>96</v>
      </c>
      <c r="C82" s="270">
        <f t="shared" si="22"/>
        <v>1.2</v>
      </c>
      <c r="D82" s="270" t="str">
        <f t="shared" si="23"/>
        <v>800m (U18/U20) Female</v>
      </c>
      <c r="E82" s="271"/>
      <c r="F82" s="118"/>
      <c r="G82" s="269"/>
      <c r="H82" s="299"/>
      <c r="I82" s="276"/>
      <c r="J82" s="276"/>
      <c r="K82" s="276"/>
      <c r="L82" s="269"/>
      <c r="M82" s="299"/>
      <c r="N82" s="276"/>
      <c r="O82" s="276"/>
      <c r="P82" s="276"/>
      <c r="Q82" s="269"/>
      <c r="R82" s="299"/>
      <c r="S82" s="276"/>
      <c r="T82" s="276"/>
      <c r="U82" s="277"/>
      <c r="V82" s="269"/>
      <c r="W82" s="299"/>
      <c r="X82" s="276"/>
      <c r="Y82" s="276"/>
      <c r="Z82" s="276"/>
      <c r="AA82" s="269"/>
      <c r="AB82" s="299"/>
      <c r="AC82" s="276"/>
      <c r="AD82" s="276"/>
      <c r="AE82" s="276"/>
      <c r="AF82" s="269"/>
      <c r="AG82" s="299"/>
      <c r="AH82" s="276"/>
      <c r="AI82" s="276"/>
      <c r="AJ82" s="276"/>
      <c r="AK82" s="269"/>
      <c r="AL82" s="299"/>
      <c r="AM82" s="276"/>
      <c r="AN82" s="276"/>
      <c r="AO82" s="276"/>
      <c r="AP82" s="269"/>
      <c r="AQ82" s="299"/>
      <c r="AR82" s="276"/>
      <c r="AS82" s="276"/>
      <c r="AT82" s="276"/>
      <c r="AU82" s="269"/>
      <c r="AV82" s="299"/>
      <c r="AW82" s="276"/>
      <c r="AX82" s="276"/>
      <c r="AZ82" s="269">
        <f t="shared" si="24"/>
        <v>96</v>
      </c>
      <c r="BA82" s="299" t="str">
        <f t="shared" si="25"/>
        <v>96A</v>
      </c>
    </row>
    <row r="83" spans="1:53" ht="15.6" x14ac:dyDescent="0.3">
      <c r="A83" s="140"/>
      <c r="B83" s="269"/>
      <c r="C83" s="270" t="str">
        <f t="shared" si="22"/>
        <v xml:space="preserve"> </v>
      </c>
      <c r="D83" s="270" t="str">
        <f t="shared" si="23"/>
        <v xml:space="preserve"> </v>
      </c>
      <c r="E83" s="303"/>
      <c r="F83" s="118"/>
      <c r="G83" s="269"/>
      <c r="H83" s="278"/>
      <c r="I83" s="276"/>
      <c r="J83" s="276"/>
      <c r="K83" s="276"/>
      <c r="L83" s="269"/>
      <c r="M83" s="278"/>
      <c r="N83" s="276"/>
      <c r="O83" s="276"/>
      <c r="P83" s="276"/>
      <c r="Q83" s="269"/>
      <c r="R83" s="278"/>
      <c r="S83" s="276"/>
      <c r="T83" s="276"/>
      <c r="U83" s="277"/>
      <c r="V83" s="269"/>
      <c r="W83" s="278"/>
      <c r="X83" s="276"/>
      <c r="Y83" s="276"/>
      <c r="Z83" s="276"/>
      <c r="AA83" s="269"/>
      <c r="AB83" s="278"/>
      <c r="AC83" s="276"/>
      <c r="AD83" s="276"/>
      <c r="AE83" s="276"/>
      <c r="AF83" s="269"/>
      <c r="AG83" s="278"/>
      <c r="AH83" s="276"/>
      <c r="AI83" s="276"/>
      <c r="AJ83" s="276"/>
      <c r="AK83" s="269"/>
      <c r="AL83" s="278"/>
      <c r="AM83" s="276"/>
      <c r="AN83" s="276"/>
      <c r="AO83" s="276"/>
      <c r="AP83" s="269"/>
      <c r="AQ83" s="278"/>
      <c r="AR83" s="276"/>
      <c r="AS83" s="276"/>
      <c r="AT83" s="276"/>
      <c r="AU83" s="269"/>
      <c r="AV83" s="278"/>
      <c r="AW83" s="276"/>
      <c r="AX83" s="276"/>
      <c r="AZ83" s="269"/>
      <c r="BA83" s="278"/>
    </row>
    <row r="84" spans="1:53" x14ac:dyDescent="0.3">
      <c r="F84" s="118"/>
      <c r="U84" s="118"/>
    </row>
    <row r="85" spans="1:53" x14ac:dyDescent="0.3">
      <c r="B85">
        <f t="shared" ref="B85:AS85" si="26">COLUMN(B1)</f>
        <v>2</v>
      </c>
      <c r="C85">
        <f t="shared" si="26"/>
        <v>3</v>
      </c>
      <c r="D85">
        <f t="shared" si="26"/>
        <v>4</v>
      </c>
      <c r="E85">
        <f t="shared" si="26"/>
        <v>5</v>
      </c>
      <c r="F85">
        <f t="shared" si="26"/>
        <v>6</v>
      </c>
      <c r="G85">
        <f t="shared" si="26"/>
        <v>7</v>
      </c>
      <c r="H85">
        <f t="shared" si="26"/>
        <v>8</v>
      </c>
      <c r="I85">
        <f t="shared" si="26"/>
        <v>9</v>
      </c>
      <c r="J85">
        <f t="shared" si="26"/>
        <v>10</v>
      </c>
      <c r="K85">
        <f t="shared" si="26"/>
        <v>11</v>
      </c>
      <c r="L85">
        <f t="shared" si="26"/>
        <v>12</v>
      </c>
      <c r="M85">
        <f t="shared" si="26"/>
        <v>13</v>
      </c>
      <c r="N85">
        <f t="shared" si="26"/>
        <v>14</v>
      </c>
      <c r="O85">
        <f t="shared" si="26"/>
        <v>15</v>
      </c>
      <c r="P85">
        <f t="shared" si="26"/>
        <v>16</v>
      </c>
      <c r="Q85">
        <f t="shared" si="26"/>
        <v>17</v>
      </c>
      <c r="R85">
        <f t="shared" si="26"/>
        <v>18</v>
      </c>
      <c r="S85">
        <f t="shared" si="26"/>
        <v>19</v>
      </c>
      <c r="T85">
        <f t="shared" si="26"/>
        <v>20</v>
      </c>
      <c r="U85">
        <f t="shared" si="26"/>
        <v>21</v>
      </c>
      <c r="V85">
        <f t="shared" si="26"/>
        <v>22</v>
      </c>
      <c r="W85">
        <f t="shared" si="26"/>
        <v>23</v>
      </c>
      <c r="X85">
        <f t="shared" si="26"/>
        <v>24</v>
      </c>
      <c r="Y85">
        <f t="shared" si="26"/>
        <v>25</v>
      </c>
      <c r="Z85">
        <f t="shared" si="26"/>
        <v>26</v>
      </c>
      <c r="AA85">
        <f t="shared" si="26"/>
        <v>27</v>
      </c>
      <c r="AB85">
        <f t="shared" si="26"/>
        <v>28</v>
      </c>
      <c r="AC85">
        <f t="shared" si="26"/>
        <v>29</v>
      </c>
      <c r="AD85">
        <f t="shared" si="26"/>
        <v>30</v>
      </c>
      <c r="AE85">
        <f t="shared" si="26"/>
        <v>31</v>
      </c>
      <c r="AF85">
        <f t="shared" si="26"/>
        <v>32</v>
      </c>
      <c r="AG85">
        <f t="shared" si="26"/>
        <v>33</v>
      </c>
      <c r="AH85">
        <f t="shared" si="26"/>
        <v>34</v>
      </c>
      <c r="AI85">
        <f t="shared" si="26"/>
        <v>35</v>
      </c>
      <c r="AJ85">
        <f t="shared" si="26"/>
        <v>36</v>
      </c>
      <c r="AK85">
        <f t="shared" si="26"/>
        <v>37</v>
      </c>
      <c r="AL85">
        <f t="shared" si="26"/>
        <v>38</v>
      </c>
      <c r="AM85">
        <f t="shared" si="26"/>
        <v>39</v>
      </c>
      <c r="AN85">
        <f t="shared" si="26"/>
        <v>40</v>
      </c>
      <c r="AO85">
        <f t="shared" si="26"/>
        <v>41</v>
      </c>
      <c r="AP85">
        <f t="shared" si="26"/>
        <v>42</v>
      </c>
      <c r="AQ85">
        <f t="shared" si="26"/>
        <v>43</v>
      </c>
      <c r="AR85">
        <f t="shared" si="26"/>
        <v>44</v>
      </c>
      <c r="AS85">
        <f t="shared" si="26"/>
        <v>45</v>
      </c>
    </row>
    <row r="86" spans="1:53" x14ac:dyDescent="0.3">
      <c r="F86" s="118"/>
      <c r="U86" s="118"/>
    </row>
    <row r="87" spans="1:53" x14ac:dyDescent="0.3">
      <c r="F87" s="118"/>
      <c r="U87" s="118"/>
    </row>
    <row r="88" spans="1:53" x14ac:dyDescent="0.3">
      <c r="F88" s="118"/>
      <c r="U88" s="118"/>
    </row>
    <row r="89" spans="1:53" x14ac:dyDescent="0.3">
      <c r="F89" s="118"/>
      <c r="U89" s="118"/>
    </row>
    <row r="90" spans="1:53" x14ac:dyDescent="0.3">
      <c r="F90" s="118"/>
      <c r="U90" s="118"/>
    </row>
    <row r="91" spans="1:53" x14ac:dyDescent="0.3">
      <c r="F91" s="118"/>
      <c r="U91" s="118"/>
    </row>
    <row r="92" spans="1:53" x14ac:dyDescent="0.3">
      <c r="F92" s="118"/>
      <c r="U92" s="118"/>
    </row>
    <row r="93" spans="1:53" x14ac:dyDescent="0.3">
      <c r="F93" s="118"/>
      <c r="U93" s="118"/>
    </row>
    <row r="94" spans="1:53" x14ac:dyDescent="0.3">
      <c r="F94" s="118"/>
      <c r="U94" s="118"/>
    </row>
    <row r="95" spans="1:53" x14ac:dyDescent="0.3">
      <c r="F95" s="118"/>
      <c r="U95" s="118"/>
    </row>
    <row r="96" spans="1:53" x14ac:dyDescent="0.3">
      <c r="F96" s="118"/>
    </row>
    <row r="97" spans="6:6" x14ac:dyDescent="0.3">
      <c r="F97" s="118"/>
    </row>
    <row r="98" spans="6:6" x14ac:dyDescent="0.3">
      <c r="F98" s="118"/>
    </row>
    <row r="99" spans="6:6" x14ac:dyDescent="0.3">
      <c r="F99" s="118"/>
    </row>
    <row r="100" spans="6:6" x14ac:dyDescent="0.3">
      <c r="F100" s="118"/>
    </row>
    <row r="101" spans="6:6" x14ac:dyDescent="0.3">
      <c r="F101" s="118"/>
    </row>
    <row r="102" spans="6:6" x14ac:dyDescent="0.3">
      <c r="F102" s="118"/>
    </row>
    <row r="103" spans="6:6" x14ac:dyDescent="0.3">
      <c r="F103" s="118"/>
    </row>
    <row r="104" spans="6:6" x14ac:dyDescent="0.3">
      <c r="F104" s="118"/>
    </row>
    <row r="105" spans="6:6" x14ac:dyDescent="0.3">
      <c r="F105" s="118"/>
    </row>
    <row r="106" spans="6:6" x14ac:dyDescent="0.3">
      <c r="F106" s="118"/>
    </row>
    <row r="107" spans="6:6" x14ac:dyDescent="0.3">
      <c r="F107" s="118"/>
    </row>
    <row r="108" spans="6:6" x14ac:dyDescent="0.3">
      <c r="F108" s="118"/>
    </row>
    <row r="109" spans="6:6" x14ac:dyDescent="0.3">
      <c r="F109" s="118"/>
    </row>
    <row r="110" spans="6:6" x14ac:dyDescent="0.3">
      <c r="F110" s="118"/>
    </row>
    <row r="111" spans="6:6" x14ac:dyDescent="0.3">
      <c r="F111" s="118"/>
    </row>
    <row r="112" spans="6:6" x14ac:dyDescent="0.3">
      <c r="F112" s="118"/>
    </row>
    <row r="113" spans="6:6" x14ac:dyDescent="0.3">
      <c r="F113" s="118"/>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6BAE0-9F27-434E-ADB9-DB714F674713}">
  <sheetPr codeName="Sheet6">
    <tabColor rgb="FF00B050"/>
  </sheetPr>
  <dimension ref="A1:AU1117"/>
  <sheetViews>
    <sheetView showZeros="0" tabSelected="1" zoomScaleNormal="100" workbookViewId="0">
      <pane xSplit="2" ySplit="7" topLeftCell="C918" activePane="bottomRight" state="frozen"/>
      <selection pane="topRight" activeCell="C1" sqref="C1"/>
      <selection pane="bottomLeft" activeCell="A8" sqref="A8"/>
      <selection pane="bottomRight" activeCell="N1078" sqref="N1078"/>
    </sheetView>
  </sheetViews>
  <sheetFormatPr defaultRowHeight="14.4" x14ac:dyDescent="0.3"/>
  <cols>
    <col min="1" max="1" width="4.33203125" customWidth="1"/>
    <col min="2" max="2" width="6.33203125" customWidth="1"/>
    <col min="3" max="3" width="7.33203125" customWidth="1"/>
    <col min="4" max="4" width="7.44140625" customWidth="1"/>
    <col min="6" max="6" width="6.6640625" customWidth="1"/>
    <col min="7" max="7" width="18.6640625" customWidth="1"/>
    <col min="8" max="8" width="6.44140625" customWidth="1"/>
    <col min="9" max="9" width="18.6640625" customWidth="1"/>
    <col min="12" max="12" width="3.6640625" customWidth="1"/>
    <col min="13" max="13" width="7.6640625" customWidth="1"/>
    <col min="14" max="14" width="9.6640625" customWidth="1"/>
    <col min="15" max="15" width="6.109375" customWidth="1"/>
    <col min="16" max="16" width="20.6640625" customWidth="1"/>
    <col min="18" max="18" width="3.6640625" customWidth="1"/>
    <col min="19" max="19" width="7.6640625" customWidth="1"/>
    <col min="20" max="20" width="9.6640625" customWidth="1"/>
    <col min="21" max="21" width="5.88671875" customWidth="1"/>
    <col min="22" max="22" width="20.6640625" customWidth="1"/>
    <col min="25" max="25" width="7.33203125" customWidth="1"/>
    <col min="28" max="28" width="7.5546875" customWidth="1"/>
    <col min="29" max="29" width="8.33203125" customWidth="1"/>
    <col min="30" max="30" width="19.44140625" style="419" bestFit="1" customWidth="1"/>
    <col min="31" max="32" width="10.5546875" style="419" customWidth="1"/>
    <col min="33" max="33" width="11.5546875" style="419" customWidth="1"/>
    <col min="34" max="34" width="11.44140625" style="419" customWidth="1"/>
    <col min="35" max="36" width="7.88671875" style="419" customWidth="1"/>
    <col min="37" max="37" width="7" style="32" customWidth="1"/>
    <col min="38" max="38" width="8" style="419" customWidth="1"/>
    <col min="39" max="40" width="8.33203125" customWidth="1"/>
    <col min="45" max="47" width="9.109375" style="32"/>
  </cols>
  <sheetData>
    <row r="1" spans="1:40" ht="15" thickBot="1" x14ac:dyDescent="0.35">
      <c r="A1">
        <v>1</v>
      </c>
      <c r="B1">
        <v>2</v>
      </c>
      <c r="C1">
        <v>3</v>
      </c>
      <c r="D1">
        <v>4</v>
      </c>
      <c r="E1">
        <v>5</v>
      </c>
      <c r="F1">
        <v>6</v>
      </c>
      <c r="G1">
        <v>7</v>
      </c>
      <c r="H1">
        <v>8</v>
      </c>
      <c r="I1">
        <v>9</v>
      </c>
      <c r="J1">
        <v>10</v>
      </c>
      <c r="K1">
        <v>11</v>
      </c>
      <c r="L1">
        <v>28</v>
      </c>
      <c r="M1">
        <v>12</v>
      </c>
      <c r="N1">
        <v>13</v>
      </c>
      <c r="O1">
        <v>14</v>
      </c>
      <c r="P1">
        <v>15</v>
      </c>
      <c r="Q1">
        <v>16</v>
      </c>
      <c r="R1">
        <v>29</v>
      </c>
      <c r="S1">
        <v>17</v>
      </c>
      <c r="T1">
        <v>18</v>
      </c>
      <c r="U1">
        <v>19</v>
      </c>
      <c r="V1">
        <v>20</v>
      </c>
      <c r="X1">
        <v>21</v>
      </c>
      <c r="Y1">
        <v>22</v>
      </c>
      <c r="Z1">
        <v>26</v>
      </c>
      <c r="AA1">
        <v>27</v>
      </c>
      <c r="AB1">
        <v>28</v>
      </c>
      <c r="AC1">
        <v>29</v>
      </c>
      <c r="AD1">
        <v>30</v>
      </c>
      <c r="AE1">
        <v>31</v>
      </c>
      <c r="AF1">
        <v>32</v>
      </c>
      <c r="AG1">
        <v>33</v>
      </c>
      <c r="AH1"/>
      <c r="AI1">
        <v>34</v>
      </c>
      <c r="AJ1">
        <v>35</v>
      </c>
      <c r="AL1"/>
      <c r="AM1">
        <v>12</v>
      </c>
      <c r="AN1">
        <v>6</v>
      </c>
    </row>
    <row r="2" spans="1:40" x14ac:dyDescent="0.3">
      <c r="B2" s="879" t="s">
        <v>165</v>
      </c>
      <c r="C2" s="880"/>
      <c r="D2" s="680" t="s">
        <v>169</v>
      </c>
      <c r="E2" s="680"/>
      <c r="F2" s="681"/>
      <c r="G2" s="681"/>
      <c r="H2" s="881"/>
      <c r="I2" s="881"/>
      <c r="J2" s="32"/>
      <c r="N2" s="890" t="s">
        <v>246</v>
      </c>
      <c r="O2" s="48"/>
      <c r="P2" s="878">
        <f>'Event Details'!E9</f>
        <v>1</v>
      </c>
      <c r="S2" s="87" t="s">
        <v>247</v>
      </c>
      <c r="T2" s="49"/>
      <c r="U2" s="50"/>
      <c r="V2" s="32"/>
      <c r="W2" s="32"/>
      <c r="X2" s="32"/>
      <c r="Y2" s="32"/>
      <c r="AD2"/>
      <c r="AE2"/>
      <c r="AF2" s="32"/>
      <c r="AG2"/>
      <c r="AH2"/>
      <c r="AI2"/>
      <c r="AJ2"/>
      <c r="AK2"/>
      <c r="AL2"/>
    </row>
    <row r="3" spans="1:40" ht="15" thickBot="1" x14ac:dyDescent="0.35">
      <c r="B3" s="883" t="s">
        <v>167</v>
      </c>
      <c r="C3" s="884" t="s">
        <v>168</v>
      </c>
      <c r="D3" s="361" t="s">
        <v>248</v>
      </c>
      <c r="E3" s="361"/>
      <c r="F3" s="361" t="s">
        <v>165</v>
      </c>
      <c r="G3" s="370"/>
      <c r="H3" s="885" t="s">
        <v>177</v>
      </c>
      <c r="I3" s="885" t="s">
        <v>249</v>
      </c>
      <c r="J3" s="32"/>
      <c r="M3" s="459"/>
      <c r="N3" s="891" t="s">
        <v>250</v>
      </c>
      <c r="P3" s="882" t="str">
        <f>'Event Details'!E17</f>
        <v>Bruce williams Way</v>
      </c>
      <c r="S3" s="894"/>
      <c r="T3" s="886" t="s">
        <v>251</v>
      </c>
      <c r="U3" s="117"/>
      <c r="V3" s="32"/>
      <c r="W3" s="32"/>
      <c r="X3" s="32"/>
      <c r="Y3" s="32"/>
      <c r="AD3"/>
      <c r="AE3"/>
      <c r="AF3" s="32"/>
      <c r="AG3"/>
      <c r="AH3"/>
      <c r="AI3"/>
      <c r="AJ3"/>
      <c r="AK3"/>
      <c r="AL3"/>
    </row>
    <row r="4" spans="1:40" ht="15" thickBot="1" x14ac:dyDescent="0.35">
      <c r="B4" s="887">
        <v>88</v>
      </c>
      <c r="C4" s="611">
        <f>VLOOKUP($B$4,EventsOrder,2,FALSE)</f>
        <v>11</v>
      </c>
      <c r="D4" s="896" t="str">
        <f>VLOOKUP($B$4,EventsOrder,4,FALSE)</f>
        <v>U14 Female</v>
      </c>
      <c r="E4" s="895"/>
      <c r="F4" s="896" t="str">
        <f>VLOOKUP($B$4,EventsOrder,3,FALSE)</f>
        <v>1500m</v>
      </c>
      <c r="G4" s="888"/>
      <c r="H4" s="889" t="str">
        <f>VLOOKUP($B$4,EventsOrder,5,FALSE)</f>
        <v>NS</v>
      </c>
      <c r="I4" s="338" t="str">
        <f>IF(MID(D4,5,1)="F","F","M")</f>
        <v>F</v>
      </c>
      <c r="J4" s="32"/>
      <c r="M4" s="459"/>
      <c r="N4" s="892" t="s">
        <v>252</v>
      </c>
      <c r="O4" s="115"/>
      <c r="P4" s="893" t="str">
        <f>'Event Details'!C17</f>
        <v>17th May 2026</v>
      </c>
      <c r="S4" s="459"/>
      <c r="T4" s="32"/>
      <c r="V4" s="32"/>
      <c r="W4" s="32"/>
      <c r="X4" s="32"/>
      <c r="Y4" s="32"/>
      <c r="AD4"/>
      <c r="AE4"/>
      <c r="AF4" s="85" t="s">
        <v>253</v>
      </c>
      <c r="AG4"/>
      <c r="AH4"/>
      <c r="AI4"/>
      <c r="AJ4"/>
      <c r="AK4"/>
      <c r="AL4"/>
    </row>
    <row r="5" spans="1:40" ht="15" thickBot="1" x14ac:dyDescent="0.35">
      <c r="K5" s="32"/>
      <c r="M5" s="352"/>
      <c r="N5" s="352"/>
      <c r="O5" s="352"/>
      <c r="P5" s="352"/>
      <c r="Q5" s="352"/>
      <c r="S5" s="352"/>
      <c r="T5" s="352"/>
    </row>
    <row r="6" spans="1:40" ht="15" thickBot="1" x14ac:dyDescent="0.35">
      <c r="B6" s="61"/>
      <c r="C6" s="355"/>
      <c r="D6" s="356"/>
      <c r="E6" s="356" t="s">
        <v>254</v>
      </c>
      <c r="F6" s="357"/>
      <c r="G6" s="357"/>
      <c r="H6" s="358"/>
      <c r="I6" s="359"/>
      <c r="K6" s="382"/>
      <c r="L6" s="664"/>
      <c r="M6" s="383"/>
      <c r="N6" s="1329"/>
      <c r="O6" s="383" t="s">
        <v>255</v>
      </c>
      <c r="P6" s="384"/>
      <c r="Q6" s="382"/>
      <c r="R6" s="383"/>
      <c r="S6" s="383"/>
      <c r="T6" s="383" t="s">
        <v>256</v>
      </c>
      <c r="U6" s="383"/>
      <c r="V6" s="384"/>
      <c r="AD6"/>
      <c r="AE6"/>
      <c r="AF6"/>
      <c r="AG6"/>
      <c r="AH6"/>
      <c r="AI6"/>
      <c r="AJ6"/>
      <c r="AK6" s="382"/>
      <c r="AL6" s="662" t="s">
        <v>257</v>
      </c>
      <c r="AM6" s="383"/>
      <c r="AN6" s="663">
        <f>'Event Details'!D32</f>
        <v>8</v>
      </c>
    </row>
    <row r="7" spans="1:40" ht="15" thickBot="1" x14ac:dyDescent="0.35">
      <c r="AD7"/>
      <c r="AE7"/>
      <c r="AF7"/>
      <c r="AG7"/>
      <c r="AH7"/>
      <c r="AI7"/>
      <c r="AJ7"/>
      <c r="AL7"/>
    </row>
    <row r="8" spans="1:40" x14ac:dyDescent="0.3">
      <c r="B8" s="400" t="s">
        <v>258</v>
      </c>
      <c r="C8" s="686"/>
      <c r="AD8"/>
      <c r="AE8"/>
      <c r="AF8"/>
      <c r="AG8"/>
      <c r="AH8"/>
      <c r="AI8"/>
      <c r="AJ8"/>
      <c r="AL8"/>
    </row>
    <row r="9" spans="1:40" ht="15" thickBot="1" x14ac:dyDescent="0.35">
      <c r="B9" s="405">
        <v>0</v>
      </c>
      <c r="C9" s="687"/>
      <c r="AD9"/>
      <c r="AE9"/>
      <c r="AF9"/>
      <c r="AG9"/>
      <c r="AH9"/>
      <c r="AI9"/>
      <c r="AJ9"/>
      <c r="AL9"/>
    </row>
    <row r="10" spans="1:40" x14ac:dyDescent="0.3">
      <c r="A10" s="669">
        <v>1</v>
      </c>
      <c r="B10" s="685">
        <v>0</v>
      </c>
      <c r="C10" s="846"/>
      <c r="AD10"/>
      <c r="AE10"/>
      <c r="AF10"/>
      <c r="AG10"/>
      <c r="AH10"/>
      <c r="AI10"/>
      <c r="AJ10"/>
      <c r="AL10"/>
    </row>
    <row r="11" spans="1:40" x14ac:dyDescent="0.3">
      <c r="A11" s="670">
        <v>2</v>
      </c>
      <c r="B11" s="685">
        <v>0</v>
      </c>
      <c r="C11" s="847"/>
      <c r="AD11"/>
      <c r="AE11"/>
      <c r="AF11"/>
      <c r="AG11"/>
      <c r="AH11"/>
      <c r="AI11"/>
      <c r="AJ11"/>
      <c r="AL11"/>
    </row>
    <row r="12" spans="1:40" x14ac:dyDescent="0.3">
      <c r="A12" s="670">
        <v>3</v>
      </c>
      <c r="B12" s="685">
        <v>0</v>
      </c>
      <c r="C12" s="847"/>
      <c r="AD12"/>
      <c r="AE12"/>
      <c r="AF12"/>
      <c r="AG12"/>
      <c r="AH12"/>
      <c r="AI12"/>
      <c r="AJ12"/>
      <c r="AL12"/>
    </row>
    <row r="13" spans="1:40" x14ac:dyDescent="0.3">
      <c r="A13" s="670">
        <v>4</v>
      </c>
      <c r="B13" s="685">
        <v>0</v>
      </c>
      <c r="C13" s="847"/>
      <c r="AD13"/>
      <c r="AE13"/>
      <c r="AF13"/>
      <c r="AG13"/>
      <c r="AH13"/>
      <c r="AI13"/>
      <c r="AJ13"/>
      <c r="AL13"/>
    </row>
    <row r="14" spans="1:40" x14ac:dyDescent="0.3">
      <c r="A14" s="670">
        <v>5</v>
      </c>
      <c r="B14" s="685">
        <v>0</v>
      </c>
      <c r="C14" s="847"/>
      <c r="AD14"/>
      <c r="AE14"/>
      <c r="AF14"/>
      <c r="AG14"/>
      <c r="AH14"/>
      <c r="AI14"/>
      <c r="AJ14"/>
      <c r="AL14"/>
    </row>
    <row r="15" spans="1:40" x14ac:dyDescent="0.3">
      <c r="A15" s="670">
        <v>6</v>
      </c>
      <c r="B15" s="685">
        <v>0</v>
      </c>
      <c r="C15" s="847"/>
      <c r="AD15"/>
      <c r="AE15"/>
      <c r="AF15"/>
      <c r="AG15"/>
      <c r="AH15"/>
      <c r="AI15"/>
      <c r="AJ15"/>
      <c r="AL15"/>
    </row>
    <row r="16" spans="1:40" x14ac:dyDescent="0.3">
      <c r="A16" s="670">
        <v>7</v>
      </c>
      <c r="B16" s="685">
        <v>0</v>
      </c>
      <c r="C16" s="847"/>
      <c r="AD16"/>
      <c r="AE16"/>
      <c r="AF16"/>
      <c r="AG16"/>
      <c r="AH16"/>
      <c r="AI16"/>
      <c r="AJ16"/>
      <c r="AL16"/>
    </row>
    <row r="17" spans="1:47" ht="15" thickBot="1" x14ac:dyDescent="0.35">
      <c r="A17" s="503">
        <v>8</v>
      </c>
      <c r="B17" s="685">
        <v>0</v>
      </c>
      <c r="C17" s="847"/>
      <c r="AD17"/>
      <c r="AE17"/>
      <c r="AF17"/>
      <c r="AG17"/>
      <c r="AH17"/>
      <c r="AI17"/>
      <c r="AJ17"/>
      <c r="AL17"/>
    </row>
    <row r="18" spans="1:47" ht="15" thickBot="1" x14ac:dyDescent="0.35"/>
    <row r="19" spans="1:47" x14ac:dyDescent="0.3">
      <c r="B19" s="400" t="s">
        <v>258</v>
      </c>
      <c r="C19" s="398"/>
      <c r="D19" s="401" t="s">
        <v>165</v>
      </c>
      <c r="E19" s="398"/>
      <c r="F19" s="398"/>
      <c r="G19" s="402" t="s">
        <v>259</v>
      </c>
      <c r="H19" s="403" t="s">
        <v>249</v>
      </c>
      <c r="I19" s="404" t="s">
        <v>168</v>
      </c>
      <c r="K19" s="360"/>
      <c r="L19" s="665"/>
      <c r="M19" s="387" t="s">
        <v>260</v>
      </c>
      <c r="N19" s="387" t="s">
        <v>261</v>
      </c>
      <c r="O19" s="387" t="s">
        <v>262</v>
      </c>
      <c r="P19" s="388" t="s">
        <v>75</v>
      </c>
      <c r="Q19" s="412"/>
      <c r="R19" s="657"/>
      <c r="S19" s="387" t="s">
        <v>260</v>
      </c>
      <c r="T19" s="387" t="s">
        <v>261</v>
      </c>
      <c r="U19" s="387" t="s">
        <v>262</v>
      </c>
      <c r="V19" s="388" t="s">
        <v>75</v>
      </c>
      <c r="W19" s="672" t="s">
        <v>76</v>
      </c>
      <c r="Y19" s="654" t="s">
        <v>263</v>
      </c>
      <c r="Z19" s="656" t="s">
        <v>74</v>
      </c>
      <c r="AA19" s="657" t="s">
        <v>75</v>
      </c>
      <c r="AC19" s="665" t="s">
        <v>71</v>
      </c>
      <c r="AD19" s="657" t="s">
        <v>86</v>
      </c>
      <c r="AE19" s="661" t="s">
        <v>149</v>
      </c>
      <c r="AF19" s="661" t="s">
        <v>94</v>
      </c>
      <c r="AG19" s="661" t="s">
        <v>149</v>
      </c>
      <c r="AH19" s="661" t="s">
        <v>94</v>
      </c>
      <c r="AI19" s="661" t="s">
        <v>149</v>
      </c>
      <c r="AJ19" s="661" t="s">
        <v>94</v>
      </c>
      <c r="AK19" s="1332" t="s">
        <v>149</v>
      </c>
      <c r="AL19" s="661" t="s">
        <v>94</v>
      </c>
      <c r="AM19" s="1406" t="s">
        <v>76</v>
      </c>
      <c r="AN19" s="1407"/>
      <c r="AP19" s="387" t="s">
        <v>260</v>
      </c>
      <c r="AQ19" s="387" t="s">
        <v>261</v>
      </c>
      <c r="AS19" s="1218" t="s">
        <v>165</v>
      </c>
      <c r="AT19" s="1219" t="s">
        <v>79</v>
      </c>
      <c r="AU19" s="1220" t="s">
        <v>80</v>
      </c>
    </row>
    <row r="20" spans="1:47" ht="15" thickBot="1" x14ac:dyDescent="0.35">
      <c r="B20" s="405">
        <v>1</v>
      </c>
      <c r="C20" s="399"/>
      <c r="D20" s="385" t="str">
        <f>VLOOKUP($B20,EventOrder,6,FALSE)</f>
        <v xml:space="preserve">High Jump </v>
      </c>
      <c r="E20" s="399"/>
      <c r="F20" s="385"/>
      <c r="G20" s="386" t="str">
        <f>VLOOKUP($B20,EventOrder,4,FALSE)</f>
        <v>U14 Male</v>
      </c>
      <c r="H20" s="396" t="str">
        <f>IF(MID(G20,5,1)="F","F","M")</f>
        <v>M</v>
      </c>
      <c r="I20" s="397">
        <f>VLOOKUP($B20,EventOrder,2,FALSE)</f>
        <v>11.3</v>
      </c>
      <c r="K20" s="372"/>
      <c r="L20" s="658" t="s">
        <v>149</v>
      </c>
      <c r="M20" s="409" t="s">
        <v>264</v>
      </c>
      <c r="N20" s="409" t="s">
        <v>265</v>
      </c>
      <c r="O20" s="409" t="s">
        <v>266</v>
      </c>
      <c r="P20" s="408"/>
      <c r="Q20" s="413"/>
      <c r="R20" s="659" t="s">
        <v>94</v>
      </c>
      <c r="S20" s="409" t="s">
        <v>264</v>
      </c>
      <c r="T20" s="409" t="s">
        <v>265</v>
      </c>
      <c r="U20" s="409" t="s">
        <v>266</v>
      </c>
      <c r="V20" s="408"/>
      <c r="W20" s="671"/>
      <c r="Y20" s="655" t="s">
        <v>167</v>
      </c>
      <c r="Z20" s="658" t="s">
        <v>149</v>
      </c>
      <c r="AA20" s="659" t="s">
        <v>94</v>
      </c>
      <c r="AC20" s="666"/>
      <c r="AD20" s="668"/>
      <c r="AE20" s="768" t="s">
        <v>75</v>
      </c>
      <c r="AF20" s="768" t="s">
        <v>75</v>
      </c>
      <c r="AG20" s="768" t="s">
        <v>267</v>
      </c>
      <c r="AH20" s="768" t="s">
        <v>267</v>
      </c>
      <c r="AI20" s="768" t="s">
        <v>268</v>
      </c>
      <c r="AJ20" s="768" t="s">
        <v>268</v>
      </c>
      <c r="AK20" s="770" t="s">
        <v>269</v>
      </c>
      <c r="AL20" s="768" t="s">
        <v>269</v>
      </c>
      <c r="AM20" s="667" t="s">
        <v>149</v>
      </c>
      <c r="AN20" s="659" t="s">
        <v>94</v>
      </c>
      <c r="AP20" s="409" t="s">
        <v>264</v>
      </c>
      <c r="AQ20" s="409" t="s">
        <v>265</v>
      </c>
      <c r="AS20" s="1221" t="s">
        <v>270</v>
      </c>
      <c r="AT20" s="1222" t="s">
        <v>270</v>
      </c>
      <c r="AU20" s="1223" t="s">
        <v>270</v>
      </c>
    </row>
    <row r="21" spans="1:47" ht="15.6" x14ac:dyDescent="0.3">
      <c r="A21" s="416">
        <f>(B20*10)+1</f>
        <v>11</v>
      </c>
      <c r="B21" s="678" t="str">
        <f>'Event Details'!D$22</f>
        <v>S</v>
      </c>
      <c r="C21" s="679" t="str">
        <f>'Event Details'!E$22</f>
        <v>BRAT</v>
      </c>
      <c r="D21" s="680"/>
      <c r="E21" s="681"/>
      <c r="F21" s="682" t="str">
        <f>VLOOKUP($B20,IF($H20="F",TeamSheetFemale,TeamSheetMale),$Y21-1,FALSE)</f>
        <v>S</v>
      </c>
      <c r="G21" s="683" t="str">
        <f>VLOOKUP($B20,IF($H20="F",TeamSheetFemale,TeamSheetMale),$Y21,FALSE)</f>
        <v xml:space="preserve">William Tse </v>
      </c>
      <c r="H21" s="682" t="str">
        <f>VLOOKUP($B20,IF($H20="F",TeamSheetFemale,TeamSheetMale),$Y21+1,FALSE)</f>
        <v>SS</v>
      </c>
      <c r="I21" s="684" t="str">
        <f>VLOOKUP($B20,IF($H20="F",TeamSheetFemale,TeamSheetMale),$Y21+2,FALSE)</f>
        <v xml:space="preserve">Thomas Woodward </v>
      </c>
      <c r="K21" s="393" t="s">
        <v>271</v>
      </c>
      <c r="L21" s="393" t="str">
        <f t="shared" ref="L21:L28" si="0">LEFT(M21,1)</f>
        <v>S</v>
      </c>
      <c r="M21" s="926" t="s">
        <v>100</v>
      </c>
      <c r="N21" s="926">
        <v>1.65</v>
      </c>
      <c r="O21" s="394" t="str">
        <f>IF(LEN($M21)=1,VLOOKUP(LEFT($M21,1),B21:I28,5,FALSE),IF(LEN($M21)=2,VLOOKUP(LEFT($M21,1),B21:I28,7,FALSE),""))</f>
        <v>S</v>
      </c>
      <c r="P21" s="395" t="str">
        <f>IF(LEN($M21)=1,VLOOKUP(LEFT($M21,1),B21:I28,6,FALSE),IF(LEN($M21)=2,VLOOKUP(LEFT($M21,1),B21:I28,8,FALSE),""))</f>
        <v xml:space="preserve">William Tse </v>
      </c>
      <c r="Q21" s="406" t="s">
        <v>271</v>
      </c>
      <c r="R21" s="393" t="str">
        <f t="shared" ref="R21:R28" si="1">LEFT(S21,1)</f>
        <v>G</v>
      </c>
      <c r="S21" s="926" t="s">
        <v>820</v>
      </c>
      <c r="T21" s="926">
        <v>1.3</v>
      </c>
      <c r="U21" s="394" t="str">
        <f>IF(LEN($S21)=1,VLOOKUP(LEFT($S21,1),B21:I28,5,FALSE),IF(LEN($S21)=2,VLOOKUP(LEFT($S21,1),B21:I28,7,FALSE),""))</f>
        <v>GG</v>
      </c>
      <c r="V21" s="395" t="str">
        <f>IF(LEN($S21)=1,VLOOKUP(LEFT($S21,1),B21:I28,6,FALSE),IF(LEN($S21)=2,VLOOKUP(LEFT($S21,1),B21:I28,8,FALSE),""))</f>
        <v>Lewis Deffley</v>
      </c>
      <c r="W21" s="417">
        <f>AN$6</f>
        <v>8</v>
      </c>
      <c r="Y21" s="653">
        <v>7</v>
      </c>
      <c r="Z21" s="653" t="str">
        <f t="shared" ref="Z21:Z28" si="2">IF(LEN(M21)&gt;0,VLOOKUP(LEFT(M21,1),ShortName,5,FALSE),0)</f>
        <v>BRAT</v>
      </c>
      <c r="AA21" s="138" t="str">
        <f t="shared" ref="AA21:AA28" si="3">IF(LEN(S21)&gt;0,VLOOKUP(LEFT(S21,1),ShortName,5,FALSE),0)</f>
        <v>Royal</v>
      </c>
      <c r="AC21" s="653" t="str">
        <f t="shared" ref="AC21:AD28" si="4">B21</f>
        <v>S</v>
      </c>
      <c r="AD21" s="635" t="str">
        <f t="shared" si="4"/>
        <v>BRAT</v>
      </c>
      <c r="AE21" s="635">
        <f>IF(ISNA(MATCH(AC21,N21:N30,0)),0,VLOOKUP(AC21,N21:S30,5,FALSE))</f>
        <v>0</v>
      </c>
      <c r="AF21" s="635" t="str">
        <f>IF(ISNA(MATCH(AC21,T21:T30,0))," ",VLOOKUP(AC21,T21:Y30,5,FALSE))</f>
        <v xml:space="preserve"> </v>
      </c>
      <c r="AG21" s="635">
        <f>IF(ISNA(MATCH(AC21,L21:L28,0)),0,VLOOKUP(AC21,L21:N28,3,FALSE))</f>
        <v>1.65</v>
      </c>
      <c r="AH21" s="635">
        <f>IF(ISNA(MATCH(AC21,R21:R28,0)),0,VLOOKUP(AC21,R21:T28,3,FALSE))</f>
        <v>1.3</v>
      </c>
      <c r="AI21" s="635" t="str">
        <f>IF(ISNA(MATCH(AC21,L21:L28,0)),0,VLOOKUP(AC21,L21:P28,4,FALSE))</f>
        <v>S</v>
      </c>
      <c r="AJ21" s="635" t="str">
        <f>IF(ISNA(MATCH(AC21,R21:R28,0)),0,VLOOKUP(AC21,R21:U28,4,FALSE))</f>
        <v>SS</v>
      </c>
      <c r="AK21" s="49">
        <f t="shared" ref="AK21:AK28" si="5">IF(AM21=0,0,AN$6-(AM21-1))</f>
        <v>1</v>
      </c>
      <c r="AL21" s="49">
        <f t="shared" ref="AL21:AL28" si="6">IF(AN21=0,0,AN$6-(AN21-1))</f>
        <v>2</v>
      </c>
      <c r="AM21" s="49">
        <f>IF(ISNA(MATCH(AC21,L21:L28,0)),0,VLOOKUP(AC21,L21:W28,AM$1,FALSE))</f>
        <v>8</v>
      </c>
      <c r="AN21" s="138">
        <f>IF(ISNA(MATCH(AC21,R21:R28,0)),0,VLOOKUP(AC21,R21:W28,AN$1,FALSE))</f>
        <v>7</v>
      </c>
      <c r="AP21" s="926"/>
      <c r="AQ21" s="926"/>
      <c r="AS21" s="32">
        <f>IF(LEN(N21)&gt;0,1,0)</f>
        <v>1</v>
      </c>
      <c r="AT21" s="32">
        <f>IF(AND(AS21=1,H20="M"),1,0)</f>
        <v>1</v>
      </c>
      <c r="AU21" s="32">
        <f>IF(AND(AS21=1,H20="F"),1,0)</f>
        <v>0</v>
      </c>
    </row>
    <row r="22" spans="1:47" ht="15.6" x14ac:dyDescent="0.3">
      <c r="A22" s="417">
        <f>A21+1</f>
        <v>12</v>
      </c>
      <c r="B22" s="362" t="str">
        <f>'Event Details'!D$23</f>
        <v>U</v>
      </c>
      <c r="C22" s="381" t="str">
        <f>'Event Details'!E$23</f>
        <v>Kidder &amp; Stourport</v>
      </c>
      <c r="D22" s="379"/>
      <c r="E22" s="378"/>
      <c r="F22" s="363">
        <f>VLOOKUP($B20,IF($H20="F",TeamSheetFemale,TeamSheetMale),$Y22-1,FALSE)</f>
        <v>0</v>
      </c>
      <c r="G22" s="380">
        <f>VLOOKUP($B20,IF($H20="F",TeamSheetFemale,TeamSheetMale),$Y22,FALSE)</f>
        <v>0</v>
      </c>
      <c r="H22" s="363">
        <f>VLOOKUP($B20,IF($H20="F",TeamSheetFemale,TeamSheetMale),$Y22+1,FALSE)</f>
        <v>0</v>
      </c>
      <c r="I22" s="364">
        <f>VLOOKUP($B20,IF($H20="F",TeamSheetFemale,TeamSheetMale),$Y22+2,FALSE)</f>
        <v>0</v>
      </c>
      <c r="K22" s="341" t="s">
        <v>272</v>
      </c>
      <c r="L22" s="341" t="str">
        <f t="shared" si="0"/>
        <v>R</v>
      </c>
      <c r="M22" s="927" t="s">
        <v>118</v>
      </c>
      <c r="N22" s="927">
        <v>1.65</v>
      </c>
      <c r="O22" s="354" t="str">
        <f>IF(LEN($M22)=1,VLOOKUP(LEFT($M22,1),B21:I28,5,FALSE),IF(LEN($M22)=2,VLOOKUP(LEFT($M22,1),B21:I28,7,FALSE),""))</f>
        <v>R</v>
      </c>
      <c r="P22" s="410" t="str">
        <f>IF(LEN($M22)=1,VLOOKUP(LEFT($M22,1),B21:I28,6,FALSE),IF(LEN($M22)=2,VLOOKUP(LEFT($M22,1),B21:I28,8,FALSE),""))</f>
        <v>Joe Walden</v>
      </c>
      <c r="Q22" s="371" t="s">
        <v>272</v>
      </c>
      <c r="R22" s="341" t="str">
        <f t="shared" si="1"/>
        <v>S</v>
      </c>
      <c r="S22" s="927" t="s">
        <v>818</v>
      </c>
      <c r="T22" s="927">
        <v>1.3</v>
      </c>
      <c r="U22" s="354" t="str">
        <f>IF(LEN($S22)=1,VLOOKUP(LEFT($S22,1),B21:I28,5,FALSE),IF(LEN($S22)=2,VLOOKUP(LEFT($S22,1),B21:I28,7,FALSE),""))</f>
        <v>SS</v>
      </c>
      <c r="V22" s="410" t="str">
        <f>IF(LEN($S22)=1,VLOOKUP(LEFT($S22,1),B21:I28,6,FALSE),IF(LEN($S22)=2,VLOOKUP(LEFT($S22,1),B21:I28,8,FALSE),""))</f>
        <v xml:space="preserve">Thomas Woodward </v>
      </c>
      <c r="W22" s="417">
        <f>W21-1</f>
        <v>7</v>
      </c>
      <c r="Y22" s="16">
        <v>12</v>
      </c>
      <c r="Z22" s="16" t="str">
        <f t="shared" si="2"/>
        <v>Rugby</v>
      </c>
      <c r="AA22" s="146" t="str">
        <f t="shared" si="3"/>
        <v>BRAT</v>
      </c>
      <c r="AC22" s="16" t="str">
        <f t="shared" si="4"/>
        <v>U</v>
      </c>
      <c r="AD22" s="419" t="str">
        <f t="shared" si="4"/>
        <v>Kidder &amp; Stourport</v>
      </c>
      <c r="AE22" s="419">
        <f>IF(ISNA(MATCH(AC22,N21:N30,0)),0,VLOOKUP(AC22,N21:S30,5,FALSE))</f>
        <v>0</v>
      </c>
      <c r="AF22" s="419" t="str">
        <f>IF(ISNA(MATCH(AC22,T21:T30,0))," ",VLOOKUP(AC22,T21:Y30,5,FALSE))</f>
        <v xml:space="preserve"> </v>
      </c>
      <c r="AG22" s="419">
        <f>IF(ISNA(MATCH(AC22,L21:L28,0)),0,VLOOKUP(AC22,L21:N28,3,FALSE))</f>
        <v>0</v>
      </c>
      <c r="AH22" s="419">
        <f>IF(ISNA(MATCH(AC22,R21:R28,0)),0,VLOOKUP(AC22,R21:T28,3,FALSE))</f>
        <v>0</v>
      </c>
      <c r="AI22" s="419">
        <f>IF(ISNA(MATCH(AC22,L21:L28,0)),0,VLOOKUP(AC22,L21:P28,4,FALSE))</f>
        <v>0</v>
      </c>
      <c r="AJ22" s="419">
        <f>IF(ISNA(MATCH(AC22,R21:R28,0)),0,VLOOKUP(AC22,R21:U28,4,FALSE))</f>
        <v>0</v>
      </c>
      <c r="AK22" s="32">
        <f t="shared" si="5"/>
        <v>0</v>
      </c>
      <c r="AL22" s="32">
        <f t="shared" si="6"/>
        <v>0</v>
      </c>
      <c r="AM22" s="32">
        <f>IF(ISNA(MATCH(AC22,L21:L28,0)),0,VLOOKUP(AC22,L21:W28,AM$1,FALSE))</f>
        <v>0</v>
      </c>
      <c r="AN22" s="146">
        <f>IF(ISNA(MATCH(AC22,R21:R28,0)),0,VLOOKUP(AC22,R21:W28,AN$1,FALSE))</f>
        <v>0</v>
      </c>
      <c r="AP22" s="927"/>
      <c r="AQ22" s="927"/>
    </row>
    <row r="23" spans="1:47" ht="15.6" x14ac:dyDescent="0.3">
      <c r="A23" s="417">
        <f t="shared" ref="A23:A28" si="7">A22+1</f>
        <v>13</v>
      </c>
      <c r="B23" s="362" t="str">
        <f>'Event Details'!D$24</f>
        <v>G</v>
      </c>
      <c r="C23" s="381" t="str">
        <f>'Event Details'!E$24</f>
        <v>Royal Sutton</v>
      </c>
      <c r="D23" s="379"/>
      <c r="E23" s="378"/>
      <c r="F23" s="363" t="str">
        <f>VLOOKUP($B20,IF($H20="F",TeamSheetFemale,TeamSheetMale),$Y23-1,FALSE)</f>
        <v>G</v>
      </c>
      <c r="G23" s="380" t="str">
        <f>VLOOKUP($B20,IF($H20="F",TeamSheetFemale,TeamSheetMale),$Y23,FALSE)</f>
        <v>Finley Aldridge-Cox</v>
      </c>
      <c r="H23" s="363" t="str">
        <f>VLOOKUP($B20,IF($H20="F",TeamSheetFemale,TeamSheetMale),$Y23+1,FALSE)</f>
        <v>GG</v>
      </c>
      <c r="I23" s="364" t="str">
        <f>VLOOKUP($B20,IF($H20="F",TeamSheetFemale,TeamSheetMale),$Y23+2,FALSE)</f>
        <v>Lewis Deffley</v>
      </c>
      <c r="K23" s="341" t="s">
        <v>273</v>
      </c>
      <c r="L23" s="341" t="str">
        <f t="shared" si="0"/>
        <v>D</v>
      </c>
      <c r="M23" s="927" t="s">
        <v>136</v>
      </c>
      <c r="N23" s="927">
        <v>1.55</v>
      </c>
      <c r="O23" s="354" t="str">
        <f>IF(LEN($M23)=1,VLOOKUP(LEFT($M23,1),B21:I28,5,FALSE),IF(LEN($M23)=2,VLOOKUP(LEFT($M23,1),B21:I28,7,FALSE),""))</f>
        <v>D</v>
      </c>
      <c r="P23" s="410" t="str">
        <f>IF(LEN($M23)=1,VLOOKUP(LEFT($M23,1),B21:I28,6,FALSE),IF(LEN($M23)=2,VLOOKUP(LEFT($M23,1),B21:I28,8,FALSE),""))</f>
        <v>Fynn Allen</v>
      </c>
      <c r="Q23" s="371" t="s">
        <v>273</v>
      </c>
      <c r="R23" s="341" t="str">
        <f t="shared" si="1"/>
        <v>D</v>
      </c>
      <c r="S23" s="927" t="s">
        <v>513</v>
      </c>
      <c r="T23" s="927">
        <v>1.3</v>
      </c>
      <c r="U23" s="354" t="str">
        <f>IF(LEN($S23)=1,VLOOKUP(LEFT($S23,1),B21:I28,5,FALSE),IF(LEN($S23)=2,VLOOKUP(LEFT($S23,1),B21:I28,7,FALSE),""))</f>
        <v>DD</v>
      </c>
      <c r="V23" s="410" t="str">
        <f>IF(LEN($S23)=1,VLOOKUP(LEFT($S23,1),B21:I28,6,FALSE),IF(LEN($S23)=2,VLOOKUP(LEFT($S23,1),B21:I28,8,FALSE),""))</f>
        <v>Jasper Hadley</v>
      </c>
      <c r="W23" s="417">
        <f t="shared" ref="W23:W28" si="8">W22-1</f>
        <v>6</v>
      </c>
      <c r="Y23" s="16">
        <v>17</v>
      </c>
      <c r="Z23" s="16" t="str">
        <f t="shared" si="2"/>
        <v>Strat</v>
      </c>
      <c r="AA23" s="146" t="str">
        <f t="shared" si="3"/>
        <v>Strat</v>
      </c>
      <c r="AC23" s="16" t="str">
        <f t="shared" si="4"/>
        <v>G</v>
      </c>
      <c r="AD23" s="419" t="str">
        <f t="shared" si="4"/>
        <v>Royal Sutton</v>
      </c>
      <c r="AE23" s="419">
        <f>IF(ISNA(MATCH(AC23,N21:N30,0)),0,VLOOKUP(AC23,N21:S30,5,FALSE))</f>
        <v>0</v>
      </c>
      <c r="AF23" s="419" t="str">
        <f>IF(ISNA(MATCH(AC23,T21:T30,0))," ",VLOOKUP(AC23,T21:Y30,5,FALSE))</f>
        <v xml:space="preserve"> </v>
      </c>
      <c r="AG23" s="419">
        <f>IF(ISNA(MATCH(AC23,L21:L28,0)),0,VLOOKUP(AC23,L21:N28,3,FALSE))</f>
        <v>1.5</v>
      </c>
      <c r="AH23" s="419">
        <f>IF(ISNA(MATCH(AC23,R21:R28,0)),0,VLOOKUP(AC23,R21:T28,3,FALSE))</f>
        <v>1.3</v>
      </c>
      <c r="AI23" s="419" t="str">
        <f>IF(ISNA(MATCH(AC23,L21:L28,0)),0,VLOOKUP(AC23,L21:P28,4,FALSE))</f>
        <v>G</v>
      </c>
      <c r="AJ23" s="419" t="str">
        <f>IF(ISNA(MATCH(AC23,R21:R28,0)),0,VLOOKUP(AC23,R21:U28,4,FALSE))</f>
        <v>GG</v>
      </c>
      <c r="AK23" s="32">
        <f t="shared" si="5"/>
        <v>4</v>
      </c>
      <c r="AL23" s="32">
        <f t="shared" si="6"/>
        <v>1</v>
      </c>
      <c r="AM23" s="32">
        <f>IF(ISNA(MATCH(AC23,L21:L28,0)),0,VLOOKUP(AC23,L21:W28,AM$1,FALSE))</f>
        <v>5</v>
      </c>
      <c r="AN23" s="146">
        <f>IF(ISNA(MATCH(AC23,R21:R28,0)),0,VLOOKUP(AC23,R21:W28,AN$1,FALSE))</f>
        <v>8</v>
      </c>
      <c r="AP23" s="927"/>
      <c r="AQ23" s="927"/>
    </row>
    <row r="24" spans="1:47" ht="15.6" x14ac:dyDescent="0.3">
      <c r="A24" s="417">
        <f t="shared" si="7"/>
        <v>14</v>
      </c>
      <c r="B24" s="362" t="str">
        <f>'Event Details'!D$25</f>
        <v>R</v>
      </c>
      <c r="C24" s="381" t="str">
        <f>'Event Details'!E$25</f>
        <v>Rugby &amp; N'hampton</v>
      </c>
      <c r="D24" s="379"/>
      <c r="E24" s="378"/>
      <c r="F24" s="363" t="str">
        <f>VLOOKUP($B20,IF($H20="F",TeamSheetFemale,TeamSheetMale),$Y24-1,FALSE)</f>
        <v>R</v>
      </c>
      <c r="G24" s="380" t="str">
        <f>VLOOKUP($B20,IF($H20="F",TeamSheetFemale,TeamSheetMale),$Y24,FALSE)</f>
        <v>Joe Walden</v>
      </c>
      <c r="H24" s="363" t="str">
        <f>VLOOKUP($B20,IF($H20="F",TeamSheetFemale,TeamSheetMale),$Y24+1,FALSE)</f>
        <v>RR</v>
      </c>
      <c r="I24" s="364" t="str">
        <f>VLOOKUP($B20,IF($H20="F",TeamSheetFemale,TeamSheetMale),$Y24+2,FALSE)</f>
        <v>Chukwuemeka Okwara</v>
      </c>
      <c r="K24" s="341" t="s">
        <v>274</v>
      </c>
      <c r="L24" s="341" t="str">
        <f t="shared" si="0"/>
        <v>G</v>
      </c>
      <c r="M24" s="927" t="s">
        <v>110</v>
      </c>
      <c r="N24" s="927">
        <v>1.5</v>
      </c>
      <c r="O24" s="354" t="str">
        <f>IF(LEN($M24)=1,VLOOKUP(LEFT($M24,1),B21:I28,5,FALSE),IF(LEN($M24)=2,VLOOKUP(LEFT($M24,1),B21:I28,7,FALSE),""))</f>
        <v>G</v>
      </c>
      <c r="P24" s="410" t="str">
        <f>IF(LEN($M24)=1,VLOOKUP(LEFT($M24,1),B21:I28,6,FALSE),IF(LEN($M24)=2,VLOOKUP(LEFT($M24,1),B21:I28,8,FALSE),""))</f>
        <v>Finley Aldridge-Cox</v>
      </c>
      <c r="Q24" s="371" t="s">
        <v>274</v>
      </c>
      <c r="R24" s="341" t="str">
        <f t="shared" si="1"/>
        <v/>
      </c>
      <c r="S24" s="927"/>
      <c r="T24" s="927"/>
      <c r="U24" s="354" t="str">
        <f>IF(LEN($S24)=1,VLOOKUP(LEFT($S24,1),B21:I28,5,FALSE),IF(LEN($S24)=2,VLOOKUP(LEFT($S24,1),B21:I28,7,FALSE),""))</f>
        <v/>
      </c>
      <c r="V24" s="410" t="str">
        <f>IF(LEN($S24)=1,VLOOKUP(LEFT($S24,1),B21:I28,6,FALSE),IF(LEN($S24)=2,VLOOKUP(LEFT($S24,1),B21:I28,8,FALSE),""))</f>
        <v/>
      </c>
      <c r="W24" s="417">
        <f t="shared" si="8"/>
        <v>5</v>
      </c>
      <c r="Y24" s="16">
        <v>22</v>
      </c>
      <c r="Z24" s="16" t="str">
        <f t="shared" si="2"/>
        <v>Royal</v>
      </c>
      <c r="AA24" s="146">
        <f t="shared" si="3"/>
        <v>0</v>
      </c>
      <c r="AC24" s="16" t="str">
        <f t="shared" si="4"/>
        <v>R</v>
      </c>
      <c r="AD24" s="419" t="str">
        <f t="shared" si="4"/>
        <v>Rugby &amp; N'hampton</v>
      </c>
      <c r="AE24" s="419">
        <f>IF(ISNA(MATCH(AC24,N21:N30,0)),0,VLOOKUP(AC24,N21:S30,5,FALSE))</f>
        <v>0</v>
      </c>
      <c r="AF24" s="419" t="str">
        <f>IF(ISNA(MATCH(AC24,T21:T30,0))," ",VLOOKUP(AC24,T21:Y30,5,FALSE))</f>
        <v xml:space="preserve"> </v>
      </c>
      <c r="AG24" s="419">
        <f>IF(ISNA(MATCH(AC24,L21:L28,0)),0,VLOOKUP(AC24,L21:N28,3,FALSE))</f>
        <v>1.65</v>
      </c>
      <c r="AH24" s="419">
        <f>IF(ISNA(MATCH(AC24,R21:R28,0)),0,VLOOKUP(AC24,R21:T28,3,FALSE))</f>
        <v>0</v>
      </c>
      <c r="AI24" s="419" t="str">
        <f>IF(ISNA(MATCH(AC24,L21:L28,0)),0,VLOOKUP(AC24,L21:P28,4,FALSE))</f>
        <v>R</v>
      </c>
      <c r="AJ24" s="419">
        <f>IF(ISNA(MATCH(AC24,R21:R28,0)),0,VLOOKUP(AC24,R21:U28,4,FALSE))</f>
        <v>0</v>
      </c>
      <c r="AK24" s="32">
        <f t="shared" si="5"/>
        <v>2</v>
      </c>
      <c r="AL24" s="32">
        <f t="shared" si="6"/>
        <v>0</v>
      </c>
      <c r="AM24" s="32">
        <f>IF(ISNA(MATCH(AC24,L21:L28,0)),0,VLOOKUP(AC24,L21:W28,AM$1,FALSE))</f>
        <v>7</v>
      </c>
      <c r="AN24" s="146">
        <f>IF(ISNA(MATCH(AC24,R21:R28,0)),0,VLOOKUP(AC24,R21:W28,AN$1,FALSE))</f>
        <v>0</v>
      </c>
      <c r="AP24" s="927"/>
      <c r="AQ24" s="927"/>
    </row>
    <row r="25" spans="1:47" ht="15.6" x14ac:dyDescent="0.3">
      <c r="A25" s="417">
        <f t="shared" si="7"/>
        <v>15</v>
      </c>
      <c r="B25" s="362" t="str">
        <f>'Event Details'!D$26</f>
        <v>M</v>
      </c>
      <c r="C25" s="381" t="str">
        <f>'Event Details'!E$26</f>
        <v>Solihull &amp; S.Heath</v>
      </c>
      <c r="D25" s="379"/>
      <c r="E25" s="378"/>
      <c r="F25" s="363" t="str">
        <f>VLOOKUP($B20,IF($H20="F",TeamSheetFemale,TeamSheetMale),$Y25-1,FALSE)</f>
        <v>M</v>
      </c>
      <c r="G25" s="380" t="str">
        <f>VLOOKUP($B20,IF($H20="F",TeamSheetFemale,TeamSheetMale),$Y25,FALSE)</f>
        <v>Matthew Payne</v>
      </c>
      <c r="H25" s="363">
        <f>VLOOKUP($B20,IF($H20="F",TeamSheetFemale,TeamSheetMale),$Y25+1,FALSE)</f>
        <v>0</v>
      </c>
      <c r="I25" s="364">
        <f>VLOOKUP($B20,IF($H20="F",TeamSheetFemale,TeamSheetMale),$Y25+2,FALSE)</f>
        <v>0</v>
      </c>
      <c r="K25" s="341" t="s">
        <v>275</v>
      </c>
      <c r="L25" s="341" t="str">
        <f t="shared" si="0"/>
        <v>M</v>
      </c>
      <c r="M25" s="927" t="s">
        <v>127</v>
      </c>
      <c r="N25" s="927">
        <v>1.35</v>
      </c>
      <c r="O25" s="354" t="str">
        <f>IF(LEN($M25)=1,VLOOKUP(LEFT($M25,1),B21:I28,5,FALSE),IF(LEN($M25)=2,VLOOKUP(LEFT($M25,1),B21:I28,7,FALSE),""))</f>
        <v>M</v>
      </c>
      <c r="P25" s="410" t="str">
        <f>IF(LEN($M25)=1,VLOOKUP(LEFT($M25,1),B21:I28,6,FALSE),IF(LEN($M25)=2,VLOOKUP(LEFT($M25,1),B21:I28,8,FALSE),""))</f>
        <v>Matthew Payne</v>
      </c>
      <c r="Q25" s="371" t="s">
        <v>275</v>
      </c>
      <c r="R25" s="341" t="str">
        <f t="shared" si="1"/>
        <v/>
      </c>
      <c r="S25" s="927"/>
      <c r="T25" s="927"/>
      <c r="U25" s="354" t="str">
        <f>IF(LEN($S25)=1,VLOOKUP(LEFT($S25,1),B21:I28,5,FALSE),IF(LEN($S25)=2,VLOOKUP(LEFT($S25,1),B21:I28,7,FALSE),""))</f>
        <v/>
      </c>
      <c r="V25" s="410" t="str">
        <f>IF(LEN($S25)=1,VLOOKUP(LEFT($S25,1),B21:I28,6,FALSE),IF(LEN($S25)=2,VLOOKUP(LEFT($S25,1),B21:I28,8,FALSE),""))</f>
        <v/>
      </c>
      <c r="W25" s="417">
        <f t="shared" si="8"/>
        <v>4</v>
      </c>
      <c r="Y25" s="16">
        <v>27</v>
      </c>
      <c r="Z25" s="16" t="str">
        <f t="shared" si="2"/>
        <v>Sol</v>
      </c>
      <c r="AA25" s="146">
        <f t="shared" si="3"/>
        <v>0</v>
      </c>
      <c r="AC25" s="16" t="str">
        <f t="shared" si="4"/>
        <v>M</v>
      </c>
      <c r="AD25" s="419" t="str">
        <f t="shared" si="4"/>
        <v>Solihull &amp; S.Heath</v>
      </c>
      <c r="AE25" s="419">
        <f>IF(ISNA(MATCH(AC25,N21:N30,0)),0,VLOOKUP(AC25,N21:S30,5,FALSE))</f>
        <v>0</v>
      </c>
      <c r="AF25" s="419" t="str">
        <f>IF(ISNA(MATCH(AC25,T21:T30,0))," ",VLOOKUP(AC25,T21:Y30,5,FALSE))</f>
        <v xml:space="preserve"> </v>
      </c>
      <c r="AG25" s="419">
        <f>IF(ISNA(MATCH(AC25,L21:L28,0)),0,VLOOKUP(AC25,L21:N28,3,FALSE))</f>
        <v>1.35</v>
      </c>
      <c r="AH25" s="419">
        <f>IF(ISNA(MATCH(AC25,R21:R28,0)),0,VLOOKUP(AC25,R21:T28,3,FALSE))</f>
        <v>0</v>
      </c>
      <c r="AI25" s="419" t="str">
        <f>IF(ISNA(MATCH(AC25,L21:L28,0)),0,VLOOKUP(AC25,L21:P28,4,FALSE))</f>
        <v>M</v>
      </c>
      <c r="AJ25" s="419">
        <f>IF(ISNA(MATCH(AC25,R21:R28,0)),0,VLOOKUP(AC25,R21:U28,4,FALSE))</f>
        <v>0</v>
      </c>
      <c r="AK25" s="32">
        <f t="shared" si="5"/>
        <v>5</v>
      </c>
      <c r="AL25" s="32">
        <f t="shared" si="6"/>
        <v>0</v>
      </c>
      <c r="AM25" s="32">
        <f>IF(ISNA(MATCH(AC25,L21:L28,0)),0,VLOOKUP(AC25,L21:W28,AM$1,FALSE))</f>
        <v>4</v>
      </c>
      <c r="AN25" s="146">
        <f>IF(ISNA(MATCH(AC25,R21:R28,0)),0,VLOOKUP(AC25,R21:W28,AN$1,FALSE))</f>
        <v>0</v>
      </c>
      <c r="AP25" s="927"/>
      <c r="AQ25" s="927"/>
    </row>
    <row r="26" spans="1:47" ht="15.6" x14ac:dyDescent="0.3">
      <c r="A26" s="417">
        <f t="shared" si="7"/>
        <v>16</v>
      </c>
      <c r="B26" s="362" t="str">
        <f>'Event Details'!D$27</f>
        <v>D</v>
      </c>
      <c r="C26" s="381" t="str">
        <f>'Event Details'!E$27</f>
        <v>Stratford</v>
      </c>
      <c r="D26" s="379"/>
      <c r="E26" s="378"/>
      <c r="F26" s="363" t="str">
        <f>VLOOKUP($B20,IF($H20="F",TeamSheetFemale,TeamSheetMale),$Y26-1,FALSE)</f>
        <v>D</v>
      </c>
      <c r="G26" s="380" t="str">
        <f>VLOOKUP($B20,IF($H20="F",TeamSheetFemale,TeamSheetMale),$Y26,FALSE)</f>
        <v>Fynn Allen</v>
      </c>
      <c r="H26" s="363" t="str">
        <f>VLOOKUP($B20,IF($H20="F",TeamSheetFemale,TeamSheetMale),$Y26+1,FALSE)</f>
        <v>DD</v>
      </c>
      <c r="I26" s="364" t="str">
        <f>VLOOKUP($B20,IF($H20="F",TeamSheetFemale,TeamSheetMale),$Y26+2,FALSE)</f>
        <v>Jasper Hadley</v>
      </c>
      <c r="K26" s="341" t="s">
        <v>276</v>
      </c>
      <c r="L26" s="341" t="str">
        <f t="shared" si="0"/>
        <v>F</v>
      </c>
      <c r="M26" s="927" t="s">
        <v>142</v>
      </c>
      <c r="N26" s="927">
        <v>1.1000000000000001</v>
      </c>
      <c r="O26" s="354" t="str">
        <f>IF(LEN($M26)=1,VLOOKUP(LEFT($M26,1),B21:I28,5,FALSE),IF(LEN($M26)=2,VLOOKUP(LEFT($M26,1),B21:I28,7,FALSE),""))</f>
        <v>F</v>
      </c>
      <c r="P26" s="410" t="str">
        <f>IF(LEN($M26)=1,VLOOKUP(LEFT($M26,1),B21:I28,6,FALSE),IF(LEN($M26)=2,VLOOKUP(LEFT($M26,1),B21:I28,8,FALSE),""))</f>
        <v>Joseph Sizer</v>
      </c>
      <c r="Q26" s="371" t="s">
        <v>276</v>
      </c>
      <c r="R26" s="341" t="str">
        <f t="shared" si="1"/>
        <v/>
      </c>
      <c r="S26" s="927"/>
      <c r="T26" s="927"/>
      <c r="U26" s="354" t="str">
        <f>IF(LEN($S26)=1,VLOOKUP(LEFT($S26,1),B21:I28,5,FALSE),IF(LEN($S26)=2,VLOOKUP(LEFT($S26,1),B21:I28,7,FALSE),""))</f>
        <v/>
      </c>
      <c r="V26" s="410" t="str">
        <f>IF(LEN($S26)=1,VLOOKUP(LEFT($S26,1),B21:I28,6,FALSE),IF(LEN($S26)=2,VLOOKUP(LEFT($S26,1),B21:I28,8,FALSE),""))</f>
        <v/>
      </c>
      <c r="W26" s="417">
        <f t="shared" si="8"/>
        <v>3</v>
      </c>
      <c r="Y26" s="16">
        <v>32</v>
      </c>
      <c r="Z26" s="16" t="str">
        <f t="shared" si="2"/>
        <v>Tam</v>
      </c>
      <c r="AA26" s="146">
        <f t="shared" si="3"/>
        <v>0</v>
      </c>
      <c r="AC26" s="16" t="str">
        <f t="shared" si="4"/>
        <v>D</v>
      </c>
      <c r="AD26" s="419" t="str">
        <f t="shared" si="4"/>
        <v>Stratford</v>
      </c>
      <c r="AE26" s="419">
        <f>IF(ISNA(MATCH(AC26,N21:N30,0)),0,VLOOKUP(AC26,N21:S30,5,FALSE))</f>
        <v>0</v>
      </c>
      <c r="AF26" s="419" t="str">
        <f>IF(ISNA(MATCH(AC26,T21:T30,0))," ",VLOOKUP(AC26,T21:Y30,5,FALSE))</f>
        <v xml:space="preserve"> </v>
      </c>
      <c r="AG26" s="419">
        <f>IF(ISNA(MATCH(AC26,L21:L28,0)),0,VLOOKUP(AC26,L21:N28,3,FALSE))</f>
        <v>1.55</v>
      </c>
      <c r="AH26" s="419">
        <f>IF(ISNA(MATCH(AC26,R21:R28,0)),0,VLOOKUP(AC26,R21:T28,3,FALSE))</f>
        <v>1.3</v>
      </c>
      <c r="AI26" s="419" t="str">
        <f>IF(ISNA(MATCH(AC26,L21:L28,0)),0,VLOOKUP(AC26,L21:P28,4,FALSE))</f>
        <v>D</v>
      </c>
      <c r="AJ26" s="419" t="str">
        <f>IF(ISNA(MATCH(AC26,R21:R28,0)),0,VLOOKUP(AC26,R21:U28,4,FALSE))</f>
        <v>DD</v>
      </c>
      <c r="AK26" s="32">
        <f t="shared" si="5"/>
        <v>3</v>
      </c>
      <c r="AL26" s="32">
        <f t="shared" si="6"/>
        <v>3</v>
      </c>
      <c r="AM26" s="32">
        <f>IF(ISNA(MATCH(AC26,L21:L28,0)),0,VLOOKUP(AC26,L21:W28,AM$1,FALSE))</f>
        <v>6</v>
      </c>
      <c r="AN26" s="146">
        <f>IF(ISNA(MATCH(AC26,R21:R28,0)),0,VLOOKUP(AC26,R21:W28,AN$1,FALSE))</f>
        <v>6</v>
      </c>
      <c r="AP26" s="927"/>
      <c r="AQ26" s="927"/>
    </row>
    <row r="27" spans="1:47" ht="15.6" x14ac:dyDescent="0.3">
      <c r="A27" s="417">
        <f t="shared" si="7"/>
        <v>17</v>
      </c>
      <c r="B27" s="362" t="str">
        <f>'Event Details'!D$28</f>
        <v>F</v>
      </c>
      <c r="C27" s="381" t="str">
        <f>'Event Details'!E$28</f>
        <v>Tamworth</v>
      </c>
      <c r="D27" s="379"/>
      <c r="E27" s="378"/>
      <c r="F27" s="363" t="str">
        <f>VLOOKUP($B20,IF($H20="F",TeamSheetFemale,TeamSheetMale),$Y27-1,FALSE)</f>
        <v>F</v>
      </c>
      <c r="G27" s="380" t="str">
        <f>VLOOKUP($B20,IF($H20="F",TeamSheetFemale,TeamSheetMale),$Y27,FALSE)</f>
        <v>Joseph Sizer</v>
      </c>
      <c r="H27" s="363" t="str">
        <f>VLOOKUP($B20,IF($H20="F",TeamSheetFemale,TeamSheetMale),$Y27+1,FALSE)</f>
        <v>FF</v>
      </c>
      <c r="I27" s="364">
        <f>VLOOKUP($B20,IF($H20="F",TeamSheetFemale,TeamSheetMale),$Y27+2,FALSE)</f>
        <v>0</v>
      </c>
      <c r="K27" s="341" t="s">
        <v>277</v>
      </c>
      <c r="L27" s="341" t="str">
        <f t="shared" si="0"/>
        <v/>
      </c>
      <c r="M27" s="931" t="s">
        <v>148</v>
      </c>
      <c r="N27" s="927"/>
      <c r="O27" s="354" t="str">
        <f>IF(LEN($M27)=1,VLOOKUP(LEFT($M27,1),B21:I28,5,FALSE),IF(LEN($M27)=2,VLOOKUP(LEFT($M27,1),B21:I28,7,FALSE),""))</f>
        <v/>
      </c>
      <c r="P27" s="410" t="str">
        <f>IF(LEN($M27)=1,VLOOKUP(LEFT($M27,1),B21:I28,6,FALSE),IF(LEN($M27)=2,VLOOKUP(LEFT($M27,1),B21:I28,8,FALSE),""))</f>
        <v/>
      </c>
      <c r="Q27" s="371" t="s">
        <v>277</v>
      </c>
      <c r="R27" s="341" t="str">
        <f t="shared" si="1"/>
        <v/>
      </c>
      <c r="S27" s="927"/>
      <c r="T27" s="927"/>
      <c r="U27" s="354" t="str">
        <f>IF(LEN($S27)=1,VLOOKUP(LEFT($S27,1),B21:I28,5,FALSE),IF(LEN($S27)=2,VLOOKUP(LEFT($S27,1),B21:I28,7,FALSE),""))</f>
        <v/>
      </c>
      <c r="V27" s="410" t="str">
        <f>IF(LEN($S27)=1,VLOOKUP(LEFT($S27,1),B21:I28,6,FALSE),IF(LEN($S27)=2,VLOOKUP(LEFT($S27,1),B21:I28,8,FALSE),""))</f>
        <v/>
      </c>
      <c r="W27" s="417">
        <f t="shared" si="8"/>
        <v>2</v>
      </c>
      <c r="Y27" s="16">
        <v>37</v>
      </c>
      <c r="Z27" s="16">
        <f t="shared" si="2"/>
        <v>0</v>
      </c>
      <c r="AA27" s="146">
        <f t="shared" si="3"/>
        <v>0</v>
      </c>
      <c r="AC27" s="16" t="str">
        <f t="shared" si="4"/>
        <v>F</v>
      </c>
      <c r="AD27" s="419" t="str">
        <f t="shared" si="4"/>
        <v>Tamworth</v>
      </c>
      <c r="AE27" s="419">
        <f>IF(ISNA(MATCH(AC27,N19:N28,0)),0,VLOOKUP(AC27,N19:S28,5,FALSE))</f>
        <v>0</v>
      </c>
      <c r="AF27" s="419" t="str">
        <f>IF(ISNA(MATCH(AC27,T19:T28,0))," ",VLOOKUP(AC27,T19:Y28,5,FALSE))</f>
        <v xml:space="preserve"> </v>
      </c>
      <c r="AG27" s="419">
        <f>IF(ISNA(MATCH(AC27,L21:L28,0)),0,VLOOKUP(AC27,L21:N28,3,FALSE))</f>
        <v>1.1000000000000001</v>
      </c>
      <c r="AH27" s="419">
        <f>IF(ISNA(MATCH(AC27,R21:R28,0)),0,VLOOKUP(AC27,R21:T28,3,FALSE))</f>
        <v>0</v>
      </c>
      <c r="AI27" s="419" t="str">
        <f>IF(ISNA(MATCH(AC27,L21:L28,0)),0,VLOOKUP(AC27,L21:P28,4,FALSE))</f>
        <v>F</v>
      </c>
      <c r="AJ27" s="419">
        <f>IF(ISNA(MATCH(AC27,R21:R28,0)),0,VLOOKUP(AC27,R21:U28,4,FALSE))</f>
        <v>0</v>
      </c>
      <c r="AK27" s="32">
        <f t="shared" si="5"/>
        <v>6</v>
      </c>
      <c r="AL27" s="32">
        <f t="shared" si="6"/>
        <v>0</v>
      </c>
      <c r="AM27" s="32">
        <f>IF(ISNA(MATCH(AC27,L21:L28,0)),0,VLOOKUP(AC27,L21:W28,AM$1,FALSE))</f>
        <v>3</v>
      </c>
      <c r="AN27" s="146">
        <f>IF(ISNA(MATCH(AC27,R21:R28,0)),0,VLOOKUP(AC27,R21:W28,AN$1,FALSE))</f>
        <v>0</v>
      </c>
      <c r="AP27" s="927"/>
      <c r="AQ27" s="927"/>
    </row>
    <row r="28" spans="1:47" ht="16.2" thickBot="1" x14ac:dyDescent="0.35">
      <c r="A28" s="418">
        <f t="shared" si="7"/>
        <v>18</v>
      </c>
      <c r="B28" s="365" t="str">
        <f>'Event Details'!D$29</f>
        <v>Y</v>
      </c>
      <c r="C28" s="366" t="str">
        <f>'Event Details'!E$29</f>
        <v>Worcester</v>
      </c>
      <c r="D28" s="361"/>
      <c r="E28" s="370"/>
      <c r="F28" s="367">
        <f>VLOOKUP($B20,IF($H20="F",TeamSheetFemale,TeamSheetMale),$Y28-1,FALSE)</f>
        <v>0</v>
      </c>
      <c r="G28" s="368">
        <f>VLOOKUP($B20,IF($H20="F",TeamSheetFemale,TeamSheetMale),$Y28,FALSE)</f>
        <v>0</v>
      </c>
      <c r="H28" s="367">
        <f>VLOOKUP($B20,IF($H20="F",TeamSheetFemale,TeamSheetMale),$Y28+1,FALSE)</f>
        <v>0</v>
      </c>
      <c r="I28" s="369">
        <f>VLOOKUP($B20,IF($H20="F",TeamSheetFemale,TeamSheetMale),$Y28+2,FALSE)</f>
        <v>0</v>
      </c>
      <c r="K28" s="346" t="s">
        <v>278</v>
      </c>
      <c r="L28" s="346" t="str">
        <f t="shared" si="0"/>
        <v/>
      </c>
      <c r="M28" s="928"/>
      <c r="N28" s="932"/>
      <c r="O28" s="374" t="str">
        <f>IF(LEN($M28)=1,VLOOKUP(LEFT($M28,1),B21:I28,5,FALSE),IF(LEN($M28)=2,VLOOKUP(LEFT($M28,1),B21:I28,7,FALSE),""))</f>
        <v/>
      </c>
      <c r="P28" s="411" t="str">
        <f>IF(LEN($M28)=1,VLOOKUP(LEFT($M28,1),B21:I28,6,FALSE),IF(LEN($M28)=2,VLOOKUP(LEFT($M28,1),B21:I28,8,FALSE),""))</f>
        <v/>
      </c>
      <c r="Q28" s="407" t="s">
        <v>278</v>
      </c>
      <c r="R28" s="346" t="str">
        <f t="shared" si="1"/>
        <v/>
      </c>
      <c r="S28" s="928"/>
      <c r="T28" s="932"/>
      <c r="U28" s="374" t="str">
        <f>IF(LEN($S28)=1,VLOOKUP(LEFT($S28,1),B21:I28,5,FALSE),IF(LEN($S28)=2,VLOOKUP(LEFT($S28,1),B21:I28,7,FALSE),""))</f>
        <v/>
      </c>
      <c r="V28" s="411" t="str">
        <f>IF(LEN($S28)=1,VLOOKUP(LEFT($S28,1),B21:I28,6,FALSE),IF(LEN($S28)=2,VLOOKUP(LEFT($S28,1),B21:I28,8,FALSE),""))</f>
        <v/>
      </c>
      <c r="W28" s="418">
        <f t="shared" si="8"/>
        <v>1</v>
      </c>
      <c r="Y28" s="25">
        <v>42</v>
      </c>
      <c r="Z28" s="25">
        <f t="shared" si="2"/>
        <v>0</v>
      </c>
      <c r="AA28" s="523">
        <f t="shared" si="3"/>
        <v>0</v>
      </c>
      <c r="AC28" s="25" t="str">
        <f t="shared" si="4"/>
        <v>Y</v>
      </c>
      <c r="AD28" s="624" t="str">
        <f t="shared" si="4"/>
        <v>Worcester</v>
      </c>
      <c r="AE28" s="624">
        <f>IF(ISNA(MATCH(AC28,N20:N29,0)),0,VLOOKUP(AC28,N20:S29,5,FALSE))</f>
        <v>0</v>
      </c>
      <c r="AF28" s="624" t="str">
        <f t="shared" ref="AF28" si="9">IF(ISNA(MATCH(AC28,T20:T29,0))," ",VLOOKUP(AC28,T20:Y29,5,FALSE))</f>
        <v xml:space="preserve"> </v>
      </c>
      <c r="AG28" s="624">
        <f>IF(ISNA(MATCH(AC28,L21:L28,0)),0,VLOOKUP(AC28,L21:N28,3,FALSE))</f>
        <v>0</v>
      </c>
      <c r="AH28" s="624">
        <f>IF(ISNA(MATCH(AC28,R21:R28,0)),0,VLOOKUP(AC28,R21:T28,3,FALSE))</f>
        <v>0</v>
      </c>
      <c r="AI28" s="624">
        <f>IF(ISNA(MATCH(AC28,L21:L28,0)),0,VLOOKUP(AC28,L21:P28,4,FALSE))</f>
        <v>0</v>
      </c>
      <c r="AJ28" s="624">
        <f>IF(ISNA(MATCH(AC28,R21:R28,0)),0,VLOOKUP(AC28,R21:U28,4,FALSE))</f>
        <v>0</v>
      </c>
      <c r="AK28" s="116">
        <f t="shared" si="5"/>
        <v>0</v>
      </c>
      <c r="AL28" s="116">
        <f t="shared" si="6"/>
        <v>0</v>
      </c>
      <c r="AM28" s="116">
        <f>IF(ISNA(MATCH(AC28,L21:L28,0)),0,VLOOKUP(AC28,L21:W28,AM$1,FALSE))</f>
        <v>0</v>
      </c>
      <c r="AN28" s="523">
        <f>IF(ISNA(MATCH(AC28,R21:R28,0)),0,VLOOKUP(AC28,R21:W28,AN$1,FALSE))</f>
        <v>0</v>
      </c>
      <c r="AP28" s="928"/>
      <c r="AQ28" s="932"/>
    </row>
    <row r="29" spans="1:47" ht="15" thickBot="1" x14ac:dyDescent="0.35">
      <c r="K29" s="1207" t="s">
        <v>279</v>
      </c>
      <c r="L29" s="1011"/>
      <c r="M29" s="276"/>
      <c r="N29" s="307"/>
      <c r="R29" s="1011"/>
      <c r="S29" s="276"/>
      <c r="T29" s="307"/>
      <c r="AP29" s="276"/>
      <c r="AQ29" s="307"/>
    </row>
    <row r="30" spans="1:47" x14ac:dyDescent="0.3">
      <c r="B30" s="400" t="s">
        <v>258</v>
      </c>
      <c r="C30" s="398"/>
      <c r="D30" s="401" t="s">
        <v>165</v>
      </c>
      <c r="E30" s="398"/>
      <c r="F30" s="398"/>
      <c r="G30" s="402" t="s">
        <v>259</v>
      </c>
      <c r="H30" s="403" t="s">
        <v>249</v>
      </c>
      <c r="I30" s="404" t="s">
        <v>168</v>
      </c>
      <c r="K30" s="360"/>
      <c r="L30" s="661"/>
      <c r="M30" s="929" t="s">
        <v>260</v>
      </c>
      <c r="N30" s="929" t="s">
        <v>261</v>
      </c>
      <c r="O30" s="387" t="s">
        <v>262</v>
      </c>
      <c r="P30" s="388" t="s">
        <v>75</v>
      </c>
      <c r="Q30" s="389"/>
      <c r="R30" s="657"/>
      <c r="S30" s="929" t="s">
        <v>260</v>
      </c>
      <c r="T30" s="929" t="s">
        <v>261</v>
      </c>
      <c r="U30" s="387" t="s">
        <v>262</v>
      </c>
      <c r="V30" s="388" t="s">
        <v>75</v>
      </c>
      <c r="W30" s="672" t="s">
        <v>76</v>
      </c>
      <c r="Y30" s="414" t="s">
        <v>263</v>
      </c>
      <c r="Z30" s="656" t="s">
        <v>74</v>
      </c>
      <c r="AA30" s="657" t="s">
        <v>75</v>
      </c>
      <c r="AC30" s="665" t="s">
        <v>71</v>
      </c>
      <c r="AD30" s="657" t="s">
        <v>86</v>
      </c>
      <c r="AE30" s="661" t="s">
        <v>149</v>
      </c>
      <c r="AF30" s="661" t="s">
        <v>94</v>
      </c>
      <c r="AG30" s="661" t="s">
        <v>149</v>
      </c>
      <c r="AH30" s="661" t="s">
        <v>94</v>
      </c>
      <c r="AI30" s="661" t="s">
        <v>149</v>
      </c>
      <c r="AJ30" s="661" t="s">
        <v>94</v>
      </c>
      <c r="AK30" s="1332" t="s">
        <v>149</v>
      </c>
      <c r="AL30" s="661" t="s">
        <v>94</v>
      </c>
      <c r="AM30" s="1406" t="s">
        <v>76</v>
      </c>
      <c r="AN30" s="1407"/>
      <c r="AP30" s="929" t="s">
        <v>260</v>
      </c>
      <c r="AQ30" s="929" t="s">
        <v>261</v>
      </c>
      <c r="AS30" s="1218" t="s">
        <v>165</v>
      </c>
      <c r="AT30" s="1219" t="s">
        <v>79</v>
      </c>
      <c r="AU30" s="1220" t="s">
        <v>80</v>
      </c>
    </row>
    <row r="31" spans="1:47" ht="15" thickBot="1" x14ac:dyDescent="0.35">
      <c r="B31" s="405">
        <v>2</v>
      </c>
      <c r="C31" s="399"/>
      <c r="D31" s="385" t="str">
        <f>VLOOKUP($B31,EventOrder,6,FALSE)</f>
        <v xml:space="preserve">1500m </v>
      </c>
      <c r="E31" s="399"/>
      <c r="F31" s="385"/>
      <c r="G31" s="386" t="str">
        <f>VLOOKUP($B31,EventOrder,4,FALSE)</f>
        <v>U14 Female</v>
      </c>
      <c r="H31" s="396" t="str">
        <f>IF(MID(G31,5,1)="F","F","M")</f>
        <v>F</v>
      </c>
      <c r="I31" s="397">
        <f>VLOOKUP($B31,EventOrder,2,FALSE)</f>
        <v>11</v>
      </c>
      <c r="K31" s="377"/>
      <c r="L31" s="667" t="s">
        <v>149</v>
      </c>
      <c r="M31" s="930" t="s">
        <v>264</v>
      </c>
      <c r="N31" s="930" t="s">
        <v>265</v>
      </c>
      <c r="O31" s="390" t="s">
        <v>266</v>
      </c>
      <c r="P31" s="391"/>
      <c r="Q31" s="392"/>
      <c r="R31" s="659" t="s">
        <v>94</v>
      </c>
      <c r="S31" s="930" t="s">
        <v>264</v>
      </c>
      <c r="T31" s="930" t="s">
        <v>265</v>
      </c>
      <c r="U31" s="390" t="s">
        <v>266</v>
      </c>
      <c r="V31" s="391"/>
      <c r="W31" s="671"/>
      <c r="Y31" s="415" t="s">
        <v>167</v>
      </c>
      <c r="Z31" s="658" t="s">
        <v>149</v>
      </c>
      <c r="AA31" s="659" t="s">
        <v>94</v>
      </c>
      <c r="AC31" s="666"/>
      <c r="AD31" s="668"/>
      <c r="AE31" s="768" t="s">
        <v>75</v>
      </c>
      <c r="AF31" s="768" t="s">
        <v>75</v>
      </c>
      <c r="AG31" s="768" t="s">
        <v>267</v>
      </c>
      <c r="AH31" s="768" t="s">
        <v>267</v>
      </c>
      <c r="AI31" s="768" t="s">
        <v>268</v>
      </c>
      <c r="AJ31" s="768" t="s">
        <v>268</v>
      </c>
      <c r="AK31" s="770" t="s">
        <v>269</v>
      </c>
      <c r="AL31" s="768" t="s">
        <v>269</v>
      </c>
      <c r="AM31" s="667" t="s">
        <v>149</v>
      </c>
      <c r="AN31" s="659" t="s">
        <v>94</v>
      </c>
      <c r="AP31" s="930" t="s">
        <v>264</v>
      </c>
      <c r="AQ31" s="930" t="s">
        <v>265</v>
      </c>
      <c r="AS31" s="1221" t="s">
        <v>270</v>
      </c>
      <c r="AT31" s="1222" t="s">
        <v>270</v>
      </c>
      <c r="AU31" s="1223" t="s">
        <v>270</v>
      </c>
    </row>
    <row r="32" spans="1:47" ht="15.6" x14ac:dyDescent="0.3">
      <c r="A32" s="416">
        <f>(B31*10)+1</f>
        <v>21</v>
      </c>
      <c r="B32" s="678" t="str">
        <f>'Event Details'!D$22</f>
        <v>S</v>
      </c>
      <c r="C32" s="679" t="str">
        <f>'Event Details'!E$22</f>
        <v>BRAT</v>
      </c>
      <c r="D32" s="680"/>
      <c r="E32" s="681"/>
      <c r="F32" s="682" t="str">
        <f>VLOOKUP($B31,IF($H31="F",TeamSheetFemale,TeamSheetMale),$Y32-1,FALSE)</f>
        <v>S</v>
      </c>
      <c r="G32" s="683" t="str">
        <f>VLOOKUP($B31,IF($H31="F",TeamSheetFemale,TeamSheetMale),$Y32,FALSE)</f>
        <v>Sophie McKinnon</v>
      </c>
      <c r="H32" s="682" t="str">
        <f>VLOOKUP($B31,IF($H31="F",TeamSheetFemale,TeamSheetMale),$Y32+1,FALSE)</f>
        <v>SS</v>
      </c>
      <c r="I32" s="684" t="str">
        <f>VLOOKUP($B31,IF($H31="F",TeamSheetFemale,TeamSheetMale),$Y32+2,FALSE)</f>
        <v xml:space="preserve">
Maliyka lewis</v>
      </c>
      <c r="K32" s="393" t="s">
        <v>271</v>
      </c>
      <c r="L32" s="16" t="str">
        <f t="shared" ref="L32:L39" si="10">LEFT(M32,1)</f>
        <v>R</v>
      </c>
      <c r="M32" s="926" t="s">
        <v>118</v>
      </c>
      <c r="N32" s="926" t="s">
        <v>955</v>
      </c>
      <c r="O32" s="394" t="str">
        <f>IF(LEN($M32)=1,VLOOKUP(LEFT($M32,1),B32:I39,5,FALSE),IF(LEN($M32)=2,VLOOKUP(LEFT($M32,1),B32:I39,7,FALSE),""))</f>
        <v>R</v>
      </c>
      <c r="P32" s="395" t="str">
        <f>IF(LEN($M32)=1,VLOOKUP(LEFT($M32,1),B32:I39,6,FALSE),IF(LEN($M32)=2,VLOOKUP(LEFT($M32,1),B32:I39,8,FALSE),""))</f>
        <v>Freya Carty</v>
      </c>
      <c r="Q32" s="393" t="s">
        <v>271</v>
      </c>
      <c r="R32" s="146" t="str">
        <f t="shared" ref="R32:R39" si="11">LEFT(S32,1)</f>
        <v>R</v>
      </c>
      <c r="S32" s="926" t="s">
        <v>819</v>
      </c>
      <c r="T32" s="926" t="s">
        <v>964</v>
      </c>
      <c r="U32" s="394" t="str">
        <f>IF(LEN($S32)=1,VLOOKUP(LEFT($S32,1),B32:I39,5,FALSE),IF(LEN($S32)=2,VLOOKUP(LEFT($S32,1),B32:I39,7,FALSE),""))</f>
        <v>RR</v>
      </c>
      <c r="V32" s="395" t="str">
        <f>IF(LEN($S32)=1,VLOOKUP(LEFT($S32,1),B32:I39,6,FALSE),IF(LEN($S32)=2,VLOOKUP(LEFT($S32,1),B32:I39,8,FALSE),""))</f>
        <v>Mollie Diplock</v>
      </c>
      <c r="W32" s="417">
        <f>AN$6</f>
        <v>8</v>
      </c>
      <c r="Y32" s="416">
        <v>7</v>
      </c>
      <c r="Z32" s="653" t="str">
        <f t="shared" ref="Z32:Z39" si="12">IF(LEN(M32)&gt;0,VLOOKUP(LEFT(M32,1),ShortName,5,FALSE),0)</f>
        <v>Rugby</v>
      </c>
      <c r="AA32" s="138" t="str">
        <f t="shared" ref="AA32:AA39" si="13">IF(LEN(S32)&gt;0,VLOOKUP(LEFT(S32,1),ShortName,5,FALSE),0)</f>
        <v>Rugby</v>
      </c>
      <c r="AC32" s="653" t="str">
        <f t="shared" ref="AC32:AD39" si="14">B32</f>
        <v>S</v>
      </c>
      <c r="AD32" s="635" t="str">
        <f t="shared" si="14"/>
        <v>BRAT</v>
      </c>
      <c r="AE32" s="635">
        <f>IF(ISNA(MATCH(AC32,N32:N41,0)),0,VLOOKUP(AC32,N32:S41,5,FALSE))</f>
        <v>0</v>
      </c>
      <c r="AF32" s="635" t="str">
        <f>IF(ISNA(MATCH(AC32,T32:T41,0))," ",VLOOKUP(AC32,T32:Y41,5,FALSE))</f>
        <v xml:space="preserve"> </v>
      </c>
      <c r="AG32" s="635" t="str">
        <f>IF(ISNA(MATCH(AC32,L32:L39,0)),0,VLOOKUP(AC32,L32:N39,3,FALSE))</f>
        <v>5.22.0</v>
      </c>
      <c r="AH32" s="635" t="str">
        <f>IF(ISNA(MATCH(AC32,R32:R39,0)),0,VLOOKUP(AC32,R32:T39,3,FALSE))</f>
        <v>6.20.6</v>
      </c>
      <c r="AI32" s="635" t="str">
        <f>IF(ISNA(MATCH(AC32,L32:L39,0)),0,VLOOKUP(AC32,L32:P39,4,FALSE))</f>
        <v>S</v>
      </c>
      <c r="AJ32" s="635" t="str">
        <f>IF(ISNA(MATCH(AC32,R32:R39,0)),0,VLOOKUP(AC32,R32:U39,4,FALSE))</f>
        <v>SS</v>
      </c>
      <c r="AK32" s="49">
        <f t="shared" ref="AK32:AK39" si="15">IF(AM32=0,0,AN$6-(AM32-1))</f>
        <v>4</v>
      </c>
      <c r="AL32" s="49">
        <f t="shared" ref="AL32:AL39" si="16">IF(AN32=0,0,AN$6-(AN32-1))</f>
        <v>7</v>
      </c>
      <c r="AM32" s="49">
        <f>IF(ISNA(MATCH(AC32,L32:L39,0)),0,VLOOKUP(AC32,L32:W39,AM$1,FALSE))</f>
        <v>5</v>
      </c>
      <c r="AN32" s="138">
        <f>IF(ISNA(MATCH(AC32,R32:R39,0)),0,VLOOKUP(AC32,R32:W39,AN$1,FALSE))</f>
        <v>2</v>
      </c>
      <c r="AP32" s="926"/>
      <c r="AQ32" s="926"/>
      <c r="AS32" s="32">
        <f>IF(LEN(N32)&gt;0,1,0)</f>
        <v>1</v>
      </c>
      <c r="AT32" s="32">
        <f>IF(AND(AS32=1,H31="M"),1,0)</f>
        <v>0</v>
      </c>
      <c r="AU32" s="32">
        <f>IF(AND(AS32=1,H31="F"),1,0)</f>
        <v>1</v>
      </c>
    </row>
    <row r="33" spans="1:47" ht="15.6" x14ac:dyDescent="0.3">
      <c r="A33" s="417">
        <f>A32+1</f>
        <v>22</v>
      </c>
      <c r="B33" s="362" t="str">
        <f>'Event Details'!D$23</f>
        <v>U</v>
      </c>
      <c r="C33" s="381" t="str">
        <f>'Event Details'!E$23</f>
        <v>Kidder &amp; Stourport</v>
      </c>
      <c r="D33" s="379"/>
      <c r="E33" s="378"/>
      <c r="F33" s="363" t="str">
        <f>VLOOKUP($B31,IF($H31="F",TeamSheetFemale,TeamSheetMale),$Y33-1,FALSE)</f>
        <v>U</v>
      </c>
      <c r="G33" s="380" t="str">
        <f>VLOOKUP($B31,IF($H31="F",TeamSheetFemale,TeamSheetMale),$Y33,FALSE)</f>
        <v>Alicia Chorostowska</v>
      </c>
      <c r="H33" s="363" t="str">
        <f>VLOOKUP($B31,IF($H31="F",TeamSheetFemale,TeamSheetMale),$Y33+1,FALSE)</f>
        <v>UU</v>
      </c>
      <c r="I33" s="364" t="str">
        <f>VLOOKUP($B31,IF($H31="F",TeamSheetFemale,TeamSheetMale),$Y33+2,FALSE)</f>
        <v>Isabelle McCann</v>
      </c>
      <c r="K33" s="341" t="s">
        <v>272</v>
      </c>
      <c r="L33" s="16" t="str">
        <f t="shared" si="10"/>
        <v>D</v>
      </c>
      <c r="M33" s="927" t="s">
        <v>136</v>
      </c>
      <c r="N33" s="927" t="s">
        <v>957</v>
      </c>
      <c r="O33" s="353" t="str">
        <f>IF(LEN($M33)=1,VLOOKUP(LEFT($M33,1),B32:I39,5,FALSE),IF(LEN($M33)=2,VLOOKUP(LEFT($M33,1),B32:I39,7,FALSE),""))</f>
        <v>D</v>
      </c>
      <c r="P33" s="373" t="str">
        <f>IF(LEN($M33)=1,VLOOKUP(LEFT($M33,1),B32:I39,6,FALSE),IF(LEN($M33)=2,VLOOKUP(LEFT($M33,1),B32:I39,8,FALSE),""))</f>
        <v>Maggie Silvers</v>
      </c>
      <c r="Q33" s="341" t="s">
        <v>272</v>
      </c>
      <c r="R33" s="146" t="str">
        <f t="shared" si="11"/>
        <v>G</v>
      </c>
      <c r="S33" s="927" t="s">
        <v>820</v>
      </c>
      <c r="T33" s="927" t="s">
        <v>966</v>
      </c>
      <c r="U33" s="353" t="str">
        <f>IF(LEN($S33)=1,VLOOKUP(LEFT($S33,1),B32:I39,5,FALSE),IF(LEN($S33)=2,VLOOKUP(LEFT($S33,1),B32:I39,7,FALSE),""))</f>
        <v>GG</v>
      </c>
      <c r="V33" s="373" t="str">
        <f>IF(LEN($S33)=1,VLOOKUP(LEFT($S33,1),B32:I39,6,FALSE),IF(LEN($S33)=2,VLOOKUP(LEFT($S33,1),B32:I39,8,FALSE),""))</f>
        <v>Emilia Dudley</v>
      </c>
      <c r="W33" s="417">
        <f>W32-1</f>
        <v>7</v>
      </c>
      <c r="Y33" s="417">
        <v>12</v>
      </c>
      <c r="Z33" s="16" t="str">
        <f t="shared" si="12"/>
        <v>Strat</v>
      </c>
      <c r="AA33" s="146" t="str">
        <f t="shared" si="13"/>
        <v>Royal</v>
      </c>
      <c r="AC33" s="16" t="str">
        <f t="shared" si="14"/>
        <v>U</v>
      </c>
      <c r="AD33" s="419" t="str">
        <f t="shared" si="14"/>
        <v>Kidder &amp; Stourport</v>
      </c>
      <c r="AE33" s="419">
        <f>IF(ISNA(MATCH(AC33,N32:N41,0)),0,VLOOKUP(AC33,N32:S41,5,FALSE))</f>
        <v>0</v>
      </c>
      <c r="AF33" s="419" t="str">
        <f>IF(ISNA(MATCH(AC33,T32:T41,0))," ",VLOOKUP(AC33,T32:Y41,5,FALSE))</f>
        <v xml:space="preserve"> </v>
      </c>
      <c r="AG33" s="419" t="str">
        <f>IF(ISNA(MATCH(AC33,L32:L39,0)),0,VLOOKUP(AC33,L32:N39,3,FALSE))</f>
        <v>5.12.5</v>
      </c>
      <c r="AH33" s="419" t="str">
        <f>IF(ISNA(MATCH(AC33,R32:R39,0)),0,VLOOKUP(AC33,R32:T39,3,FALSE))</f>
        <v>5.29.6</v>
      </c>
      <c r="AI33" s="419" t="str">
        <f>IF(ISNA(MATCH(AC33,L32:L39,0)),0,VLOOKUP(AC33,L32:P39,4,FALSE))</f>
        <v>U</v>
      </c>
      <c r="AJ33" s="419" t="str">
        <f>IF(ISNA(MATCH(AC33,R32:R39,0)),0,VLOOKUP(AC33,R32:U39,4,FALSE))</f>
        <v>UU</v>
      </c>
      <c r="AK33" s="32">
        <f t="shared" si="15"/>
        <v>3</v>
      </c>
      <c r="AL33" s="32">
        <f t="shared" si="16"/>
        <v>3</v>
      </c>
      <c r="AM33" s="32">
        <f>IF(ISNA(MATCH(AC33,L32:L39,0)),0,VLOOKUP(AC33,L32:W39,AM$1,FALSE))</f>
        <v>6</v>
      </c>
      <c r="AN33" s="146">
        <f>IF(ISNA(MATCH(AC33,R32:R39,0)),0,VLOOKUP(AC33,R32:W39,AN$1,FALSE))</f>
        <v>6</v>
      </c>
      <c r="AP33" s="927"/>
      <c r="AQ33" s="927"/>
    </row>
    <row r="34" spans="1:47" ht="15.6" x14ac:dyDescent="0.3">
      <c r="A34" s="417">
        <f t="shared" ref="A34:A39" si="17">A33+1</f>
        <v>23</v>
      </c>
      <c r="B34" s="362" t="str">
        <f>'Event Details'!D$24</f>
        <v>G</v>
      </c>
      <c r="C34" s="381" t="str">
        <f>'Event Details'!E$24</f>
        <v>Royal Sutton</v>
      </c>
      <c r="D34" s="379"/>
      <c r="E34" s="378"/>
      <c r="F34" s="363" t="str">
        <f>VLOOKUP($B31,IF($H31="F",TeamSheetFemale,TeamSheetMale),$Y34-1,FALSE)</f>
        <v>G</v>
      </c>
      <c r="G34" s="380" t="str">
        <f>VLOOKUP($B31,IF($H31="F",TeamSheetFemale,TeamSheetMale),$Y34,FALSE)</f>
        <v>Lucy Harradence</v>
      </c>
      <c r="H34" s="363" t="str">
        <f>VLOOKUP($B31,IF($H31="F",TeamSheetFemale,TeamSheetMale),$Y34+1,FALSE)</f>
        <v>GG</v>
      </c>
      <c r="I34" s="364" t="str">
        <f>VLOOKUP($B31,IF($H31="F",TeamSheetFemale,TeamSheetMale),$Y34+2,FALSE)</f>
        <v>Emilia Dudley</v>
      </c>
      <c r="K34" s="341" t="s">
        <v>273</v>
      </c>
      <c r="L34" s="16" t="str">
        <f t="shared" si="10"/>
        <v>U</v>
      </c>
      <c r="M34" s="927" t="s">
        <v>130</v>
      </c>
      <c r="N34" s="927" t="s">
        <v>958</v>
      </c>
      <c r="O34" s="353" t="str">
        <f>IF(LEN($M34)=1,VLOOKUP(LEFT($M34,1),B32:I39,5,FALSE),IF(LEN($M34)=2,VLOOKUP(LEFT($M34,1),B32:I39,7,FALSE),""))</f>
        <v>U</v>
      </c>
      <c r="P34" s="373" t="str">
        <f>IF(LEN($M34)=1,VLOOKUP(LEFT($M34,1),B32:I39,6,FALSE),IF(LEN($M34)=2,VLOOKUP(LEFT($M34,1),B32:I39,8,FALSE),""))</f>
        <v>Alicia Chorostowska</v>
      </c>
      <c r="Q34" s="341" t="s">
        <v>273</v>
      </c>
      <c r="R34" s="146" t="str">
        <f t="shared" si="11"/>
        <v>U</v>
      </c>
      <c r="S34" s="927" t="s">
        <v>726</v>
      </c>
      <c r="T34" s="927" t="s">
        <v>967</v>
      </c>
      <c r="U34" s="353" t="str">
        <f>IF(LEN($S34)=1,VLOOKUP(LEFT($S34,1),B32:I39,5,FALSE),IF(LEN($S34)=2,VLOOKUP(LEFT($S34,1),B32:I39,7,FALSE),""))</f>
        <v>UU</v>
      </c>
      <c r="V34" s="373" t="str">
        <f>IF(LEN($S34)=1,VLOOKUP(LEFT($S34,1),B32:I39,6,FALSE),IF(LEN($S34)=2,VLOOKUP(LEFT($S34,1),B32:I39,8,FALSE),""))</f>
        <v>Isabelle McCann</v>
      </c>
      <c r="W34" s="417">
        <f t="shared" ref="W34:W39" si="18">W33-1</f>
        <v>6</v>
      </c>
      <c r="Y34" s="417">
        <v>17</v>
      </c>
      <c r="Z34" s="16" t="str">
        <f t="shared" si="12"/>
        <v>K&amp;S</v>
      </c>
      <c r="AA34" s="146" t="str">
        <f t="shared" si="13"/>
        <v>K&amp;S</v>
      </c>
      <c r="AB34" s="32"/>
      <c r="AC34" s="16" t="str">
        <f t="shared" si="14"/>
        <v>G</v>
      </c>
      <c r="AD34" s="419" t="str">
        <f t="shared" si="14"/>
        <v>Royal Sutton</v>
      </c>
      <c r="AE34" s="419">
        <f>IF(ISNA(MATCH(AC34,N32:N41,0)),0,VLOOKUP(AC34,N32:S41,5,FALSE))</f>
        <v>0</v>
      </c>
      <c r="AF34" s="419" t="str">
        <f>IF(ISNA(MATCH(AC34,T32:T41,0))," ",VLOOKUP(AC34,T32:Y41,5,FALSE))</f>
        <v xml:space="preserve"> </v>
      </c>
      <c r="AG34" s="419" t="str">
        <f>IF(ISNA(MATCH(AC34,L32:L39,0)),0,VLOOKUP(AC34,L32:N39,3,FALSE))</f>
        <v>5.29.0</v>
      </c>
      <c r="AH34" s="419" t="str">
        <f>IF(ISNA(MATCH(AC34,R32:R39,0)),0,VLOOKUP(AC34,R32:T39,3,FALSE))</f>
        <v>5.26.6</v>
      </c>
      <c r="AI34" s="419" t="str">
        <f>IF(ISNA(MATCH(AC34,L32:L39,0)),0,VLOOKUP(AC34,L32:P39,4,FALSE))</f>
        <v>G</v>
      </c>
      <c r="AJ34" s="419" t="str">
        <f>IF(ISNA(MATCH(AC34,R32:R39,0)),0,VLOOKUP(AC34,R32:U39,4,FALSE))</f>
        <v>GG</v>
      </c>
      <c r="AK34" s="32">
        <f t="shared" si="15"/>
        <v>5</v>
      </c>
      <c r="AL34" s="32">
        <f t="shared" si="16"/>
        <v>2</v>
      </c>
      <c r="AM34" s="32">
        <f>IF(ISNA(MATCH(AC34,L32:L39,0)),0,VLOOKUP(AC34,L32:W39,AM$1,FALSE))</f>
        <v>4</v>
      </c>
      <c r="AN34" s="146">
        <f>IF(ISNA(MATCH(AC34,R32:R39,0)),0,VLOOKUP(AC34,R32:W39,AN$1,FALSE))</f>
        <v>7</v>
      </c>
      <c r="AP34" s="927"/>
      <c r="AQ34" s="927"/>
    </row>
    <row r="35" spans="1:47" ht="15.6" x14ac:dyDescent="0.3">
      <c r="A35" s="417">
        <f t="shared" si="17"/>
        <v>24</v>
      </c>
      <c r="B35" s="362" t="str">
        <f>'Event Details'!D$25</f>
        <v>R</v>
      </c>
      <c r="C35" s="381" t="str">
        <f>'Event Details'!E$25</f>
        <v>Rugby &amp; N'hampton</v>
      </c>
      <c r="D35" s="379"/>
      <c r="E35" s="378"/>
      <c r="F35" s="363" t="str">
        <f>VLOOKUP($B31,IF($H31="F",TeamSheetFemale,TeamSheetMale),$Y35-1,FALSE)</f>
        <v>R</v>
      </c>
      <c r="G35" s="380" t="str">
        <f>VLOOKUP($B31,IF($H31="F",TeamSheetFemale,TeamSheetMale),$Y35,FALSE)</f>
        <v>Freya Carty</v>
      </c>
      <c r="H35" s="363" t="str">
        <f>VLOOKUP($B31,IF($H31="F",TeamSheetFemale,TeamSheetMale),$Y35+1,FALSE)</f>
        <v>RR</v>
      </c>
      <c r="I35" s="364" t="str">
        <f>VLOOKUP($B31,IF($H31="F",TeamSheetFemale,TeamSheetMale),$Y35+2,FALSE)</f>
        <v>Mollie Diplock</v>
      </c>
      <c r="K35" s="341" t="s">
        <v>274</v>
      </c>
      <c r="L35" s="16" t="str">
        <f t="shared" si="10"/>
        <v>S</v>
      </c>
      <c r="M35" s="927" t="s">
        <v>100</v>
      </c>
      <c r="N35" s="927" t="s">
        <v>959</v>
      </c>
      <c r="O35" s="353" t="str">
        <f>IF(LEN($M35)=1,VLOOKUP(LEFT($M35,1),B32:I39,5,FALSE),IF(LEN($M35)=2,VLOOKUP(LEFT($M35,1),B32:I39,7,FALSE),""))</f>
        <v>S</v>
      </c>
      <c r="P35" s="373" t="str">
        <f>IF(LEN($M35)=1,VLOOKUP(LEFT($M35,1),B32:I39,6,FALSE),IF(LEN($M35)=2,VLOOKUP(LEFT($M35,1),B32:I39,8,FALSE),""))</f>
        <v>Sophie McKinnon</v>
      </c>
      <c r="Q35" s="341" t="s">
        <v>274</v>
      </c>
      <c r="R35" s="146" t="str">
        <f t="shared" si="11"/>
        <v>D</v>
      </c>
      <c r="S35" s="927" t="s">
        <v>513</v>
      </c>
      <c r="T35" s="927" t="s">
        <v>968</v>
      </c>
      <c r="U35" s="353" t="str">
        <f>IF(LEN($S35)=1,VLOOKUP(LEFT($S35,1),B32:I39,5,FALSE),IF(LEN($S35)=2,VLOOKUP(LEFT($S35,1),B32:I39,7,FALSE),""))</f>
        <v>DD</v>
      </c>
      <c r="V35" s="373" t="str">
        <f>IF(LEN($S35)=1,VLOOKUP(LEFT($S35,1),B32:I39,6,FALSE),IF(LEN($S35)=2,VLOOKUP(LEFT($S35,1),B32:I39,8,FALSE),""))</f>
        <v>Poppy West</v>
      </c>
      <c r="W35" s="417">
        <f t="shared" si="18"/>
        <v>5</v>
      </c>
      <c r="Y35" s="417">
        <v>22</v>
      </c>
      <c r="Z35" s="16" t="str">
        <f t="shared" si="12"/>
        <v>BRAT</v>
      </c>
      <c r="AA35" s="146" t="str">
        <f t="shared" si="13"/>
        <v>Strat</v>
      </c>
      <c r="AB35" s="32"/>
      <c r="AC35" s="16" t="str">
        <f t="shared" si="14"/>
        <v>R</v>
      </c>
      <c r="AD35" s="419" t="str">
        <f t="shared" si="14"/>
        <v>Rugby &amp; N'hampton</v>
      </c>
      <c r="AE35" s="419">
        <f>IF(ISNA(MATCH(AC35,N32:N41,0)),0,VLOOKUP(AC35,N32:S41,5,FALSE))</f>
        <v>0</v>
      </c>
      <c r="AF35" s="419" t="str">
        <f>IF(ISNA(MATCH(AC35,T32:T41,0))," ",VLOOKUP(AC35,T32:Y41,5,FALSE))</f>
        <v xml:space="preserve"> </v>
      </c>
      <c r="AG35" s="419" t="str">
        <f>IF(ISNA(MATCH(AC35,L32:L39,0)),0,VLOOKUP(AC35,L32:N39,3,FALSE))</f>
        <v>4.59.1</v>
      </c>
      <c r="AH35" s="419" t="str">
        <f>IF(ISNA(MATCH(AC35,R32:R39,0)),0,VLOOKUP(AC35,R32:T39,3,FALSE))</f>
        <v>5.14.5</v>
      </c>
      <c r="AI35" s="419" t="str">
        <f>IF(ISNA(MATCH(AC35,L32:L39,0)),0,VLOOKUP(AC35,L32:P39,4,FALSE))</f>
        <v>R</v>
      </c>
      <c r="AJ35" s="419" t="str">
        <f>IF(ISNA(MATCH(AC35,R32:R39,0)),0,VLOOKUP(AC35,R32:U39,4,FALSE))</f>
        <v>RR</v>
      </c>
      <c r="AK35" s="32">
        <f t="shared" si="15"/>
        <v>1</v>
      </c>
      <c r="AL35" s="32">
        <f t="shared" si="16"/>
        <v>1</v>
      </c>
      <c r="AM35" s="32">
        <f>IF(ISNA(MATCH(AC35,L32:L39,0)),0,VLOOKUP(AC35,L32:W39,AM$1,FALSE))</f>
        <v>8</v>
      </c>
      <c r="AN35" s="146">
        <f>IF(ISNA(MATCH(AC35,R32:R39,0)),0,VLOOKUP(AC35,R32:W39,AN$1,FALSE))</f>
        <v>8</v>
      </c>
      <c r="AP35" s="927"/>
      <c r="AQ35" s="927"/>
    </row>
    <row r="36" spans="1:47" ht="15.6" x14ac:dyDescent="0.3">
      <c r="A36" s="417">
        <f t="shared" si="17"/>
        <v>25</v>
      </c>
      <c r="B36" s="362" t="str">
        <f>'Event Details'!D$26</f>
        <v>M</v>
      </c>
      <c r="C36" s="381" t="str">
        <f>'Event Details'!E$26</f>
        <v>Solihull &amp; S.Heath</v>
      </c>
      <c r="D36" s="379"/>
      <c r="E36" s="378"/>
      <c r="F36" s="363" t="str">
        <f>VLOOKUP($B31,IF($H31="F",TeamSheetFemale,TeamSheetMale),$Y36-1,FALSE)</f>
        <v>M</v>
      </c>
      <c r="G36" s="380" t="str">
        <f>VLOOKUP($B31,IF($H31="F",TeamSheetFemale,TeamSheetMale),$Y36,FALSE)</f>
        <v>Alex Healy</v>
      </c>
      <c r="H36" s="363">
        <f>VLOOKUP($B31,IF($H31="F",TeamSheetFemale,TeamSheetMale),$Y36+1,FALSE)</f>
        <v>0</v>
      </c>
      <c r="I36" s="364">
        <f>VLOOKUP($B31,IF($H31="F",TeamSheetFemale,TeamSheetMale),$Y36+2,FALSE)</f>
        <v>0</v>
      </c>
      <c r="K36" s="341" t="s">
        <v>275</v>
      </c>
      <c r="L36" s="16" t="str">
        <f t="shared" si="10"/>
        <v>G</v>
      </c>
      <c r="M36" s="927" t="s">
        <v>110</v>
      </c>
      <c r="N36" s="927" t="s">
        <v>960</v>
      </c>
      <c r="O36" s="353" t="str">
        <f>IF(LEN($M36)=1,VLOOKUP(LEFT($M36,1),B32:I39,5,FALSE),IF(LEN($M36)=2,VLOOKUP(LEFT($M36,1),B32:I39,7,FALSE),""))</f>
        <v>G</v>
      </c>
      <c r="P36" s="373" t="str">
        <f>IF(LEN($M36)=1,VLOOKUP(LEFT($M36,1),B32:I39,6,FALSE),IF(LEN($M36)=2,VLOOKUP(LEFT($M36,1),B32:I39,8,FALSE),""))</f>
        <v>Lucy Harradence</v>
      </c>
      <c r="Q36" s="341" t="s">
        <v>275</v>
      </c>
      <c r="R36" s="146" t="str">
        <f t="shared" si="11"/>
        <v>F</v>
      </c>
      <c r="S36" s="927" t="s">
        <v>576</v>
      </c>
      <c r="T36" s="927" t="s">
        <v>969</v>
      </c>
      <c r="U36" s="353" t="str">
        <f>IF(LEN($S36)=1,VLOOKUP(LEFT($S36,1),B32:I39,5,FALSE),IF(LEN($S36)=2,VLOOKUP(LEFT($S36,1),B32:I39,7,FALSE),""))</f>
        <v>FF</v>
      </c>
      <c r="V36" s="373" t="str">
        <f>IF(LEN($S36)=1,VLOOKUP(LEFT($S36,1),B32:I39,6,FALSE),IF(LEN($S36)=2,VLOOKUP(LEFT($S36,1),B32:I39,8,FALSE),""))</f>
        <v>Marlei Bignot</v>
      </c>
      <c r="W36" s="417">
        <f t="shared" si="18"/>
        <v>4</v>
      </c>
      <c r="Y36" s="417">
        <v>27</v>
      </c>
      <c r="Z36" s="16" t="str">
        <f t="shared" si="12"/>
        <v>Royal</v>
      </c>
      <c r="AA36" s="146" t="str">
        <f t="shared" si="13"/>
        <v>Tam</v>
      </c>
      <c r="AB36" s="32"/>
      <c r="AC36" s="16" t="str">
        <f t="shared" si="14"/>
        <v>M</v>
      </c>
      <c r="AD36" s="419" t="str">
        <f t="shared" si="14"/>
        <v>Solihull &amp; S.Heath</v>
      </c>
      <c r="AE36" s="419">
        <f>IF(ISNA(MATCH(AC36,N32:N41,0)),0,VLOOKUP(AC36,N32:S41,5,FALSE))</f>
        <v>0</v>
      </c>
      <c r="AF36" s="419" t="str">
        <f>IF(ISNA(MATCH(AC36,T32:T41,0))," ",VLOOKUP(AC36,T32:Y41,5,FALSE))</f>
        <v xml:space="preserve"> </v>
      </c>
      <c r="AG36" s="419" t="str">
        <f>IF(ISNA(MATCH(AC36,L32:L39,0)),0,VLOOKUP(AC36,L32:N39,3,FALSE))</f>
        <v>5.35.5</v>
      </c>
      <c r="AH36" s="419">
        <f>IF(ISNA(MATCH(AC36,R32:R39,0)),0,VLOOKUP(AC36,R32:T39,3,FALSE))</f>
        <v>0</v>
      </c>
      <c r="AI36" s="419" t="str">
        <f>IF(ISNA(MATCH(AC36,L32:L39,0)),0,VLOOKUP(AC36,L32:P39,4,FALSE))</f>
        <v>M</v>
      </c>
      <c r="AJ36" s="419">
        <f>IF(ISNA(MATCH(AC36,R32:R39,0)),0,VLOOKUP(AC36,R32:U39,4,FALSE))</f>
        <v>0</v>
      </c>
      <c r="AK36" s="32">
        <f t="shared" si="15"/>
        <v>6</v>
      </c>
      <c r="AL36" s="32">
        <f t="shared" si="16"/>
        <v>0</v>
      </c>
      <c r="AM36" s="32">
        <f>IF(ISNA(MATCH(AC36,L32:L39,0)),0,VLOOKUP(AC36,L32:W39,AM$1,FALSE))</f>
        <v>3</v>
      </c>
      <c r="AN36" s="146">
        <f>IF(ISNA(MATCH(AC36,R32:R39,0)),0,VLOOKUP(AC36,R32:W39,AN$1,FALSE))</f>
        <v>0</v>
      </c>
      <c r="AP36" s="927"/>
      <c r="AQ36" s="927"/>
    </row>
    <row r="37" spans="1:47" ht="15.6" x14ac:dyDescent="0.3">
      <c r="A37" s="417">
        <f t="shared" si="17"/>
        <v>26</v>
      </c>
      <c r="B37" s="362" t="str">
        <f>'Event Details'!D$27</f>
        <v>D</v>
      </c>
      <c r="C37" s="381" t="str">
        <f>'Event Details'!E$27</f>
        <v>Stratford</v>
      </c>
      <c r="D37" s="379"/>
      <c r="E37" s="378"/>
      <c r="F37" s="363" t="str">
        <f>VLOOKUP($B31,IF($H31="F",TeamSheetFemale,TeamSheetMale),$Y37-1,FALSE)</f>
        <v>D</v>
      </c>
      <c r="G37" s="380" t="str">
        <f>VLOOKUP($B31,IF($H31="F",TeamSheetFemale,TeamSheetMale),$Y37,FALSE)</f>
        <v>Maggie Silvers</v>
      </c>
      <c r="H37" s="363" t="str">
        <f>VLOOKUP($B31,IF($H31="F",TeamSheetFemale,TeamSheetMale),$Y37+1,FALSE)</f>
        <v>DD</v>
      </c>
      <c r="I37" s="364" t="str">
        <f>VLOOKUP($B31,IF($H31="F",TeamSheetFemale,TeamSheetMale),$Y37+2,FALSE)</f>
        <v>Poppy West</v>
      </c>
      <c r="K37" s="341" t="s">
        <v>276</v>
      </c>
      <c r="L37" s="16" t="str">
        <f t="shared" si="10"/>
        <v>M</v>
      </c>
      <c r="M37" s="927" t="s">
        <v>127</v>
      </c>
      <c r="N37" s="927" t="s">
        <v>961</v>
      </c>
      <c r="O37" s="353" t="str">
        <f>IF(LEN($M37)=1,VLOOKUP(LEFT($M37,1),B32:I39,5,FALSE),IF(LEN($M37)=2,VLOOKUP(LEFT($M37,1),B32:I39,7,FALSE),""))</f>
        <v>M</v>
      </c>
      <c r="P37" s="373" t="str">
        <f>IF(LEN($M37)=1,VLOOKUP(LEFT($M37,1),B32:I39,6,FALSE),IF(LEN($M37)=2,VLOOKUP(LEFT($M37,1),B32:I39,8,FALSE),""))</f>
        <v>Alex Healy</v>
      </c>
      <c r="Q37" s="341" t="s">
        <v>276</v>
      </c>
      <c r="R37" s="146" t="str">
        <f t="shared" si="11"/>
        <v>Y</v>
      </c>
      <c r="S37" s="927" t="s">
        <v>822</v>
      </c>
      <c r="T37" s="927" t="s">
        <v>970</v>
      </c>
      <c r="U37" s="353" t="str">
        <f>IF(LEN($S37)=1,VLOOKUP(LEFT($S37,1),B32:I39,5,FALSE),IF(LEN($S37)=2,VLOOKUP(LEFT($S37,1),B32:I39,7,FALSE),""))</f>
        <v>YY</v>
      </c>
      <c r="V37" s="373" t="str">
        <f>IF(LEN($S37)=1,VLOOKUP(LEFT($S37,1),B32:I39,6,FALSE),IF(LEN($S37)=2,VLOOKUP(LEFT($S37,1),B32:I39,8,FALSE),""))</f>
        <v>Rosie Groves</v>
      </c>
      <c r="W37" s="417">
        <f t="shared" si="18"/>
        <v>3</v>
      </c>
      <c r="Y37" s="417">
        <v>32</v>
      </c>
      <c r="Z37" s="16" t="str">
        <f t="shared" si="12"/>
        <v>Sol</v>
      </c>
      <c r="AA37" s="146" t="str">
        <f t="shared" si="13"/>
        <v>Worc</v>
      </c>
      <c r="AB37" s="32"/>
      <c r="AC37" s="16" t="str">
        <f t="shared" si="14"/>
        <v>D</v>
      </c>
      <c r="AD37" s="419" t="str">
        <f t="shared" si="14"/>
        <v>Stratford</v>
      </c>
      <c r="AE37" s="419">
        <f>IF(ISNA(MATCH(AC37,N32:N41,0)),0,VLOOKUP(AC37,N32:S41,5,FALSE))</f>
        <v>0</v>
      </c>
      <c r="AF37" s="419" t="str">
        <f>IF(ISNA(MATCH(AC37,T32:T41,0))," ",VLOOKUP(AC37,T32:Y41,5,FALSE))</f>
        <v xml:space="preserve"> </v>
      </c>
      <c r="AG37" s="419" t="str">
        <f>IF(ISNA(MATCH(AC37,L32:L39,0)),0,VLOOKUP(AC37,L32:N39,3,FALSE))</f>
        <v>5.11.0</v>
      </c>
      <c r="AH37" s="419" t="str">
        <f>IF(ISNA(MATCH(AC37,R32:R39,0)),0,VLOOKUP(AC37,R32:T39,3,FALSE))</f>
        <v>5.35.6</v>
      </c>
      <c r="AI37" s="419" t="str">
        <f>IF(ISNA(MATCH(AC37,L32:L39,0)),0,VLOOKUP(AC37,L32:P39,4,FALSE))</f>
        <v>D</v>
      </c>
      <c r="AJ37" s="419" t="str">
        <f>IF(ISNA(MATCH(AC37,R32:R39,0)),0,VLOOKUP(AC37,R32:U39,4,FALSE))</f>
        <v>DD</v>
      </c>
      <c r="AK37" s="32">
        <f t="shared" si="15"/>
        <v>2</v>
      </c>
      <c r="AL37" s="32">
        <f t="shared" si="16"/>
        <v>4</v>
      </c>
      <c r="AM37" s="32">
        <f>IF(ISNA(MATCH(AC37,L32:L39,0)),0,VLOOKUP(AC37,L32:W39,AM$1,FALSE))</f>
        <v>7</v>
      </c>
      <c r="AN37" s="146">
        <f>IF(ISNA(MATCH(AC37,R32:R39,0)),0,VLOOKUP(AC37,R32:W39,AN$1,FALSE))</f>
        <v>5</v>
      </c>
      <c r="AP37" s="927"/>
      <c r="AQ37" s="927"/>
    </row>
    <row r="38" spans="1:47" ht="15.6" x14ac:dyDescent="0.3">
      <c r="A38" s="417">
        <f t="shared" si="17"/>
        <v>27</v>
      </c>
      <c r="B38" s="362" t="str">
        <f>'Event Details'!D$28</f>
        <v>F</v>
      </c>
      <c r="C38" s="381" t="str">
        <f>'Event Details'!E$28</f>
        <v>Tamworth</v>
      </c>
      <c r="D38" s="379"/>
      <c r="E38" s="378"/>
      <c r="F38" s="363" t="str">
        <f>VLOOKUP($B31,IF($H31="F",TeamSheetFemale,TeamSheetMale),$Y38-1,FALSE)</f>
        <v>F</v>
      </c>
      <c r="G38" s="380" t="str">
        <f>VLOOKUP($B31,IF($H31="F",TeamSheetFemale,TeamSheetMale),$Y38,FALSE)</f>
        <v>Lacey Eaton</v>
      </c>
      <c r="H38" s="363" t="str">
        <f>VLOOKUP($B31,IF($H31="F",TeamSheetFemale,TeamSheetMale),$Y38+1,FALSE)</f>
        <v>FF</v>
      </c>
      <c r="I38" s="364" t="str">
        <f>VLOOKUP($B31,IF($H31="F",TeamSheetFemale,TeamSheetMale),$Y38+2,FALSE)</f>
        <v>Marlei Bignot</v>
      </c>
      <c r="K38" s="341" t="s">
        <v>277</v>
      </c>
      <c r="L38" s="16" t="str">
        <f t="shared" si="10"/>
        <v>Y</v>
      </c>
      <c r="M38" s="931" t="s">
        <v>151</v>
      </c>
      <c r="N38" s="927" t="s">
        <v>962</v>
      </c>
      <c r="O38" s="353" t="str">
        <f>IF(LEN($M38)=1,VLOOKUP(LEFT($M38,1),B32:I39,5,FALSE),IF(LEN($M38)=2,VLOOKUP(LEFT($M38,1),B32:I39,7,FALSE),""))</f>
        <v>Y</v>
      </c>
      <c r="P38" s="373" t="str">
        <f>IF(LEN($M38)=1,VLOOKUP(LEFT($M38,1),B32:I39,6,FALSE),IF(LEN($M38)=2,VLOOKUP(LEFT($M38,1),B32:I39,8,FALSE),""))</f>
        <v>Elsie Thornton</v>
      </c>
      <c r="Q38" s="341" t="s">
        <v>277</v>
      </c>
      <c r="R38" s="146" t="str">
        <f t="shared" si="11"/>
        <v>S</v>
      </c>
      <c r="S38" s="931" t="s">
        <v>818</v>
      </c>
      <c r="T38" s="927" t="s">
        <v>971</v>
      </c>
      <c r="U38" s="353" t="str">
        <f>IF(LEN($S38)=1,VLOOKUP(LEFT($S38,1),B32:I39,5,FALSE),IF(LEN($S38)=2,VLOOKUP(LEFT($S38,1),B32:I39,7,FALSE),""))</f>
        <v>SS</v>
      </c>
      <c r="V38" s="373" t="str">
        <f>IF(LEN($S38)=1,VLOOKUP(LEFT($S38,1),B32:I39,6,FALSE),IF(LEN($S38)=2,VLOOKUP(LEFT($S38,1),B32:I39,8,FALSE),""))</f>
        <v xml:space="preserve">
Maliyka lewis</v>
      </c>
      <c r="W38" s="417">
        <f t="shared" si="18"/>
        <v>2</v>
      </c>
      <c r="Y38" s="417">
        <v>37</v>
      </c>
      <c r="Z38" s="16" t="str">
        <f t="shared" si="12"/>
        <v>Worc</v>
      </c>
      <c r="AA38" s="146" t="str">
        <f t="shared" si="13"/>
        <v>BRAT</v>
      </c>
      <c r="AB38" s="32"/>
      <c r="AC38" s="16" t="str">
        <f t="shared" si="14"/>
        <v>F</v>
      </c>
      <c r="AD38" s="419" t="str">
        <f t="shared" si="14"/>
        <v>Tamworth</v>
      </c>
      <c r="AE38" s="419">
        <f>IF(ISNA(MATCH(AC38,N30:N39,0)),0,VLOOKUP(AC38,N30:S39,5,FALSE))</f>
        <v>0</v>
      </c>
      <c r="AF38" s="419" t="str">
        <f>IF(ISNA(MATCH(AC38,T30:T39,0))," ",VLOOKUP(AC38,T30:Y39,5,FALSE))</f>
        <v xml:space="preserve"> </v>
      </c>
      <c r="AG38" s="419" t="str">
        <f>IF(ISNA(MATCH(AC38,L32:L39,0)),0,VLOOKUP(AC38,L32:N39,3,FALSE))</f>
        <v>6.00.6</v>
      </c>
      <c r="AH38" s="419" t="str">
        <f>IF(ISNA(MATCH(AC38,R32:R39,0)),0,VLOOKUP(AC38,R32:T39,3,FALSE))</f>
        <v>5.54.9</v>
      </c>
      <c r="AI38" s="419" t="str">
        <f>IF(ISNA(MATCH(AC38,L32:L39,0)),0,VLOOKUP(AC38,L32:P39,4,FALSE))</f>
        <v>F</v>
      </c>
      <c r="AJ38" s="419" t="str">
        <f>IF(ISNA(MATCH(AC38,R32:R39,0)),0,VLOOKUP(AC38,R32:U39,4,FALSE))</f>
        <v>FF</v>
      </c>
      <c r="AK38" s="32">
        <f t="shared" si="15"/>
        <v>8</v>
      </c>
      <c r="AL38" s="32">
        <f t="shared" si="16"/>
        <v>5</v>
      </c>
      <c r="AM38" s="32">
        <f>IF(ISNA(MATCH(AC38,L32:L39,0)),0,VLOOKUP(AC38,L32:W39,AM$1,FALSE))</f>
        <v>1</v>
      </c>
      <c r="AN38" s="146">
        <f>IF(ISNA(MATCH(AC38,R32:R39,0)),0,VLOOKUP(AC38,R32:W39,AN$1,FALSE))</f>
        <v>4</v>
      </c>
      <c r="AP38" s="931"/>
      <c r="AQ38" s="927"/>
    </row>
    <row r="39" spans="1:47" ht="16.2" thickBot="1" x14ac:dyDescent="0.35">
      <c r="A39" s="418">
        <f t="shared" si="17"/>
        <v>28</v>
      </c>
      <c r="B39" s="365" t="str">
        <f>'Event Details'!D$29</f>
        <v>Y</v>
      </c>
      <c r="C39" s="366" t="str">
        <f>'Event Details'!E$29</f>
        <v>Worcester</v>
      </c>
      <c r="D39" s="361"/>
      <c r="E39" s="370"/>
      <c r="F39" s="367" t="str">
        <f>VLOOKUP($B31,IF($H31="F",TeamSheetFemale,TeamSheetMale),$Y39-1,FALSE)</f>
        <v>Y</v>
      </c>
      <c r="G39" s="368" t="str">
        <f>VLOOKUP($B31,IF($H31="F",TeamSheetFemale,TeamSheetMale),$Y39,FALSE)</f>
        <v>Elsie Thornton</v>
      </c>
      <c r="H39" s="367" t="str">
        <f>VLOOKUP($B31,IF($H31="F",TeamSheetFemale,TeamSheetMale),$Y39+1,FALSE)</f>
        <v>YY</v>
      </c>
      <c r="I39" s="369" t="str">
        <f>VLOOKUP($B31,IF($H31="F",TeamSheetFemale,TeamSheetMale),$Y39+2,FALSE)</f>
        <v>Rosie Groves</v>
      </c>
      <c r="K39" s="346" t="s">
        <v>278</v>
      </c>
      <c r="L39" s="25" t="str">
        <f t="shared" si="10"/>
        <v>F</v>
      </c>
      <c r="M39" s="928" t="s">
        <v>142</v>
      </c>
      <c r="N39" s="932" t="s">
        <v>963</v>
      </c>
      <c r="O39" s="375" t="str">
        <f>IF(LEN($M39)=1,VLOOKUP(LEFT($M39,1),B32:I39,5,FALSE),IF(LEN($M39)=2,VLOOKUP(LEFT($M39,1),B32:I39,7,FALSE),""))</f>
        <v>F</v>
      </c>
      <c r="P39" s="376" t="str">
        <f>IF(LEN($M39)=1,VLOOKUP(LEFT($M39,1),B32:I39,6,FALSE),IF(LEN($M39)=2,VLOOKUP(LEFT($M39,1),B32:I39,8,FALSE),""))</f>
        <v>Lacey Eaton</v>
      </c>
      <c r="Q39" s="346" t="s">
        <v>278</v>
      </c>
      <c r="R39" s="523" t="str">
        <f t="shared" si="11"/>
        <v/>
      </c>
      <c r="S39" s="928" t="s">
        <v>148</v>
      </c>
      <c r="T39" s="932"/>
      <c r="U39" s="375" t="str">
        <f>IF(LEN($S39)=1,VLOOKUP(LEFT($S39,1),B32:I39,5,FALSE),IF(LEN($S39)=2,VLOOKUP(LEFT($S39,1),B32:I39,7,FALSE),""))</f>
        <v/>
      </c>
      <c r="V39" s="376" t="str">
        <f>IF(LEN($S39)=1,VLOOKUP(LEFT($S39,1),B32:I39,6,FALSE),IF(LEN($S39)=2,VLOOKUP(LEFT($S39,1),B32:I39,8,FALSE),""))</f>
        <v/>
      </c>
      <c r="W39" s="418">
        <f t="shared" si="18"/>
        <v>1</v>
      </c>
      <c r="Y39" s="418">
        <v>42</v>
      </c>
      <c r="Z39" s="25" t="str">
        <f t="shared" si="12"/>
        <v>Tam</v>
      </c>
      <c r="AA39" s="523">
        <f t="shared" si="13"/>
        <v>0</v>
      </c>
      <c r="AB39" s="32"/>
      <c r="AC39" s="25" t="str">
        <f t="shared" si="14"/>
        <v>Y</v>
      </c>
      <c r="AD39" s="624" t="str">
        <f t="shared" si="14"/>
        <v>Worcester</v>
      </c>
      <c r="AE39" s="624">
        <f>IF(ISNA(MATCH(AC39,N31:N40,0)),0,VLOOKUP(AC39,N31:S40,5,FALSE))</f>
        <v>0</v>
      </c>
      <c r="AF39" s="624" t="str">
        <f t="shared" ref="AF39" si="19">IF(ISNA(MATCH(AC39,T31:T40,0))," ",VLOOKUP(AC39,T31:Y40,5,FALSE))</f>
        <v xml:space="preserve"> </v>
      </c>
      <c r="AG39" s="624" t="str">
        <f>IF(ISNA(MATCH(AC39,L32:L39,0)),0,VLOOKUP(AC39,L32:N39,3,FALSE))</f>
        <v>5.58.4</v>
      </c>
      <c r="AH39" s="624" t="str">
        <f>IF(ISNA(MATCH(AC39,R32:R39,0)),0,VLOOKUP(AC39,R32:T39,3,FALSE))</f>
        <v>5.57.0</v>
      </c>
      <c r="AI39" s="624" t="str">
        <f>IF(ISNA(MATCH(AC39,L32:L39,0)),0,VLOOKUP(AC39,L32:P39,4,FALSE))</f>
        <v>Y</v>
      </c>
      <c r="AJ39" s="624" t="str">
        <f>IF(ISNA(MATCH(AC39,R32:R39,0)),0,VLOOKUP(AC39,R32:U39,4,FALSE))</f>
        <v>YY</v>
      </c>
      <c r="AK39" s="116">
        <f t="shared" si="15"/>
        <v>7</v>
      </c>
      <c r="AL39" s="116">
        <f t="shared" si="16"/>
        <v>6</v>
      </c>
      <c r="AM39" s="116">
        <f>IF(ISNA(MATCH(AC39,L32:L39,0)),0,VLOOKUP(AC39,L32:W39,AM$1,FALSE))</f>
        <v>2</v>
      </c>
      <c r="AN39" s="523">
        <f>IF(ISNA(MATCH(AC39,R32:R39,0)),0,VLOOKUP(AC39,R32:W39,AN$1,FALSE))</f>
        <v>3</v>
      </c>
      <c r="AP39" s="928" t="s">
        <v>148</v>
      </c>
      <c r="AQ39" s="932"/>
    </row>
    <row r="40" spans="1:47" ht="15" thickBot="1" x14ac:dyDescent="0.35">
      <c r="K40" s="1207" t="s">
        <v>279</v>
      </c>
      <c r="L40" s="1011"/>
      <c r="M40" s="276"/>
      <c r="N40" s="307"/>
      <c r="R40" s="1011"/>
      <c r="S40" s="276"/>
      <c r="T40" s="307"/>
      <c r="AP40" s="276"/>
      <c r="AQ40" s="307"/>
    </row>
    <row r="41" spans="1:47" x14ac:dyDescent="0.3">
      <c r="B41" s="400" t="s">
        <v>258</v>
      </c>
      <c r="C41" s="398"/>
      <c r="D41" s="401" t="s">
        <v>165</v>
      </c>
      <c r="E41" s="398"/>
      <c r="F41" s="398"/>
      <c r="G41" s="402" t="s">
        <v>259</v>
      </c>
      <c r="H41" s="403" t="s">
        <v>249</v>
      </c>
      <c r="I41" s="404" t="s">
        <v>168</v>
      </c>
      <c r="K41" s="360"/>
      <c r="L41" s="661"/>
      <c r="M41" s="387" t="s">
        <v>260</v>
      </c>
      <c r="N41" s="387" t="s">
        <v>261</v>
      </c>
      <c r="O41" s="387" t="s">
        <v>262</v>
      </c>
      <c r="P41" s="388" t="s">
        <v>75</v>
      </c>
      <c r="Q41" s="412"/>
      <c r="R41" s="657"/>
      <c r="S41" s="387" t="s">
        <v>260</v>
      </c>
      <c r="T41" s="387" t="s">
        <v>261</v>
      </c>
      <c r="U41" s="387" t="s">
        <v>262</v>
      </c>
      <c r="V41" s="388" t="s">
        <v>75</v>
      </c>
      <c r="W41" s="672" t="s">
        <v>76</v>
      </c>
      <c r="Y41" s="654" t="s">
        <v>263</v>
      </c>
      <c r="Z41" s="656" t="s">
        <v>74</v>
      </c>
      <c r="AA41" s="657" t="s">
        <v>75</v>
      </c>
      <c r="AC41" s="665" t="s">
        <v>71</v>
      </c>
      <c r="AD41" s="657" t="s">
        <v>86</v>
      </c>
      <c r="AE41" s="661" t="s">
        <v>149</v>
      </c>
      <c r="AF41" s="661" t="s">
        <v>94</v>
      </c>
      <c r="AG41" s="661" t="s">
        <v>149</v>
      </c>
      <c r="AH41" s="661" t="s">
        <v>94</v>
      </c>
      <c r="AI41" s="661" t="s">
        <v>149</v>
      </c>
      <c r="AJ41" s="661" t="s">
        <v>94</v>
      </c>
      <c r="AK41" s="1332" t="s">
        <v>149</v>
      </c>
      <c r="AL41" s="661" t="s">
        <v>94</v>
      </c>
      <c r="AM41" s="1406" t="s">
        <v>76</v>
      </c>
      <c r="AN41" s="1407"/>
      <c r="AP41" s="387" t="s">
        <v>260</v>
      </c>
      <c r="AQ41" s="387" t="s">
        <v>261</v>
      </c>
      <c r="AS41" s="1218" t="s">
        <v>165</v>
      </c>
      <c r="AT41" s="1219" t="s">
        <v>79</v>
      </c>
      <c r="AU41" s="1220" t="s">
        <v>80</v>
      </c>
    </row>
    <row r="42" spans="1:47" ht="15" thickBot="1" x14ac:dyDescent="0.35">
      <c r="B42" s="405">
        <v>3</v>
      </c>
      <c r="C42" s="399"/>
      <c r="D42" s="385" t="str">
        <f>VLOOKUP($B42,EventOrder,6,FALSE)</f>
        <v xml:space="preserve">1500m </v>
      </c>
      <c r="E42" s="399"/>
      <c r="F42" s="385"/>
      <c r="G42" s="386" t="str">
        <f>VLOOKUP($B42,EventOrder,4,FALSE)</f>
        <v>U16 Female</v>
      </c>
      <c r="H42" s="396" t="str">
        <f>IF(MID(G42,5,1)="F","F","M")</f>
        <v>F</v>
      </c>
      <c r="I42" s="397">
        <f>VLOOKUP($B42,EventOrder,2,FALSE)</f>
        <v>11.1</v>
      </c>
      <c r="K42" s="372"/>
      <c r="L42" s="667" t="s">
        <v>149</v>
      </c>
      <c r="M42" s="409" t="s">
        <v>264</v>
      </c>
      <c r="N42" s="409" t="s">
        <v>265</v>
      </c>
      <c r="O42" s="409" t="s">
        <v>266</v>
      </c>
      <c r="P42" s="408"/>
      <c r="Q42" s="413"/>
      <c r="R42" s="659" t="s">
        <v>94</v>
      </c>
      <c r="S42" s="409" t="s">
        <v>264</v>
      </c>
      <c r="T42" s="409" t="s">
        <v>265</v>
      </c>
      <c r="U42" s="409" t="s">
        <v>266</v>
      </c>
      <c r="V42" s="408"/>
      <c r="W42" s="671"/>
      <c r="Y42" s="655" t="s">
        <v>167</v>
      </c>
      <c r="Z42" s="658" t="s">
        <v>149</v>
      </c>
      <c r="AA42" s="659" t="s">
        <v>94</v>
      </c>
      <c r="AC42" s="666"/>
      <c r="AD42" s="668"/>
      <c r="AE42" s="768" t="s">
        <v>75</v>
      </c>
      <c r="AF42" s="768" t="s">
        <v>75</v>
      </c>
      <c r="AG42" s="768" t="s">
        <v>267</v>
      </c>
      <c r="AH42" s="768" t="s">
        <v>267</v>
      </c>
      <c r="AI42" s="768" t="s">
        <v>268</v>
      </c>
      <c r="AJ42" s="768" t="s">
        <v>268</v>
      </c>
      <c r="AK42" s="770" t="s">
        <v>269</v>
      </c>
      <c r="AL42" s="768" t="s">
        <v>269</v>
      </c>
      <c r="AM42" s="667" t="s">
        <v>149</v>
      </c>
      <c r="AN42" s="659" t="s">
        <v>94</v>
      </c>
      <c r="AP42" s="409" t="s">
        <v>264</v>
      </c>
      <c r="AQ42" s="409" t="s">
        <v>265</v>
      </c>
      <c r="AS42" s="1221" t="s">
        <v>270</v>
      </c>
      <c r="AT42" s="1222" t="s">
        <v>270</v>
      </c>
      <c r="AU42" s="1223" t="s">
        <v>270</v>
      </c>
    </row>
    <row r="43" spans="1:47" ht="15.6" x14ac:dyDescent="0.3">
      <c r="A43" s="416">
        <f>(B42*10)+1</f>
        <v>31</v>
      </c>
      <c r="B43" s="362" t="str">
        <f>'Event Details'!D$22</f>
        <v>S</v>
      </c>
      <c r="C43" s="381" t="str">
        <f>'Event Details'!E$22</f>
        <v>BRAT</v>
      </c>
      <c r="D43" s="379"/>
      <c r="E43" s="378"/>
      <c r="F43" s="363" t="str">
        <f>VLOOKUP($B42,IF($H42="F",TeamSheetFemale,TeamSheetMale),$Y43-1,FALSE)</f>
        <v>S</v>
      </c>
      <c r="G43" s="380" t="str">
        <f>VLOOKUP($B42,IF($H42="F",TeamSheetFemale,TeamSheetMale),$Y43,FALSE)</f>
        <v>Orla Woodman</v>
      </c>
      <c r="H43" s="363" t="str">
        <f>VLOOKUP($B42,IF($H42="F",TeamSheetFemale,TeamSheetMale),$Y43+1,FALSE)</f>
        <v>SS</v>
      </c>
      <c r="I43" s="364" t="str">
        <f>VLOOKUP($B42,IF($H42="F",TeamSheetFemale,TeamSheetMale),$Y43+2,FALSE)</f>
        <v>Lacey-May larkin</v>
      </c>
      <c r="K43" s="393" t="s">
        <v>271</v>
      </c>
      <c r="L43" s="16" t="str">
        <f t="shared" ref="L43:L50" si="20">LEFT(M43,1)</f>
        <v>F</v>
      </c>
      <c r="M43" s="926" t="s">
        <v>142</v>
      </c>
      <c r="N43" s="926" t="s">
        <v>975</v>
      </c>
      <c r="O43" s="394" t="str">
        <f>IF(LEN($M43)=1,VLOOKUP(LEFT($M43,1),B43:I50,5,FALSE),IF(LEN($M43)=2,VLOOKUP(LEFT($M43,1),B43:I50,7,FALSE),""))</f>
        <v>F</v>
      </c>
      <c r="P43" s="395" t="str">
        <f>IF(LEN($M43)=1,VLOOKUP(LEFT($M43,1),B43:I50,6,FALSE),IF(LEN($M43)=2,VLOOKUP(LEFT($M43,1),B43:I50,8,FALSE),""))</f>
        <v>Freya Armitage</v>
      </c>
      <c r="Q43" s="406" t="s">
        <v>271</v>
      </c>
      <c r="R43" s="146" t="str">
        <f t="shared" ref="R43:R50" si="21">LEFT(S43,1)</f>
        <v>D</v>
      </c>
      <c r="S43" s="926" t="s">
        <v>513</v>
      </c>
      <c r="T43" s="926" t="s">
        <v>980</v>
      </c>
      <c r="U43" s="394" t="str">
        <f>IF(LEN($S43)=1,VLOOKUP(LEFT($S43,1),B43:I50,5,FALSE),IF(LEN($S43)=2,VLOOKUP(LEFT($S43,1),B43:I50,7,FALSE),""))</f>
        <v>DD</v>
      </c>
      <c r="V43" s="395" t="str">
        <f>IF(LEN($S43)=1,VLOOKUP(LEFT($S43,1),B43:I50,6,FALSE),IF(LEN($S43)=2,VLOOKUP(LEFT($S43,1),B43:I50,8,FALSE),""))</f>
        <v>Jasmine Mothershaw</v>
      </c>
      <c r="W43" s="417">
        <f>AN$6</f>
        <v>8</v>
      </c>
      <c r="Y43" s="653">
        <v>7</v>
      </c>
      <c r="Z43" s="653" t="str">
        <f t="shared" ref="Z43:Z50" si="22">IF(LEN(M43)&gt;0,VLOOKUP(LEFT(M43,1),ShortName,5,FALSE),0)</f>
        <v>Tam</v>
      </c>
      <c r="AA43" s="138" t="str">
        <f t="shared" ref="AA43:AA50" si="23">IF(LEN(S43)&gt;0,VLOOKUP(LEFT(S43,1),ShortName,5,FALSE),0)</f>
        <v>Strat</v>
      </c>
      <c r="AC43" s="653" t="str">
        <f t="shared" ref="AC43:AD50" si="24">B43</f>
        <v>S</v>
      </c>
      <c r="AD43" s="635" t="str">
        <f t="shared" si="24"/>
        <v>BRAT</v>
      </c>
      <c r="AE43" s="635">
        <f>IF(ISNA(MATCH(AC43,N43:N52,0)),0,VLOOKUP(AC43,N43:S52,5,FALSE))</f>
        <v>0</v>
      </c>
      <c r="AF43" s="635" t="str">
        <f>IF(ISNA(MATCH(AC43,T43:T52,0))," ",VLOOKUP(AC43,T43:Y52,5,FALSE))</f>
        <v xml:space="preserve"> </v>
      </c>
      <c r="AG43" s="635" t="str">
        <f>IF(ISNA(MATCH(AC43,L43:L50,0)),0,VLOOKUP(AC43,L43:N50,3,FALSE))</f>
        <v>6.10.7</v>
      </c>
      <c r="AH43" s="635">
        <f>IF(ISNA(MATCH(AC43,R43:R50,0)),0,VLOOKUP(AC43,R43:T50,3,FALSE))</f>
        <v>0</v>
      </c>
      <c r="AI43" s="635" t="str">
        <f>IF(ISNA(MATCH(AC43,L43:L50,0)),0,VLOOKUP(AC43,L43:P50,4,FALSE))</f>
        <v>S</v>
      </c>
      <c r="AJ43" s="635">
        <f>IF(ISNA(MATCH(AC43,R43:R50,0)),0,VLOOKUP(AC43,R43:U50,4,FALSE))</f>
        <v>0</v>
      </c>
      <c r="AK43" s="49">
        <f t="shared" ref="AK43:AK50" si="25">IF(AM43=0,0,AN$6-(AM43-1))</f>
        <v>6</v>
      </c>
      <c r="AL43" s="49">
        <f t="shared" ref="AL43:AL50" si="26">IF(AN43=0,0,AN$6-(AN43-1))</f>
        <v>0</v>
      </c>
      <c r="AM43" s="49">
        <f>IF(ISNA(MATCH(AC43,L43:L50,0)),0,VLOOKUP(AC43,L43:W50,AM$1,FALSE))</f>
        <v>3</v>
      </c>
      <c r="AN43" s="138">
        <f>IF(ISNA(MATCH(AC43,R43:R50,0)),0,VLOOKUP(AC43,R43:W50,AN$1,FALSE))</f>
        <v>0</v>
      </c>
      <c r="AP43" s="926"/>
      <c r="AQ43" s="926"/>
      <c r="AS43" s="32">
        <f>IF(LEN(N43)&gt;0,1,0)</f>
        <v>1</v>
      </c>
      <c r="AT43" s="32">
        <f>IF(AND(AS43=1,H42="M"),1,0)</f>
        <v>0</v>
      </c>
      <c r="AU43" s="32">
        <f>IF(AND(AS43=1,H42="F"),1,0)</f>
        <v>1</v>
      </c>
    </row>
    <row r="44" spans="1:47" ht="15.6" x14ac:dyDescent="0.3">
      <c r="A44" s="417">
        <f>A43+1</f>
        <v>32</v>
      </c>
      <c r="B44" s="362" t="str">
        <f>'Event Details'!D$23</f>
        <v>U</v>
      </c>
      <c r="C44" s="381" t="str">
        <f>'Event Details'!E$23</f>
        <v>Kidder &amp; Stourport</v>
      </c>
      <c r="D44" s="379"/>
      <c r="E44" s="378"/>
      <c r="F44" s="363" t="str">
        <f>VLOOKUP($B42,IF($H42="F",TeamSheetFemale,TeamSheetMale),$Y44-1,FALSE)</f>
        <v>U</v>
      </c>
      <c r="G44" s="380" t="str">
        <f>VLOOKUP($B42,IF($H42="F",TeamSheetFemale,TeamSheetMale),$Y44,FALSE)</f>
        <v>Nicole Bevan</v>
      </c>
      <c r="H44" s="363">
        <f>VLOOKUP($B42,IF($H42="F",TeamSheetFemale,TeamSheetMale),$Y44+1,FALSE)</f>
        <v>0</v>
      </c>
      <c r="I44" s="364">
        <f>VLOOKUP($B42,IF($H42="F",TeamSheetFemale,TeamSheetMale),$Y44+2,FALSE)</f>
        <v>0</v>
      </c>
      <c r="K44" s="341" t="s">
        <v>272</v>
      </c>
      <c r="L44" s="16" t="str">
        <f t="shared" si="20"/>
        <v>U</v>
      </c>
      <c r="M44" s="927" t="s">
        <v>130</v>
      </c>
      <c r="N44" s="927" t="s">
        <v>976</v>
      </c>
      <c r="O44" s="354" t="str">
        <f>IF(LEN($M44)=1,VLOOKUP(LEFT($M44,1),B43:I50,5,FALSE),IF(LEN($M44)=2,VLOOKUP(LEFT($M44,1),B43:I50,7,FALSE),""))</f>
        <v>U</v>
      </c>
      <c r="P44" s="410" t="str">
        <f>IF(LEN($M44)=1,VLOOKUP(LEFT($M44,1),B43:I50,6,FALSE),IF(LEN($M44)=2,VLOOKUP(LEFT($M44,1),B43:I50,8,FALSE),""))</f>
        <v>Nicole Bevan</v>
      </c>
      <c r="Q44" s="371" t="s">
        <v>272</v>
      </c>
      <c r="R44" s="146" t="str">
        <f t="shared" si="21"/>
        <v>R</v>
      </c>
      <c r="S44" s="927" t="s">
        <v>819</v>
      </c>
      <c r="T44" s="927" t="s">
        <v>981</v>
      </c>
      <c r="U44" s="354" t="str">
        <f>IF(LEN($S44)=1,VLOOKUP(LEFT($S44,1),B43:I50,5,FALSE),IF(LEN($S44)=2,VLOOKUP(LEFT($S44,1),B43:I50,7,FALSE),""))</f>
        <v>RR</v>
      </c>
      <c r="V44" s="410" t="str">
        <f>IF(LEN($S44)=1,VLOOKUP(LEFT($S44,1),B43:I50,6,FALSE),IF(LEN($S44)=2,VLOOKUP(LEFT($S44,1),B43:I50,8,FALSE),""))</f>
        <v>Eva Bond</v>
      </c>
      <c r="W44" s="417">
        <f>W43-1</f>
        <v>7</v>
      </c>
      <c r="Y44" s="16">
        <v>12</v>
      </c>
      <c r="Z44" s="16" t="str">
        <f t="shared" si="22"/>
        <v>K&amp;S</v>
      </c>
      <c r="AA44" s="146" t="str">
        <f t="shared" si="23"/>
        <v>Rugby</v>
      </c>
      <c r="AC44" s="16" t="str">
        <f t="shared" si="24"/>
        <v>U</v>
      </c>
      <c r="AD44" s="419" t="str">
        <f t="shared" si="24"/>
        <v>Kidder &amp; Stourport</v>
      </c>
      <c r="AE44" s="419">
        <f>IF(ISNA(MATCH(AC44,N43:N52,0)),0,VLOOKUP(AC44,N43:S52,5,FALSE))</f>
        <v>0</v>
      </c>
      <c r="AF44" s="419" t="str">
        <f>IF(ISNA(MATCH(AC44,T43:T52,0))," ",VLOOKUP(AC44,T43:Y52,5,FALSE))</f>
        <v xml:space="preserve"> </v>
      </c>
      <c r="AG44" s="419" t="str">
        <f>IF(ISNA(MATCH(AC44,L43:L50,0)),0,VLOOKUP(AC44,L43:N50,3,FALSE))</f>
        <v>5.25.0</v>
      </c>
      <c r="AH44" s="419">
        <f>IF(ISNA(MATCH(AC44,R43:R50,0)),0,VLOOKUP(AC44,R43:T50,3,FALSE))</f>
        <v>0</v>
      </c>
      <c r="AI44" s="419" t="str">
        <f>IF(ISNA(MATCH(AC44,L43:L50,0)),0,VLOOKUP(AC44,L43:P50,4,FALSE))</f>
        <v>U</v>
      </c>
      <c r="AJ44" s="419">
        <f>IF(ISNA(MATCH(AC44,R43:R50,0)),0,VLOOKUP(AC44,R43:U50,4,FALSE))</f>
        <v>0</v>
      </c>
      <c r="AK44" s="32">
        <f t="shared" si="25"/>
        <v>2</v>
      </c>
      <c r="AL44" s="32">
        <f t="shared" si="26"/>
        <v>0</v>
      </c>
      <c r="AM44" s="32">
        <f>IF(ISNA(MATCH(AC44,L43:L50,0)),0,VLOOKUP(AC44,L43:W50,AM$1,FALSE))</f>
        <v>7</v>
      </c>
      <c r="AN44" s="146">
        <f>IF(ISNA(MATCH(AC44,R43:R50,0)),0,VLOOKUP(AC44,R43:W50,AN$1,FALSE))</f>
        <v>0</v>
      </c>
      <c r="AP44" s="927"/>
      <c r="AQ44" s="927"/>
    </row>
    <row r="45" spans="1:47" ht="15.6" x14ac:dyDescent="0.3">
      <c r="A45" s="417">
        <f t="shared" ref="A45:A50" si="27">A44+1</f>
        <v>33</v>
      </c>
      <c r="B45" s="362" t="str">
        <f>'Event Details'!D$24</f>
        <v>G</v>
      </c>
      <c r="C45" s="381" t="str">
        <f>'Event Details'!E$24</f>
        <v>Royal Sutton</v>
      </c>
      <c r="D45" s="379"/>
      <c r="E45" s="378"/>
      <c r="F45" s="363" t="str">
        <f>VLOOKUP($B42,IF($H42="F",TeamSheetFemale,TeamSheetMale),$Y45-1,FALSE)</f>
        <v>G</v>
      </c>
      <c r="G45" s="380">
        <f>VLOOKUP($B42,IF($H42="F",TeamSheetFemale,TeamSheetMale),$Y45,FALSE)</f>
        <v>0</v>
      </c>
      <c r="H45" s="363" t="str">
        <f>VLOOKUP($B42,IF($H42="F",TeamSheetFemale,TeamSheetMale),$Y45+1,FALSE)</f>
        <v>GG</v>
      </c>
      <c r="I45" s="364">
        <f>VLOOKUP($B42,IF($H42="F",TeamSheetFemale,TeamSheetMale),$Y45+2,FALSE)</f>
        <v>0</v>
      </c>
      <c r="K45" s="341" t="s">
        <v>273</v>
      </c>
      <c r="L45" s="16" t="str">
        <f t="shared" si="20"/>
        <v>R</v>
      </c>
      <c r="M45" s="927" t="s">
        <v>118</v>
      </c>
      <c r="N45" s="927" t="s">
        <v>977</v>
      </c>
      <c r="O45" s="354" t="str">
        <f>IF(LEN($M45)=1,VLOOKUP(LEFT($M45,1),B43:I50,5,FALSE),IF(LEN($M45)=2,VLOOKUP(LEFT($M45,1),B43:I50,7,FALSE),""))</f>
        <v>R</v>
      </c>
      <c r="P45" s="410" t="str">
        <f>IF(LEN($M45)=1,VLOOKUP(LEFT($M45,1),B43:I50,6,FALSE),IF(LEN($M45)=2,VLOOKUP(LEFT($M45,1),B43:I50,8,FALSE),""))</f>
        <v>Amelia Lee</v>
      </c>
      <c r="Q45" s="371" t="s">
        <v>273</v>
      </c>
      <c r="R45" s="146" t="str">
        <f t="shared" si="21"/>
        <v>M</v>
      </c>
      <c r="S45" s="927" t="s">
        <v>821</v>
      </c>
      <c r="T45" s="927" t="s">
        <v>982</v>
      </c>
      <c r="U45" s="354" t="str">
        <f>IF(LEN($S45)=1,VLOOKUP(LEFT($S45,1),B43:I50,5,FALSE),IF(LEN($S45)=2,VLOOKUP(LEFT($S45,1),B43:I50,7,FALSE),""))</f>
        <v>MM</v>
      </c>
      <c r="V45" s="410" t="str">
        <f>IF(LEN($S45)=1,VLOOKUP(LEFT($S45,1),B43:I50,6,FALSE),IF(LEN($S45)=2,VLOOKUP(LEFT($S45,1),B43:I50,8,FALSE),""))</f>
        <v>Olivia Hawke</v>
      </c>
      <c r="W45" s="417">
        <f t="shared" ref="W45:W50" si="28">W44-1</f>
        <v>6</v>
      </c>
      <c r="Y45" s="16">
        <v>17</v>
      </c>
      <c r="Z45" s="16" t="str">
        <f t="shared" si="22"/>
        <v>Rugby</v>
      </c>
      <c r="AA45" s="146" t="str">
        <f t="shared" si="23"/>
        <v>Sol</v>
      </c>
      <c r="AC45" s="16" t="str">
        <f t="shared" si="24"/>
        <v>G</v>
      </c>
      <c r="AD45" s="419" t="str">
        <f t="shared" si="24"/>
        <v>Royal Sutton</v>
      </c>
      <c r="AE45" s="419">
        <f>IF(ISNA(MATCH(AC45,N43:N52,0)),0,VLOOKUP(AC45,N43:S52,5,FALSE))</f>
        <v>0</v>
      </c>
      <c r="AF45" s="419" t="str">
        <f>IF(ISNA(MATCH(AC45,T43:T52,0))," ",VLOOKUP(AC45,T43:Y52,5,FALSE))</f>
        <v xml:space="preserve"> </v>
      </c>
      <c r="AG45" s="419">
        <f>IF(ISNA(MATCH(AC45,L43:L50,0)),0,VLOOKUP(AC45,L43:N50,3,FALSE))</f>
        <v>0</v>
      </c>
      <c r="AH45" s="419">
        <f>IF(ISNA(MATCH(AC45,R43:R50,0)),0,VLOOKUP(AC45,R43:T50,3,FALSE))</f>
        <v>0</v>
      </c>
      <c r="AI45" s="419">
        <f>IF(ISNA(MATCH(AC45,L43:L50,0)),0,VLOOKUP(AC45,L43:P50,4,FALSE))</f>
        <v>0</v>
      </c>
      <c r="AJ45" s="419">
        <f>IF(ISNA(MATCH(AC45,R43:R50,0)),0,VLOOKUP(AC45,R43:U50,4,FALSE))</f>
        <v>0</v>
      </c>
      <c r="AK45" s="32">
        <f t="shared" si="25"/>
        <v>0</v>
      </c>
      <c r="AL45" s="32">
        <f t="shared" si="26"/>
        <v>0</v>
      </c>
      <c r="AM45" s="32">
        <f>IF(ISNA(MATCH(AC45,L43:L50,0)),0,VLOOKUP(AC45,L43:W50,AM$1,FALSE))</f>
        <v>0</v>
      </c>
      <c r="AN45" s="146">
        <f>IF(ISNA(MATCH(AC45,R43:R50,0)),0,VLOOKUP(AC45,R43:W50,AN$1,FALSE))</f>
        <v>0</v>
      </c>
      <c r="AP45" s="927"/>
      <c r="AQ45" s="927"/>
    </row>
    <row r="46" spans="1:47" ht="15.6" x14ac:dyDescent="0.3">
      <c r="A46" s="417">
        <f t="shared" si="27"/>
        <v>34</v>
      </c>
      <c r="B46" s="362" t="str">
        <f>'Event Details'!D$25</f>
        <v>R</v>
      </c>
      <c r="C46" s="381" t="str">
        <f>'Event Details'!E$25</f>
        <v>Rugby &amp; N'hampton</v>
      </c>
      <c r="D46" s="379"/>
      <c r="E46" s="378"/>
      <c r="F46" s="363" t="str">
        <f>VLOOKUP($B42,IF($H42="F",TeamSheetFemale,TeamSheetMale),$Y46-1,FALSE)</f>
        <v>R</v>
      </c>
      <c r="G46" s="380" t="str">
        <f>VLOOKUP($B42,IF($H42="F",TeamSheetFemale,TeamSheetMale),$Y46,FALSE)</f>
        <v>Amelia Lee</v>
      </c>
      <c r="H46" s="363" t="str">
        <f>VLOOKUP($B42,IF($H42="F",TeamSheetFemale,TeamSheetMale),$Y46+1,FALSE)</f>
        <v>RR</v>
      </c>
      <c r="I46" s="364" t="str">
        <f>VLOOKUP($B42,IF($H42="F",TeamSheetFemale,TeamSheetMale),$Y46+2,FALSE)</f>
        <v>Eva Bond</v>
      </c>
      <c r="K46" s="341" t="s">
        <v>274</v>
      </c>
      <c r="L46" s="16" t="str">
        <f t="shared" si="20"/>
        <v>M</v>
      </c>
      <c r="M46" s="927" t="s">
        <v>127</v>
      </c>
      <c r="N46" s="927" t="s">
        <v>972</v>
      </c>
      <c r="O46" s="354" t="str">
        <f>IF(LEN($M46)=1,VLOOKUP(LEFT($M46,1),B43:I50,5,FALSE),IF(LEN($M46)=2,VLOOKUP(LEFT($M46,1),B43:I50,7,FALSE),""))</f>
        <v>M</v>
      </c>
      <c r="P46" s="410" t="str">
        <f>IF(LEN($M46)=1,VLOOKUP(LEFT($M46,1),B43:I50,6,FALSE),IF(LEN($M46)=2,VLOOKUP(LEFT($M46,1),B43:I50,8,FALSE),""))</f>
        <v>Ella Howe</v>
      </c>
      <c r="Q46" s="371" t="s">
        <v>274</v>
      </c>
      <c r="R46" s="146" t="str">
        <f t="shared" si="21"/>
        <v/>
      </c>
      <c r="S46" s="927"/>
      <c r="T46" s="927"/>
      <c r="U46" s="354" t="str">
        <f>IF(LEN($S46)=1,VLOOKUP(LEFT($S46,1),B43:I50,5,FALSE),IF(LEN($S46)=2,VLOOKUP(LEFT($S46,1),B43:I50,7,FALSE),""))</f>
        <v/>
      </c>
      <c r="V46" s="410" t="str">
        <f>IF(LEN($S46)=1,VLOOKUP(LEFT($S46,1),B43:I50,6,FALSE),IF(LEN($S46)=2,VLOOKUP(LEFT($S46,1),B43:I50,8,FALSE),""))</f>
        <v/>
      </c>
      <c r="W46" s="417">
        <f t="shared" si="28"/>
        <v>5</v>
      </c>
      <c r="Y46" s="16">
        <v>22</v>
      </c>
      <c r="Z46" s="16" t="str">
        <f t="shared" si="22"/>
        <v>Sol</v>
      </c>
      <c r="AA46" s="146">
        <f t="shared" si="23"/>
        <v>0</v>
      </c>
      <c r="AC46" s="16" t="str">
        <f t="shared" si="24"/>
        <v>R</v>
      </c>
      <c r="AD46" s="419" t="str">
        <f t="shared" si="24"/>
        <v>Rugby &amp; N'hampton</v>
      </c>
      <c r="AE46" s="419">
        <f>IF(ISNA(MATCH(AC46,N43:N52,0)),0,VLOOKUP(AC46,N43:S52,5,FALSE))</f>
        <v>0</v>
      </c>
      <c r="AF46" s="419" t="str">
        <f>IF(ISNA(MATCH(AC46,T43:T52,0))," ",VLOOKUP(AC46,T43:Y52,5,FALSE))</f>
        <v xml:space="preserve"> </v>
      </c>
      <c r="AG46" s="419" t="str">
        <f>IF(ISNA(MATCH(AC46,L43:L50,0)),0,VLOOKUP(AC46,L43:N50,3,FALSE))</f>
        <v>5.27.2</v>
      </c>
      <c r="AH46" s="419" t="str">
        <f>IF(ISNA(MATCH(AC46,R43:R50,0)),0,VLOOKUP(AC46,R43:T50,3,FALSE))</f>
        <v>5.43.4</v>
      </c>
      <c r="AI46" s="419" t="str">
        <f>IF(ISNA(MATCH(AC46,L43:L50,0)),0,VLOOKUP(AC46,L43:P50,4,FALSE))</f>
        <v>R</v>
      </c>
      <c r="AJ46" s="419" t="str">
        <f>IF(ISNA(MATCH(AC46,R43:R50,0)),0,VLOOKUP(AC46,R43:U50,4,FALSE))</f>
        <v>RR</v>
      </c>
      <c r="AK46" s="32">
        <f t="shared" si="25"/>
        <v>3</v>
      </c>
      <c r="AL46" s="32">
        <f t="shared" si="26"/>
        <v>2</v>
      </c>
      <c r="AM46" s="32">
        <f>IF(ISNA(MATCH(AC46,L43:L50,0)),0,VLOOKUP(AC46,L43:W50,AM$1,FALSE))</f>
        <v>6</v>
      </c>
      <c r="AN46" s="146">
        <f>IF(ISNA(MATCH(AC46,R43:R50,0)),0,VLOOKUP(AC46,R43:W50,AN$1,FALSE))</f>
        <v>7</v>
      </c>
      <c r="AP46" s="927"/>
      <c r="AQ46" s="927"/>
    </row>
    <row r="47" spans="1:47" ht="15.6" x14ac:dyDescent="0.3">
      <c r="A47" s="417">
        <f t="shared" si="27"/>
        <v>35</v>
      </c>
      <c r="B47" s="362" t="str">
        <f>'Event Details'!D$26</f>
        <v>M</v>
      </c>
      <c r="C47" s="381" t="str">
        <f>'Event Details'!E$26</f>
        <v>Solihull &amp; S.Heath</v>
      </c>
      <c r="D47" s="379"/>
      <c r="E47" s="378"/>
      <c r="F47" s="363" t="str">
        <f>VLOOKUP($B42,IF($H42="F",TeamSheetFemale,TeamSheetMale),$Y47-1,FALSE)</f>
        <v>M</v>
      </c>
      <c r="G47" s="380" t="str">
        <f>VLOOKUP($B42,IF($H42="F",TeamSheetFemale,TeamSheetMale),$Y47,FALSE)</f>
        <v>Ella Howe</v>
      </c>
      <c r="H47" s="363" t="str">
        <f>VLOOKUP($B42,IF($H42="F",TeamSheetFemale,TeamSheetMale),$Y47+1,FALSE)</f>
        <v>MM</v>
      </c>
      <c r="I47" s="364" t="str">
        <f>VLOOKUP($B42,IF($H42="F",TeamSheetFemale,TeamSheetMale),$Y47+2,FALSE)</f>
        <v>Olivia Hawke</v>
      </c>
      <c r="K47" s="341" t="s">
        <v>275</v>
      </c>
      <c r="L47" s="16" t="str">
        <f t="shared" si="20"/>
        <v>D</v>
      </c>
      <c r="M47" s="927" t="s">
        <v>136</v>
      </c>
      <c r="N47" s="927" t="s">
        <v>978</v>
      </c>
      <c r="O47" s="354" t="str">
        <f>IF(LEN($M47)=1,VLOOKUP(LEFT($M47,1),B43:I50,5,FALSE),IF(LEN($M47)=2,VLOOKUP(LEFT($M47,1),B43:I50,7,FALSE),""))</f>
        <v>D</v>
      </c>
      <c r="P47" s="410" t="str">
        <f>IF(LEN($M47)=1,VLOOKUP(LEFT($M47,1),B43:I50,6,FALSE),IF(LEN($M47)=2,VLOOKUP(LEFT($M47,1),B43:I50,8,FALSE),""))</f>
        <v xml:space="preserve">Rachel Sparrow </v>
      </c>
      <c r="Q47" s="371" t="s">
        <v>275</v>
      </c>
      <c r="R47" s="146" t="str">
        <f t="shared" si="21"/>
        <v/>
      </c>
      <c r="S47" s="927"/>
      <c r="T47" s="927"/>
      <c r="U47" s="354" t="str">
        <f>IF(LEN($S47)=1,VLOOKUP(LEFT($S47,1),B43:I50,5,FALSE),IF(LEN($S47)=2,VLOOKUP(LEFT($S47,1),B43:I50,7,FALSE),""))</f>
        <v/>
      </c>
      <c r="V47" s="410" t="str">
        <f>IF(LEN($S47)=1,VLOOKUP(LEFT($S47,1),B43:I50,6,FALSE),IF(LEN($S47)=2,VLOOKUP(LEFT($S47,1),B43:I50,8,FALSE),""))</f>
        <v/>
      </c>
      <c r="W47" s="417">
        <f t="shared" si="28"/>
        <v>4</v>
      </c>
      <c r="Y47" s="16">
        <v>27</v>
      </c>
      <c r="Z47" s="16" t="str">
        <f t="shared" si="22"/>
        <v>Strat</v>
      </c>
      <c r="AA47" s="146">
        <f t="shared" si="23"/>
        <v>0</v>
      </c>
      <c r="AC47" s="16" t="str">
        <f t="shared" si="24"/>
        <v>M</v>
      </c>
      <c r="AD47" s="419" t="str">
        <f t="shared" si="24"/>
        <v>Solihull &amp; S.Heath</v>
      </c>
      <c r="AE47" s="419">
        <f>IF(ISNA(MATCH(AC47,N43:N52,0)),0,VLOOKUP(AC47,N43:S52,5,FALSE))</f>
        <v>0</v>
      </c>
      <c r="AF47" s="419" t="str">
        <f>IF(ISNA(MATCH(AC47,T43:T52,0))," ",VLOOKUP(AC47,T43:Y52,5,FALSE))</f>
        <v xml:space="preserve"> </v>
      </c>
      <c r="AG47" s="419" t="str">
        <f>IF(ISNA(MATCH(AC47,L43:L50,0)),0,VLOOKUP(AC47,L43:N50,3,FALSE))</f>
        <v>5.37.6</v>
      </c>
      <c r="AH47" s="419" t="str">
        <f>IF(ISNA(MATCH(AC47,R43:R50,0)),0,VLOOKUP(AC47,R43:T50,3,FALSE))</f>
        <v>5.55.6</v>
      </c>
      <c r="AI47" s="419" t="str">
        <f>IF(ISNA(MATCH(AC47,L43:L50,0)),0,VLOOKUP(AC47,L43:P50,4,FALSE))</f>
        <v>M</v>
      </c>
      <c r="AJ47" s="419" t="str">
        <f>IF(ISNA(MATCH(AC47,R43:R50,0)),0,VLOOKUP(AC47,R43:U50,4,FALSE))</f>
        <v>MM</v>
      </c>
      <c r="AK47" s="32">
        <f t="shared" si="25"/>
        <v>4</v>
      </c>
      <c r="AL47" s="32">
        <f t="shared" si="26"/>
        <v>3</v>
      </c>
      <c r="AM47" s="32">
        <f>IF(ISNA(MATCH(AC47,L43:L50,0)),0,VLOOKUP(AC47,L43:W50,AM$1,FALSE))</f>
        <v>5</v>
      </c>
      <c r="AN47" s="146">
        <f>IF(ISNA(MATCH(AC47,R43:R50,0)),0,VLOOKUP(AC47,R43:W50,AN$1,FALSE))</f>
        <v>6</v>
      </c>
      <c r="AP47" s="927"/>
      <c r="AQ47" s="927"/>
    </row>
    <row r="48" spans="1:47" ht="15.6" x14ac:dyDescent="0.3">
      <c r="A48" s="417">
        <f t="shared" si="27"/>
        <v>36</v>
      </c>
      <c r="B48" s="362" t="str">
        <f>'Event Details'!D$27</f>
        <v>D</v>
      </c>
      <c r="C48" s="381" t="str">
        <f>'Event Details'!E$27</f>
        <v>Stratford</v>
      </c>
      <c r="D48" s="379"/>
      <c r="E48" s="378"/>
      <c r="F48" s="363" t="str">
        <f>VLOOKUP($B42,IF($H42="F",TeamSheetFemale,TeamSheetMale),$Y48-1,FALSE)</f>
        <v>D</v>
      </c>
      <c r="G48" s="380" t="str">
        <f>VLOOKUP($B42,IF($H42="F",TeamSheetFemale,TeamSheetMale),$Y48,FALSE)</f>
        <v xml:space="preserve">Rachel Sparrow </v>
      </c>
      <c r="H48" s="363" t="str">
        <f>VLOOKUP($B42,IF($H42="F",TeamSheetFemale,TeamSheetMale),$Y48+1,FALSE)</f>
        <v>DD</v>
      </c>
      <c r="I48" s="364" t="str">
        <f>VLOOKUP($B42,IF($H42="F",TeamSheetFemale,TeamSheetMale),$Y48+2,FALSE)</f>
        <v>Jasmine Mothershaw</v>
      </c>
      <c r="K48" s="341" t="s">
        <v>276</v>
      </c>
      <c r="L48" s="16" t="str">
        <f t="shared" si="20"/>
        <v>S</v>
      </c>
      <c r="M48" s="927" t="s">
        <v>100</v>
      </c>
      <c r="N48" s="927" t="s">
        <v>979</v>
      </c>
      <c r="O48" s="354" t="str">
        <f>IF(LEN($M48)=1,VLOOKUP(LEFT($M48,1),B43:I50,5,FALSE),IF(LEN($M48)=2,VLOOKUP(LEFT($M48,1),B43:I50,7,FALSE),""))</f>
        <v>S</v>
      </c>
      <c r="P48" s="410" t="str">
        <f>IF(LEN($M48)=1,VLOOKUP(LEFT($M48,1),B43:I50,6,FALSE),IF(LEN($M48)=2,VLOOKUP(LEFT($M48,1),B43:I50,8,FALSE),""))</f>
        <v>Orla Woodman</v>
      </c>
      <c r="Q48" s="371" t="s">
        <v>276</v>
      </c>
      <c r="R48" s="146" t="str">
        <f t="shared" si="21"/>
        <v/>
      </c>
      <c r="S48" s="927"/>
      <c r="T48" s="927"/>
      <c r="U48" s="354" t="str">
        <f>IF(LEN($S48)=1,VLOOKUP(LEFT($S48,1),B43:I50,5,FALSE),IF(LEN($S48)=2,VLOOKUP(LEFT($S48,1),B43:I50,7,FALSE),""))</f>
        <v/>
      </c>
      <c r="V48" s="410" t="str">
        <f>IF(LEN($S48)=1,VLOOKUP(LEFT($S48,1),B43:I50,6,FALSE),IF(LEN($S48)=2,VLOOKUP(LEFT($S48,1),B43:I50,8,FALSE),""))</f>
        <v/>
      </c>
      <c r="W48" s="417">
        <f t="shared" si="28"/>
        <v>3</v>
      </c>
      <c r="Y48" s="16">
        <v>32</v>
      </c>
      <c r="Z48" s="16" t="str">
        <f t="shared" si="22"/>
        <v>BRAT</v>
      </c>
      <c r="AA48" s="146">
        <f t="shared" si="23"/>
        <v>0</v>
      </c>
      <c r="AC48" s="16" t="str">
        <f t="shared" si="24"/>
        <v>D</v>
      </c>
      <c r="AD48" s="419" t="str">
        <f t="shared" si="24"/>
        <v>Stratford</v>
      </c>
      <c r="AE48" s="419">
        <f>IF(ISNA(MATCH(AC48,N43:N52,0)),0,VLOOKUP(AC48,N43:S52,5,FALSE))</f>
        <v>0</v>
      </c>
      <c r="AF48" s="419" t="str">
        <f>IF(ISNA(MATCH(AC48,T43:T52,0))," ",VLOOKUP(AC48,T43:Y52,5,FALSE))</f>
        <v xml:space="preserve"> </v>
      </c>
      <c r="AG48" s="419" t="str">
        <f>IF(ISNA(MATCH(AC48,L43:L50,0)),0,VLOOKUP(AC48,L43:N50,3,FALSE))</f>
        <v>5.50.2</v>
      </c>
      <c r="AH48" s="419" t="str">
        <f>IF(ISNA(MATCH(AC48,R43:R50,0)),0,VLOOKUP(AC48,R43:T50,3,FALSE))</f>
        <v>5.39.7</v>
      </c>
      <c r="AI48" s="419" t="str">
        <f>IF(ISNA(MATCH(AC48,L43:L50,0)),0,VLOOKUP(AC48,L43:P50,4,FALSE))</f>
        <v>D</v>
      </c>
      <c r="AJ48" s="419" t="str">
        <f>IF(ISNA(MATCH(AC48,R43:R50,0)),0,VLOOKUP(AC48,R43:U50,4,FALSE))</f>
        <v>DD</v>
      </c>
      <c r="AK48" s="32">
        <f t="shared" si="25"/>
        <v>5</v>
      </c>
      <c r="AL48" s="32">
        <f t="shared" si="26"/>
        <v>1</v>
      </c>
      <c r="AM48" s="32">
        <f>IF(ISNA(MATCH(AC48,L43:L50,0)),0,VLOOKUP(AC48,L43:W50,AM$1,FALSE))</f>
        <v>4</v>
      </c>
      <c r="AN48" s="146">
        <f>IF(ISNA(MATCH(AC48,R43:R50,0)),0,VLOOKUP(AC48,R43:W50,AN$1,FALSE))</f>
        <v>8</v>
      </c>
      <c r="AP48" s="927"/>
      <c r="AQ48" s="927"/>
    </row>
    <row r="49" spans="1:47" ht="15.6" x14ac:dyDescent="0.3">
      <c r="A49" s="417">
        <f t="shared" si="27"/>
        <v>37</v>
      </c>
      <c r="B49" s="362" t="str">
        <f>'Event Details'!D$28</f>
        <v>F</v>
      </c>
      <c r="C49" s="381" t="str">
        <f>'Event Details'!E$28</f>
        <v>Tamworth</v>
      </c>
      <c r="D49" s="379"/>
      <c r="E49" s="378"/>
      <c r="F49" s="363" t="str">
        <f>VLOOKUP($B42,IF($H42="F",TeamSheetFemale,TeamSheetMale),$Y49-1,FALSE)</f>
        <v>F</v>
      </c>
      <c r="G49" s="380" t="str">
        <f>VLOOKUP($B42,IF($H42="F",TeamSheetFemale,TeamSheetMale),$Y49,FALSE)</f>
        <v>Freya Armitage</v>
      </c>
      <c r="H49" s="363">
        <f>VLOOKUP($B42,IF($H42="F",TeamSheetFemale,TeamSheetMale),$Y49+1,FALSE)</f>
        <v>0</v>
      </c>
      <c r="I49" s="364">
        <f>VLOOKUP($B42,IF($H42="F",TeamSheetFemale,TeamSheetMale),$Y49+2,FALSE)</f>
        <v>0</v>
      </c>
      <c r="K49" s="341" t="s">
        <v>277</v>
      </c>
      <c r="L49" s="16" t="str">
        <f t="shared" si="20"/>
        <v/>
      </c>
      <c r="M49" s="931"/>
      <c r="N49" s="927"/>
      <c r="O49" s="354" t="str">
        <f>IF(LEN($M49)=1,VLOOKUP(LEFT($M49,1),B43:I50,5,FALSE),IF(LEN($M49)=2,VLOOKUP(LEFT($M49,1),B43:I50,7,FALSE),""))</f>
        <v/>
      </c>
      <c r="P49" s="410" t="str">
        <f>IF(LEN($M49)=1,VLOOKUP(LEFT($M49,1),B43:I50,6,FALSE),IF(LEN($M49)=2,VLOOKUP(LEFT($M49,1),B43:I50,8,FALSE),""))</f>
        <v/>
      </c>
      <c r="Q49" s="371" t="s">
        <v>277</v>
      </c>
      <c r="R49" s="146" t="str">
        <f t="shared" si="21"/>
        <v/>
      </c>
      <c r="S49" s="931"/>
      <c r="T49" s="927"/>
      <c r="U49" s="354" t="str">
        <f>IF(LEN($S49)=1,VLOOKUP(LEFT($S49,1),B43:I50,5,FALSE),IF(LEN($S49)=2,VLOOKUP(LEFT($S49,1),B43:I50,7,FALSE),""))</f>
        <v/>
      </c>
      <c r="V49" s="410" t="str">
        <f>IF(LEN($S49)=1,VLOOKUP(LEFT($S49,1),B43:I50,6,FALSE),IF(LEN($S49)=2,VLOOKUP(LEFT($S49,1),B43:I50,8,FALSE),""))</f>
        <v/>
      </c>
      <c r="W49" s="417">
        <f t="shared" si="28"/>
        <v>2</v>
      </c>
      <c r="Y49" s="16">
        <v>37</v>
      </c>
      <c r="Z49" s="16">
        <f t="shared" si="22"/>
        <v>0</v>
      </c>
      <c r="AA49" s="146">
        <f t="shared" si="23"/>
        <v>0</v>
      </c>
      <c r="AC49" s="16" t="str">
        <f t="shared" si="24"/>
        <v>F</v>
      </c>
      <c r="AD49" s="419" t="str">
        <f t="shared" si="24"/>
        <v>Tamworth</v>
      </c>
      <c r="AE49" s="419">
        <f>IF(ISNA(MATCH(AC49,N41:N50,0)),0,VLOOKUP(AC49,N41:S50,5,FALSE))</f>
        <v>0</v>
      </c>
      <c r="AF49" s="419" t="str">
        <f>IF(ISNA(MATCH(AC49,T41:T50,0))," ",VLOOKUP(AC49,T41:Y50,5,FALSE))</f>
        <v xml:space="preserve"> </v>
      </c>
      <c r="AG49" s="419" t="str">
        <f>IF(ISNA(MATCH(AC49,L43:L50,0)),0,VLOOKUP(AC49,L43:N50,3,FALSE))</f>
        <v>5.18.7</v>
      </c>
      <c r="AH49" s="419">
        <f>IF(ISNA(MATCH(AC49,R43:R50,0)),0,VLOOKUP(AC49,R43:T50,3,FALSE))</f>
        <v>0</v>
      </c>
      <c r="AI49" s="419" t="str">
        <f>IF(ISNA(MATCH(AC49,L43:L50,0)),0,VLOOKUP(AC49,L43:P50,4,FALSE))</f>
        <v>F</v>
      </c>
      <c r="AJ49" s="419">
        <f>IF(ISNA(MATCH(AC49,R43:R50,0)),0,VLOOKUP(AC49,R43:U50,4,FALSE))</f>
        <v>0</v>
      </c>
      <c r="AK49" s="32">
        <f t="shared" si="25"/>
        <v>1</v>
      </c>
      <c r="AL49" s="32">
        <f t="shared" si="26"/>
        <v>0</v>
      </c>
      <c r="AM49" s="32">
        <f>IF(ISNA(MATCH(AC49,L43:L50,0)),0,VLOOKUP(AC49,L43:W50,AM$1,FALSE))</f>
        <v>8</v>
      </c>
      <c r="AN49" s="146">
        <f>IF(ISNA(MATCH(AC49,R43:R50,0)),0,VLOOKUP(AC49,R43:W50,AN$1,FALSE))</f>
        <v>0</v>
      </c>
      <c r="AP49" s="931"/>
      <c r="AQ49" s="927"/>
    </row>
    <row r="50" spans="1:47" ht="16.2" thickBot="1" x14ac:dyDescent="0.35">
      <c r="A50" s="418">
        <f t="shared" si="27"/>
        <v>38</v>
      </c>
      <c r="B50" s="365" t="str">
        <f>'Event Details'!D$29</f>
        <v>Y</v>
      </c>
      <c r="C50" s="366" t="str">
        <f>'Event Details'!E$29</f>
        <v>Worcester</v>
      </c>
      <c r="D50" s="361"/>
      <c r="E50" s="370"/>
      <c r="F50" s="367">
        <f>VLOOKUP($B42,IF($H42="F",TeamSheetFemale,TeamSheetMale),$Y50-1,FALSE)</f>
        <v>0</v>
      </c>
      <c r="G50" s="368">
        <f>VLOOKUP($B42,IF($H42="F",TeamSheetFemale,TeamSheetMale),$Y50,FALSE)</f>
        <v>0</v>
      </c>
      <c r="H50" s="367">
        <f>VLOOKUP($B42,IF($H42="F",TeamSheetFemale,TeamSheetMale),$Y50+1,FALSE)</f>
        <v>0</v>
      </c>
      <c r="I50" s="369">
        <f>VLOOKUP($B42,IF($H42="F",TeamSheetFemale,TeamSheetMale),$Y50+2,FALSE)</f>
        <v>0</v>
      </c>
      <c r="K50" s="346" t="s">
        <v>278</v>
      </c>
      <c r="L50" s="25" t="str">
        <f t="shared" si="20"/>
        <v/>
      </c>
      <c r="M50" s="928"/>
      <c r="N50" s="932"/>
      <c r="O50" s="374" t="str">
        <f>IF(LEN($M50)=1,VLOOKUP(LEFT($M50,1),B43:I50,5,FALSE),IF(LEN($M50)=2,VLOOKUP(LEFT($M50,1),B43:I50,7,FALSE),""))</f>
        <v/>
      </c>
      <c r="P50" s="411" t="str">
        <f>IF(LEN($M50)=1,VLOOKUP(LEFT($M50,1),B43:I50,6,FALSE),IF(LEN($M50)=2,VLOOKUP(LEFT($M50,1),B43:I50,8,FALSE),""))</f>
        <v/>
      </c>
      <c r="Q50" s="407" t="s">
        <v>278</v>
      </c>
      <c r="R50" s="523" t="str">
        <f t="shared" si="21"/>
        <v/>
      </c>
      <c r="S50" s="928"/>
      <c r="T50" s="932"/>
      <c r="U50" s="374" t="str">
        <f>IF(LEN($S50)=1,VLOOKUP(LEFT($S50,1),B43:I50,5,FALSE),IF(LEN($S50)=2,VLOOKUP(LEFT($S50,1),B43:I50,7,FALSE),""))</f>
        <v/>
      </c>
      <c r="V50" s="411" t="str">
        <f>IF(LEN($S50)=1,VLOOKUP(LEFT($S50,1),B43:I50,6,FALSE),IF(LEN($S50)=2,VLOOKUP(LEFT($S50,1),B43:I50,8,FALSE),""))</f>
        <v/>
      </c>
      <c r="W50" s="418">
        <f t="shared" si="28"/>
        <v>1</v>
      </c>
      <c r="Y50" s="25">
        <v>42</v>
      </c>
      <c r="Z50" s="25">
        <f t="shared" si="22"/>
        <v>0</v>
      </c>
      <c r="AA50" s="523">
        <f t="shared" si="23"/>
        <v>0</v>
      </c>
      <c r="AC50" s="25" t="str">
        <f t="shared" si="24"/>
        <v>Y</v>
      </c>
      <c r="AD50" s="624" t="str">
        <f t="shared" si="24"/>
        <v>Worcester</v>
      </c>
      <c r="AE50" s="624">
        <f>IF(ISNA(MATCH(AC50,N42:N51,0)),0,VLOOKUP(AC50,N42:S51,5,FALSE))</f>
        <v>0</v>
      </c>
      <c r="AF50" s="624" t="str">
        <f t="shared" ref="AF50" si="29">IF(ISNA(MATCH(AC50,T42:T51,0))," ",VLOOKUP(AC50,T42:Y51,5,FALSE))</f>
        <v xml:space="preserve"> </v>
      </c>
      <c r="AG50" s="624">
        <f>IF(ISNA(MATCH(AC50,L43:L50,0)),0,VLOOKUP(AC50,L43:N50,3,FALSE))</f>
        <v>0</v>
      </c>
      <c r="AH50" s="624">
        <f>IF(ISNA(MATCH(AC50,R43:R50,0)),0,VLOOKUP(AC50,R43:T50,3,FALSE))</f>
        <v>0</v>
      </c>
      <c r="AI50" s="624">
        <f>IF(ISNA(MATCH(AC50,L43:L50,0)),0,VLOOKUP(AC50,L43:P50,4,FALSE))</f>
        <v>0</v>
      </c>
      <c r="AJ50" s="624">
        <f>IF(ISNA(MATCH(AC50,R43:R50,0)),0,VLOOKUP(AC50,R43:U50,4,FALSE))</f>
        <v>0</v>
      </c>
      <c r="AK50" s="116">
        <f t="shared" si="25"/>
        <v>0</v>
      </c>
      <c r="AL50" s="116">
        <f t="shared" si="26"/>
        <v>0</v>
      </c>
      <c r="AM50" s="116">
        <f>IF(ISNA(MATCH(AC50,L43:L50,0)),0,VLOOKUP(AC50,L43:W50,AM$1,FALSE))</f>
        <v>0</v>
      </c>
      <c r="AN50" s="523">
        <f>IF(ISNA(MATCH(AC50,R43:R50,0)),0,VLOOKUP(AC50,R43:W50,AN$1,FALSE))</f>
        <v>0</v>
      </c>
      <c r="AP50" s="928"/>
      <c r="AQ50" s="932"/>
    </row>
    <row r="51" spans="1:47" ht="15" thickBot="1" x14ac:dyDescent="0.35">
      <c r="K51" s="1207" t="s">
        <v>279</v>
      </c>
      <c r="L51" s="1011"/>
      <c r="M51" s="276"/>
      <c r="N51" s="307"/>
      <c r="R51" s="1011"/>
      <c r="S51" s="276"/>
      <c r="T51" s="307"/>
      <c r="AP51" s="276"/>
      <c r="AQ51" s="307"/>
    </row>
    <row r="52" spans="1:47" x14ac:dyDescent="0.3">
      <c r="B52" s="400" t="s">
        <v>258</v>
      </c>
      <c r="C52" s="398"/>
      <c r="D52" s="401" t="s">
        <v>165</v>
      </c>
      <c r="E52" s="398"/>
      <c r="F52" s="398"/>
      <c r="G52" s="402" t="s">
        <v>259</v>
      </c>
      <c r="H52" s="403" t="s">
        <v>249</v>
      </c>
      <c r="I52" s="404" t="s">
        <v>168</v>
      </c>
      <c r="K52" s="360"/>
      <c r="L52" s="661"/>
      <c r="M52" s="387" t="s">
        <v>260</v>
      </c>
      <c r="N52" s="387" t="s">
        <v>261</v>
      </c>
      <c r="O52" s="387" t="s">
        <v>262</v>
      </c>
      <c r="P52" s="388" t="s">
        <v>75</v>
      </c>
      <c r="Q52" s="389"/>
      <c r="R52" s="657"/>
      <c r="S52" s="387" t="s">
        <v>260</v>
      </c>
      <c r="T52" s="387" t="s">
        <v>261</v>
      </c>
      <c r="U52" s="387" t="s">
        <v>262</v>
      </c>
      <c r="V52" s="388" t="s">
        <v>75</v>
      </c>
      <c r="W52" s="672" t="s">
        <v>76</v>
      </c>
      <c r="Y52" s="414" t="s">
        <v>263</v>
      </c>
      <c r="Z52" s="656" t="s">
        <v>74</v>
      </c>
      <c r="AA52" s="657" t="s">
        <v>75</v>
      </c>
      <c r="AC52" s="665" t="s">
        <v>71</v>
      </c>
      <c r="AD52" s="657" t="s">
        <v>86</v>
      </c>
      <c r="AE52" s="661" t="s">
        <v>149</v>
      </c>
      <c r="AF52" s="661" t="s">
        <v>94</v>
      </c>
      <c r="AG52" s="661" t="s">
        <v>149</v>
      </c>
      <c r="AH52" s="661" t="s">
        <v>94</v>
      </c>
      <c r="AI52" s="661" t="s">
        <v>149</v>
      </c>
      <c r="AJ52" s="661" t="s">
        <v>94</v>
      </c>
      <c r="AK52" s="1332" t="s">
        <v>149</v>
      </c>
      <c r="AL52" s="661" t="s">
        <v>94</v>
      </c>
      <c r="AM52" s="1406" t="s">
        <v>76</v>
      </c>
      <c r="AN52" s="1407"/>
      <c r="AP52" s="387" t="s">
        <v>260</v>
      </c>
      <c r="AQ52" s="387" t="s">
        <v>261</v>
      </c>
      <c r="AS52" s="1218" t="s">
        <v>165</v>
      </c>
      <c r="AT52" s="1219" t="s">
        <v>79</v>
      </c>
      <c r="AU52" s="1220" t="s">
        <v>80</v>
      </c>
    </row>
    <row r="53" spans="1:47" ht="15" thickBot="1" x14ac:dyDescent="0.35">
      <c r="B53" s="405">
        <v>4</v>
      </c>
      <c r="C53" s="399"/>
      <c r="D53" s="385" t="str">
        <f>VLOOKUP($B53,EventOrder,6,FALSE)</f>
        <v xml:space="preserve">1500m (U18/U20) </v>
      </c>
      <c r="E53" s="399"/>
      <c r="F53" s="385"/>
      <c r="G53" s="386" t="str">
        <f>VLOOKUP($B53,EventOrder,4,FALSE)</f>
        <v>U18 Female</v>
      </c>
      <c r="H53" s="396" t="str">
        <f>IF(MID(G53,5,1)="F","F","M")</f>
        <v>F</v>
      </c>
      <c r="I53" s="397">
        <f>VLOOKUP($B53,EventOrder,2,FALSE)</f>
        <v>11.2</v>
      </c>
      <c r="K53" s="377"/>
      <c r="L53" s="667" t="s">
        <v>149</v>
      </c>
      <c r="M53" s="409" t="s">
        <v>264</v>
      </c>
      <c r="N53" s="409" t="s">
        <v>265</v>
      </c>
      <c r="O53" s="390" t="s">
        <v>266</v>
      </c>
      <c r="P53" s="391"/>
      <c r="Q53" s="392"/>
      <c r="R53" s="659" t="s">
        <v>94</v>
      </c>
      <c r="S53" s="409" t="s">
        <v>264</v>
      </c>
      <c r="T53" s="409" t="s">
        <v>265</v>
      </c>
      <c r="U53" s="390" t="s">
        <v>266</v>
      </c>
      <c r="V53" s="391"/>
      <c r="W53" s="671"/>
      <c r="Y53" s="415" t="s">
        <v>167</v>
      </c>
      <c r="Z53" s="658" t="s">
        <v>149</v>
      </c>
      <c r="AA53" s="659" t="s">
        <v>94</v>
      </c>
      <c r="AC53" s="666"/>
      <c r="AD53" s="668"/>
      <c r="AE53" s="768" t="s">
        <v>75</v>
      </c>
      <c r="AF53" s="768" t="s">
        <v>75</v>
      </c>
      <c r="AG53" s="768" t="s">
        <v>267</v>
      </c>
      <c r="AH53" s="768" t="s">
        <v>267</v>
      </c>
      <c r="AI53" s="768" t="s">
        <v>268</v>
      </c>
      <c r="AJ53" s="768" t="s">
        <v>268</v>
      </c>
      <c r="AK53" s="770" t="s">
        <v>269</v>
      </c>
      <c r="AL53" s="768" t="s">
        <v>269</v>
      </c>
      <c r="AM53" s="667" t="s">
        <v>149</v>
      </c>
      <c r="AN53" s="659" t="s">
        <v>94</v>
      </c>
      <c r="AP53" s="409" t="s">
        <v>264</v>
      </c>
      <c r="AQ53" s="409" t="s">
        <v>265</v>
      </c>
      <c r="AS53" s="1221" t="s">
        <v>270</v>
      </c>
      <c r="AT53" s="1222" t="s">
        <v>270</v>
      </c>
      <c r="AU53" s="1223" t="s">
        <v>270</v>
      </c>
    </row>
    <row r="54" spans="1:47" ht="15.6" x14ac:dyDescent="0.3">
      <c r="A54" s="416">
        <f>(B53*10)+1</f>
        <v>41</v>
      </c>
      <c r="B54" s="362" t="str">
        <f>'Event Details'!D$22</f>
        <v>S</v>
      </c>
      <c r="C54" s="381" t="str">
        <f>'Event Details'!E$22</f>
        <v>BRAT</v>
      </c>
      <c r="D54" s="379"/>
      <c r="E54" s="378"/>
      <c r="F54" s="363" t="str">
        <f>VLOOKUP($B53,IF($H53="F",TeamSheetFemale,TeamSheetMale),$Y54-1,FALSE)</f>
        <v>S</v>
      </c>
      <c r="G54" s="380" t="str">
        <f>VLOOKUP($B53,IF($H53="F",TeamSheetFemale,TeamSheetMale),$Y54,FALSE)</f>
        <v>Alba Smith-Pena</v>
      </c>
      <c r="H54" s="363">
        <f>VLOOKUP($B53,IF($H53="F",TeamSheetFemale,TeamSheetMale),$Y54+1,FALSE)</f>
        <v>0</v>
      </c>
      <c r="I54" s="364">
        <f>VLOOKUP($B53,IF($H53="F",TeamSheetFemale,TeamSheetMale),$Y54+2,FALSE)</f>
        <v>0</v>
      </c>
      <c r="K54" s="393" t="s">
        <v>271</v>
      </c>
      <c r="L54" s="16" t="str">
        <f t="shared" ref="L54:L61" si="30">LEFT(M54,1)</f>
        <v>D</v>
      </c>
      <c r="M54" s="926" t="s">
        <v>136</v>
      </c>
      <c r="N54" s="926" t="s">
        <v>983</v>
      </c>
      <c r="O54" s="394" t="str">
        <f>IF(LEN($M54)=1,VLOOKUP(LEFT($M54,1),B54:I61,5,FALSE),IF(LEN($M54)=2,VLOOKUP(LEFT($M54,1),B54:I61,7,FALSE),""))</f>
        <v>D</v>
      </c>
      <c r="P54" s="395" t="str">
        <f>IF(LEN($M54)=1,VLOOKUP(LEFT($M54,1),B54:I61,6,FALSE),IF(LEN($M54)=2,VLOOKUP(LEFT($M54,1),B54:I61,8,FALSE),""))</f>
        <v>Marijke Tear-Verweij</v>
      </c>
      <c r="Q54" s="393" t="s">
        <v>271</v>
      </c>
      <c r="R54" s="146" t="str">
        <f t="shared" ref="R54:R61" si="31">LEFT(S54,1)</f>
        <v/>
      </c>
      <c r="S54" s="926"/>
      <c r="T54" s="926"/>
      <c r="U54" s="394" t="str">
        <f>IF(LEN($S54)=1,VLOOKUP(LEFT($S54,1),B54:I61,5,FALSE),IF(LEN($S54)=2,VLOOKUP(LEFT($S54,1),B54:I61,7,FALSE),""))</f>
        <v/>
      </c>
      <c r="V54" s="395" t="str">
        <f>IF(LEN($S54)=1,VLOOKUP(LEFT($S54,1),B54:I61,6,FALSE),IF(LEN($S54)=2,VLOOKUP(LEFT($S54,1),B54:I61,8,FALSE),""))</f>
        <v/>
      </c>
      <c r="W54" s="417">
        <f>AN$6</f>
        <v>8</v>
      </c>
      <c r="Y54" s="416">
        <v>7</v>
      </c>
      <c r="Z54" s="653" t="str">
        <f t="shared" ref="Z54:Z61" si="32">IF(LEN(M54)&gt;0,VLOOKUP(LEFT(M54,1),ShortName,5,FALSE),0)</f>
        <v>Strat</v>
      </c>
      <c r="AA54" s="138">
        <f t="shared" ref="AA54:AA61" si="33">IF(LEN(S54)&gt;0,VLOOKUP(LEFT(S54,1),ShortName,5,FALSE),0)</f>
        <v>0</v>
      </c>
      <c r="AC54" s="653" t="str">
        <f t="shared" ref="AC54:AD61" si="34">B54</f>
        <v>S</v>
      </c>
      <c r="AD54" s="635" t="str">
        <f t="shared" si="34"/>
        <v>BRAT</v>
      </c>
      <c r="AE54" s="635">
        <f>IF(ISNA(MATCH(AC54,N54:N63,0)),0,VLOOKUP(AC54,N54:S63,5,FALSE))</f>
        <v>0</v>
      </c>
      <c r="AF54" s="635" t="str">
        <f>IF(ISNA(MATCH(AC54,T54:T63,0))," ",VLOOKUP(AC54,T54:Y63,5,FALSE))</f>
        <v xml:space="preserve"> </v>
      </c>
      <c r="AG54" s="635">
        <f>IF(ISNA(MATCH(AC54,L54:L61,0)),0,VLOOKUP(AC54,L54:N61,3,FALSE))</f>
        <v>0</v>
      </c>
      <c r="AH54" s="635">
        <f>IF(ISNA(MATCH(AC54,R54:R61,0)),0,VLOOKUP(AC54,R54:T61,3,FALSE))</f>
        <v>0</v>
      </c>
      <c r="AI54" s="635">
        <f>IF(ISNA(MATCH(AC54,L54:L61,0)),0,VLOOKUP(AC54,L54:P61,4,FALSE))</f>
        <v>0</v>
      </c>
      <c r="AJ54" s="635">
        <f>IF(ISNA(MATCH(AC54,R54:R61,0)),0,VLOOKUP(AC54,R54:U61,4,FALSE))</f>
        <v>0</v>
      </c>
      <c r="AK54" s="49">
        <f t="shared" ref="AK54:AK61" si="35">IF(AM54=0,0,AN$6-(AM54-1))</f>
        <v>0</v>
      </c>
      <c r="AL54" s="49">
        <f t="shared" ref="AL54:AL61" si="36">IF(AN54=0,0,AN$6-(AN54-1))</f>
        <v>0</v>
      </c>
      <c r="AM54" s="49">
        <f>IF(ISNA(MATCH(AC54,L54:L61,0)),0,VLOOKUP(AC54,L54:W61,AM$1,FALSE))</f>
        <v>0</v>
      </c>
      <c r="AN54" s="138">
        <f>IF(ISNA(MATCH(AC54,R54:R61,0)),0,VLOOKUP(AC54,R54:W61,AN$1,FALSE))</f>
        <v>0</v>
      </c>
      <c r="AP54" s="926"/>
      <c r="AQ54" s="926"/>
      <c r="AS54" s="32">
        <f>IF(LEN(N54)&gt;0,1,0)</f>
        <v>1</v>
      </c>
      <c r="AT54" s="32">
        <f>IF(AND(AS54=1,H53="M"),1,0)</f>
        <v>0</v>
      </c>
      <c r="AU54" s="32">
        <f>IF(AND(AS54=1,H53="F"),1,0)</f>
        <v>1</v>
      </c>
    </row>
    <row r="55" spans="1:47" ht="15.6" x14ac:dyDescent="0.3">
      <c r="A55" s="417">
        <f>A54+1</f>
        <v>42</v>
      </c>
      <c r="B55" s="362" t="str">
        <f>'Event Details'!D$23</f>
        <v>U</v>
      </c>
      <c r="C55" s="381" t="str">
        <f>'Event Details'!E$23</f>
        <v>Kidder &amp; Stourport</v>
      </c>
      <c r="D55" s="379"/>
      <c r="E55" s="378"/>
      <c r="F55" s="363">
        <f>VLOOKUP($B53,IF($H53="F",TeamSheetFemale,TeamSheetMale),$Y55-1,FALSE)</f>
        <v>0</v>
      </c>
      <c r="G55" s="380">
        <f>VLOOKUP($B53,IF($H53="F",TeamSheetFemale,TeamSheetMale),$Y55,FALSE)</f>
        <v>0</v>
      </c>
      <c r="H55" s="363">
        <f>VLOOKUP($B53,IF($H53="F",TeamSheetFemale,TeamSheetMale),$Y55+1,FALSE)</f>
        <v>0</v>
      </c>
      <c r="I55" s="364">
        <f>VLOOKUP($B53,IF($H53="F",TeamSheetFemale,TeamSheetMale),$Y55+2,FALSE)</f>
        <v>0</v>
      </c>
      <c r="K55" s="341" t="s">
        <v>272</v>
      </c>
      <c r="L55" s="16" t="str">
        <f t="shared" si="30"/>
        <v>G</v>
      </c>
      <c r="M55" s="927" t="s">
        <v>110</v>
      </c>
      <c r="N55" s="927" t="s">
        <v>984</v>
      </c>
      <c r="O55" s="353" t="str">
        <f>IF(LEN($M55)=1,VLOOKUP(LEFT($M55,1),B54:I61,5,FALSE),IF(LEN($M55)=2,VLOOKUP(LEFT($M55,1),B54:I61,7,FALSE),""))</f>
        <v>G</v>
      </c>
      <c r="P55" s="373" t="str">
        <f>IF(LEN($M55)=1,VLOOKUP(LEFT($M55,1),B54:I61,6,FALSE),IF(LEN($M55)=2,VLOOKUP(LEFT($M55,1),B54:I61,8,FALSE),""))</f>
        <v>Katie Straw</v>
      </c>
      <c r="Q55" s="341" t="s">
        <v>272</v>
      </c>
      <c r="R55" s="146" t="str">
        <f t="shared" si="31"/>
        <v/>
      </c>
      <c r="S55" s="927"/>
      <c r="T55" s="927"/>
      <c r="U55" s="353" t="str">
        <f>IF(LEN($S55)=1,VLOOKUP(LEFT($S55,1),B54:I61,5,FALSE),IF(LEN($S55)=2,VLOOKUP(LEFT($S55,1),B54:I61,7,FALSE),""))</f>
        <v/>
      </c>
      <c r="V55" s="373" t="str">
        <f>IF(LEN($S55)=1,VLOOKUP(LEFT($S55,1),B54:I61,6,FALSE),IF(LEN($S55)=2,VLOOKUP(LEFT($S55,1),B54:I61,8,FALSE),""))</f>
        <v/>
      </c>
      <c r="W55" s="417">
        <f>W54-1</f>
        <v>7</v>
      </c>
      <c r="Y55" s="417">
        <v>12</v>
      </c>
      <c r="Z55" s="16" t="str">
        <f t="shared" si="32"/>
        <v>Royal</v>
      </c>
      <c r="AA55" s="146">
        <f t="shared" si="33"/>
        <v>0</v>
      </c>
      <c r="AC55" s="16" t="str">
        <f t="shared" si="34"/>
        <v>U</v>
      </c>
      <c r="AD55" s="419" t="str">
        <f t="shared" si="34"/>
        <v>Kidder &amp; Stourport</v>
      </c>
      <c r="AE55" s="419">
        <f>IF(ISNA(MATCH(AC55,N54:N63,0)),0,VLOOKUP(AC55,N54:S63,5,FALSE))</f>
        <v>0</v>
      </c>
      <c r="AF55" s="419" t="str">
        <f>IF(ISNA(MATCH(AC55,T54:T63,0))," ",VLOOKUP(AC55,T54:Y63,5,FALSE))</f>
        <v xml:space="preserve"> </v>
      </c>
      <c r="AG55" s="419">
        <f>IF(ISNA(MATCH(AC55,L54:L61,0)),0,VLOOKUP(AC55,L54:N61,3,FALSE))</f>
        <v>0</v>
      </c>
      <c r="AH55" s="419">
        <f>IF(ISNA(MATCH(AC55,R54:R61,0)),0,VLOOKUP(AC55,R54:T61,3,FALSE))</f>
        <v>0</v>
      </c>
      <c r="AI55" s="419">
        <f>IF(ISNA(MATCH(AC55,L54:L61,0)),0,VLOOKUP(AC55,L54:P61,4,FALSE))</f>
        <v>0</v>
      </c>
      <c r="AJ55" s="419">
        <f>IF(ISNA(MATCH(AC55,R54:R61,0)),0,VLOOKUP(AC55,R54:U61,4,FALSE))</f>
        <v>0</v>
      </c>
      <c r="AK55" s="32">
        <f t="shared" si="35"/>
        <v>0</v>
      </c>
      <c r="AL55" s="32">
        <f t="shared" si="36"/>
        <v>0</v>
      </c>
      <c r="AM55" s="32">
        <f>IF(ISNA(MATCH(AC55,L54:L61,0)),0,VLOOKUP(AC55,L54:W61,AM$1,FALSE))</f>
        <v>0</v>
      </c>
      <c r="AN55" s="146">
        <f>IF(ISNA(MATCH(AC55,R54:R61,0)),0,VLOOKUP(AC55,R54:W61,AN$1,FALSE))</f>
        <v>0</v>
      </c>
      <c r="AP55" s="927"/>
      <c r="AQ55" s="927"/>
    </row>
    <row r="56" spans="1:47" ht="15.6" x14ac:dyDescent="0.3">
      <c r="A56" s="417">
        <f t="shared" ref="A56:A61" si="37">A55+1</f>
        <v>43</v>
      </c>
      <c r="B56" s="362" t="str">
        <f>'Event Details'!D$24</f>
        <v>G</v>
      </c>
      <c r="C56" s="381" t="str">
        <f>'Event Details'!E$24</f>
        <v>Royal Sutton</v>
      </c>
      <c r="D56" s="379"/>
      <c r="E56" s="378"/>
      <c r="F56" s="363" t="str">
        <f>VLOOKUP($B53,IF($H53="F",TeamSheetFemale,TeamSheetMale),$Y56-1,FALSE)</f>
        <v>G</v>
      </c>
      <c r="G56" s="380" t="str">
        <f>VLOOKUP($B53,IF($H53="F",TeamSheetFemale,TeamSheetMale),$Y56,FALSE)</f>
        <v>Katie Straw</v>
      </c>
      <c r="H56" s="363" t="str">
        <f>VLOOKUP($B53,IF($H53="F",TeamSheetFemale,TeamSheetMale),$Y56+1,FALSE)</f>
        <v>GG</v>
      </c>
      <c r="I56" s="364">
        <f>VLOOKUP($B53,IF($H53="F",TeamSheetFemale,TeamSheetMale),$Y56+2,FALSE)</f>
        <v>0</v>
      </c>
      <c r="K56" s="341" t="s">
        <v>273</v>
      </c>
      <c r="L56" s="16" t="str">
        <f t="shared" si="30"/>
        <v/>
      </c>
      <c r="M56" s="927"/>
      <c r="N56" s="927"/>
      <c r="O56" s="353" t="str">
        <f>IF(LEN($M56)=1,VLOOKUP(LEFT($M56,1),B54:I61,5,FALSE),IF(LEN($M56)=2,VLOOKUP(LEFT($M56,1),B54:I61,7,FALSE),""))</f>
        <v/>
      </c>
      <c r="P56" s="373" t="str">
        <f>IF(LEN($M56)=1,VLOOKUP(LEFT($M56,1),B54:I61,6,FALSE),IF(LEN($M56)=2,VLOOKUP(LEFT($M56,1),B54:I61,8,FALSE),""))</f>
        <v/>
      </c>
      <c r="Q56" s="341" t="s">
        <v>273</v>
      </c>
      <c r="R56" s="146" t="str">
        <f t="shared" si="31"/>
        <v/>
      </c>
      <c r="S56" s="927"/>
      <c r="T56" s="927"/>
      <c r="U56" s="353" t="str">
        <f>IF(LEN($S56)=1,VLOOKUP(LEFT($S56,1),B54:I61,5,FALSE),IF(LEN($S56)=2,VLOOKUP(LEFT($S56,1),B54:I61,7,FALSE),""))</f>
        <v/>
      </c>
      <c r="V56" s="373" t="str">
        <f>IF(LEN($S56)=1,VLOOKUP(LEFT($S56,1),B54:I61,6,FALSE),IF(LEN($S56)=2,VLOOKUP(LEFT($S56,1),B54:I61,8,FALSE),""))</f>
        <v/>
      </c>
      <c r="W56" s="417">
        <f t="shared" ref="W56:W61" si="38">W55-1</f>
        <v>6</v>
      </c>
      <c r="Y56" s="417">
        <v>17</v>
      </c>
      <c r="Z56" s="16">
        <f t="shared" si="32"/>
        <v>0</v>
      </c>
      <c r="AA56" s="146">
        <f t="shared" si="33"/>
        <v>0</v>
      </c>
      <c r="AB56" s="32"/>
      <c r="AC56" s="16" t="str">
        <f t="shared" si="34"/>
        <v>G</v>
      </c>
      <c r="AD56" s="419" t="str">
        <f t="shared" si="34"/>
        <v>Royal Sutton</v>
      </c>
      <c r="AE56" s="419">
        <f>IF(ISNA(MATCH(AC56,N54:N63,0)),0,VLOOKUP(AC56,N54:S63,5,FALSE))</f>
        <v>0</v>
      </c>
      <c r="AF56" s="419" t="str">
        <f>IF(ISNA(MATCH(AC56,T54:T63,0))," ",VLOOKUP(AC56,T54:Y63,5,FALSE))</f>
        <v xml:space="preserve"> </v>
      </c>
      <c r="AG56" s="419" t="str">
        <f>IF(ISNA(MATCH(AC56,L54:L61,0)),0,VLOOKUP(AC56,L54:N61,3,FALSE))</f>
        <v>5.35.9</v>
      </c>
      <c r="AH56" s="419">
        <f>IF(ISNA(MATCH(AC56,R54:R61,0)),0,VLOOKUP(AC56,R54:T61,3,FALSE))</f>
        <v>0</v>
      </c>
      <c r="AI56" s="419" t="str">
        <f>IF(ISNA(MATCH(AC56,L54:L61,0)),0,VLOOKUP(AC56,L54:P61,4,FALSE))</f>
        <v>G</v>
      </c>
      <c r="AJ56" s="419">
        <f>IF(ISNA(MATCH(AC56,R54:R61,0)),0,VLOOKUP(AC56,R54:U61,4,FALSE))</f>
        <v>0</v>
      </c>
      <c r="AK56" s="32">
        <f t="shared" si="35"/>
        <v>2</v>
      </c>
      <c r="AL56" s="32">
        <f t="shared" si="36"/>
        <v>0</v>
      </c>
      <c r="AM56" s="32">
        <f>IF(ISNA(MATCH(AC56,L54:L61,0)),0,VLOOKUP(AC56,L54:W61,AM$1,FALSE))</f>
        <v>7</v>
      </c>
      <c r="AN56" s="146">
        <f>IF(ISNA(MATCH(AC56,R54:R61,0)),0,VLOOKUP(AC56,R54:W61,AN$1,FALSE))</f>
        <v>0</v>
      </c>
      <c r="AP56" s="927"/>
      <c r="AQ56" s="927"/>
    </row>
    <row r="57" spans="1:47" ht="15.6" x14ac:dyDescent="0.3">
      <c r="A57" s="417">
        <f t="shared" si="37"/>
        <v>44</v>
      </c>
      <c r="B57" s="362" t="str">
        <f>'Event Details'!D$25</f>
        <v>R</v>
      </c>
      <c r="C57" s="381" t="str">
        <f>'Event Details'!E$25</f>
        <v>Rugby &amp; N'hampton</v>
      </c>
      <c r="D57" s="379"/>
      <c r="E57" s="378"/>
      <c r="F57" s="363" t="str">
        <f>VLOOKUP($B53,IF($H53="F",TeamSheetFemale,TeamSheetMale),$Y57-1,FALSE)</f>
        <v>R</v>
      </c>
      <c r="G57" s="380">
        <f>VLOOKUP($B53,IF($H53="F",TeamSheetFemale,TeamSheetMale),$Y57,FALSE)</f>
        <v>0</v>
      </c>
      <c r="H57" s="363" t="str">
        <f>VLOOKUP($B53,IF($H53="F",TeamSheetFemale,TeamSheetMale),$Y57+1,FALSE)</f>
        <v>RR</v>
      </c>
      <c r="I57" s="364">
        <f>VLOOKUP($B53,IF($H53="F",TeamSheetFemale,TeamSheetMale),$Y57+2,FALSE)</f>
        <v>0</v>
      </c>
      <c r="K57" s="341" t="s">
        <v>274</v>
      </c>
      <c r="L57" s="16" t="str">
        <f t="shared" si="30"/>
        <v/>
      </c>
      <c r="M57" s="927"/>
      <c r="N57" s="927"/>
      <c r="O57" s="353" t="str">
        <f>IF(LEN($M57)=1,VLOOKUP(LEFT($M57,1),B54:I61,5,FALSE),IF(LEN($M57)=2,VLOOKUP(LEFT($M57,1),B54:I61,7,FALSE),""))</f>
        <v/>
      </c>
      <c r="P57" s="373" t="str">
        <f>IF(LEN($M57)=1,VLOOKUP(LEFT($M57,1),B54:I61,6,FALSE),IF(LEN($M57)=2,VLOOKUP(LEFT($M57,1),B54:I61,8,FALSE),""))</f>
        <v/>
      </c>
      <c r="Q57" s="341" t="s">
        <v>274</v>
      </c>
      <c r="R57" s="146" t="str">
        <f t="shared" si="31"/>
        <v/>
      </c>
      <c r="S57" s="927"/>
      <c r="T57" s="927"/>
      <c r="U57" s="353" t="str">
        <f>IF(LEN($S57)=1,VLOOKUP(LEFT($S57,1),B54:I61,5,FALSE),IF(LEN($S57)=2,VLOOKUP(LEFT($S57,1),B54:I61,7,FALSE),""))</f>
        <v/>
      </c>
      <c r="V57" s="373" t="str">
        <f>IF(LEN($S57)=1,VLOOKUP(LEFT($S57,1),B54:I61,6,FALSE),IF(LEN($S57)=2,VLOOKUP(LEFT($S57,1),B54:I61,8,FALSE),""))</f>
        <v/>
      </c>
      <c r="W57" s="417">
        <f t="shared" si="38"/>
        <v>5</v>
      </c>
      <c r="Y57" s="417">
        <v>22</v>
      </c>
      <c r="Z57" s="16">
        <f t="shared" si="32"/>
        <v>0</v>
      </c>
      <c r="AA57" s="146">
        <f t="shared" si="33"/>
        <v>0</v>
      </c>
      <c r="AB57" s="32"/>
      <c r="AC57" s="16" t="str">
        <f t="shared" si="34"/>
        <v>R</v>
      </c>
      <c r="AD57" s="419" t="str">
        <f t="shared" si="34"/>
        <v>Rugby &amp; N'hampton</v>
      </c>
      <c r="AE57" s="419">
        <f>IF(ISNA(MATCH(AC57,N54:N63,0)),0,VLOOKUP(AC57,N54:S63,5,FALSE))</f>
        <v>0</v>
      </c>
      <c r="AF57" s="419" t="str">
        <f>IF(ISNA(MATCH(AC57,T54:T63,0))," ",VLOOKUP(AC57,T54:Y63,5,FALSE))</f>
        <v xml:space="preserve"> </v>
      </c>
      <c r="AG57" s="419">
        <f>IF(ISNA(MATCH(AC57,L54:L61,0)),0,VLOOKUP(AC57,L54:N61,3,FALSE))</f>
        <v>0</v>
      </c>
      <c r="AH57" s="419">
        <f>IF(ISNA(MATCH(AC57,R54:R61,0)),0,VLOOKUP(AC57,R54:T61,3,FALSE))</f>
        <v>0</v>
      </c>
      <c r="AI57" s="419">
        <f>IF(ISNA(MATCH(AC57,L54:L61,0)),0,VLOOKUP(AC57,L54:P61,4,FALSE))</f>
        <v>0</v>
      </c>
      <c r="AJ57" s="419">
        <f>IF(ISNA(MATCH(AC57,R54:R61,0)),0,VLOOKUP(AC57,R54:U61,4,FALSE))</f>
        <v>0</v>
      </c>
      <c r="AK57" s="32">
        <f t="shared" si="35"/>
        <v>0</v>
      </c>
      <c r="AL57" s="32">
        <f t="shared" si="36"/>
        <v>0</v>
      </c>
      <c r="AM57" s="32">
        <f>IF(ISNA(MATCH(AC57,L54:L61,0)),0,VLOOKUP(AC57,L54:W61,AM$1,FALSE))</f>
        <v>0</v>
      </c>
      <c r="AN57" s="146">
        <f>IF(ISNA(MATCH(AC57,R54:R61,0)),0,VLOOKUP(AC57,R54:W61,AN$1,FALSE))</f>
        <v>0</v>
      </c>
      <c r="AP57" s="927"/>
      <c r="AQ57" s="927"/>
    </row>
    <row r="58" spans="1:47" ht="15.6" x14ac:dyDescent="0.3">
      <c r="A58" s="417">
        <f t="shared" si="37"/>
        <v>45</v>
      </c>
      <c r="B58" s="362" t="str">
        <f>'Event Details'!D$26</f>
        <v>M</v>
      </c>
      <c r="C58" s="381" t="str">
        <f>'Event Details'!E$26</f>
        <v>Solihull &amp; S.Heath</v>
      </c>
      <c r="D58" s="379"/>
      <c r="E58" s="378"/>
      <c r="F58" s="363">
        <f>VLOOKUP($B53,IF($H53="F",TeamSheetFemale,TeamSheetMale),$Y58-1,FALSE)</f>
        <v>0</v>
      </c>
      <c r="G58" s="380">
        <f>VLOOKUP($B53,IF($H53="F",TeamSheetFemale,TeamSheetMale),$Y58,FALSE)</f>
        <v>0</v>
      </c>
      <c r="H58" s="363">
        <f>VLOOKUP($B53,IF($H53="F",TeamSheetFemale,TeamSheetMale),$Y58+1,FALSE)</f>
        <v>0</v>
      </c>
      <c r="I58" s="364">
        <f>VLOOKUP($B53,IF($H53="F",TeamSheetFemale,TeamSheetMale),$Y58+2,FALSE)</f>
        <v>0</v>
      </c>
      <c r="K58" s="341" t="s">
        <v>275</v>
      </c>
      <c r="L58" s="16" t="str">
        <f t="shared" si="30"/>
        <v/>
      </c>
      <c r="M58" s="927"/>
      <c r="N58" s="927"/>
      <c r="O58" s="353" t="str">
        <f>IF(LEN($M58)=1,VLOOKUP(LEFT($M58,1),B54:I61,5,FALSE),IF(LEN($M58)=2,VLOOKUP(LEFT($M58,1),B54:I61,7,FALSE),""))</f>
        <v/>
      </c>
      <c r="P58" s="373" t="str">
        <f>IF(LEN($M58)=1,VLOOKUP(LEFT($M58,1),B54:I61,6,FALSE),IF(LEN($M58)=2,VLOOKUP(LEFT($M58,1),B54:I61,8,FALSE),""))</f>
        <v/>
      </c>
      <c r="Q58" s="341" t="s">
        <v>275</v>
      </c>
      <c r="R58" s="146" t="str">
        <f t="shared" si="31"/>
        <v/>
      </c>
      <c r="S58" s="927"/>
      <c r="T58" s="927"/>
      <c r="U58" s="353" t="str">
        <f>IF(LEN($S58)=1,VLOOKUP(LEFT($S58,1),B54:I61,5,FALSE),IF(LEN($S58)=2,VLOOKUP(LEFT($S58,1),B54:I61,7,FALSE),""))</f>
        <v/>
      </c>
      <c r="V58" s="373" t="str">
        <f>IF(LEN($S58)=1,VLOOKUP(LEFT($S58,1),B54:I61,6,FALSE),IF(LEN($S58)=2,VLOOKUP(LEFT($S58,1),B54:I61,8,FALSE),""))</f>
        <v/>
      </c>
      <c r="W58" s="417">
        <f t="shared" si="38"/>
        <v>4</v>
      </c>
      <c r="Y58" s="417">
        <v>27</v>
      </c>
      <c r="Z58" s="16">
        <f t="shared" si="32"/>
        <v>0</v>
      </c>
      <c r="AA58" s="146">
        <f t="shared" si="33"/>
        <v>0</v>
      </c>
      <c r="AB58" s="32"/>
      <c r="AC58" s="16" t="str">
        <f t="shared" si="34"/>
        <v>M</v>
      </c>
      <c r="AD58" s="419" t="str">
        <f t="shared" si="34"/>
        <v>Solihull &amp; S.Heath</v>
      </c>
      <c r="AE58" s="419">
        <f>IF(ISNA(MATCH(AC58,N54:N63,0)),0,VLOOKUP(AC58,N54:S63,5,FALSE))</f>
        <v>0</v>
      </c>
      <c r="AF58" s="419" t="str">
        <f>IF(ISNA(MATCH(AC58,T54:T63,0))," ",VLOOKUP(AC58,T54:Y63,5,FALSE))</f>
        <v xml:space="preserve"> </v>
      </c>
      <c r="AG58" s="419">
        <f>IF(ISNA(MATCH(AC58,L54:L61,0)),0,VLOOKUP(AC58,L54:N61,3,FALSE))</f>
        <v>0</v>
      </c>
      <c r="AH58" s="419">
        <f>IF(ISNA(MATCH(AC58,R54:R61,0)),0,VLOOKUP(AC58,R54:T61,3,FALSE))</f>
        <v>0</v>
      </c>
      <c r="AI58" s="419">
        <f>IF(ISNA(MATCH(AC58,L54:L61,0)),0,VLOOKUP(AC58,L54:P61,4,FALSE))</f>
        <v>0</v>
      </c>
      <c r="AJ58" s="419">
        <f>IF(ISNA(MATCH(AC58,R54:R61,0)),0,VLOOKUP(AC58,R54:U61,4,FALSE))</f>
        <v>0</v>
      </c>
      <c r="AK58" s="32">
        <f t="shared" si="35"/>
        <v>0</v>
      </c>
      <c r="AL58" s="32">
        <f t="shared" si="36"/>
        <v>0</v>
      </c>
      <c r="AM58" s="32">
        <f>IF(ISNA(MATCH(AC58,L54:L61,0)),0,VLOOKUP(AC58,L54:W61,AM$1,FALSE))</f>
        <v>0</v>
      </c>
      <c r="AN58" s="146">
        <f>IF(ISNA(MATCH(AC58,R54:R61,0)),0,VLOOKUP(AC58,R54:W61,AN$1,FALSE))</f>
        <v>0</v>
      </c>
      <c r="AP58" s="927"/>
      <c r="AQ58" s="927"/>
    </row>
    <row r="59" spans="1:47" ht="15.6" x14ac:dyDescent="0.3">
      <c r="A59" s="417">
        <f t="shared" si="37"/>
        <v>46</v>
      </c>
      <c r="B59" s="362" t="str">
        <f>'Event Details'!D$27</f>
        <v>D</v>
      </c>
      <c r="C59" s="381" t="str">
        <f>'Event Details'!E$27</f>
        <v>Stratford</v>
      </c>
      <c r="D59" s="379"/>
      <c r="E59" s="378"/>
      <c r="F59" s="363" t="str">
        <f>VLOOKUP($B53,IF($H53="F",TeamSheetFemale,TeamSheetMale),$Y59-1,FALSE)</f>
        <v>D</v>
      </c>
      <c r="G59" s="380" t="str">
        <f>VLOOKUP($B53,IF($H53="F",TeamSheetFemale,TeamSheetMale),$Y59,FALSE)</f>
        <v>Marijke Tear-Verweij</v>
      </c>
      <c r="H59" s="363">
        <f>VLOOKUP($B53,IF($H53="F",TeamSheetFemale,TeamSheetMale),$Y59+1,FALSE)</f>
        <v>0</v>
      </c>
      <c r="I59" s="364">
        <f>VLOOKUP($B53,IF($H53="F",TeamSheetFemale,TeamSheetMale),$Y59+2,FALSE)</f>
        <v>0</v>
      </c>
      <c r="K59" s="341" t="s">
        <v>276</v>
      </c>
      <c r="L59" s="16" t="str">
        <f t="shared" si="30"/>
        <v/>
      </c>
      <c r="M59" s="927"/>
      <c r="N59" s="927"/>
      <c r="O59" s="353" t="str">
        <f>IF(LEN($M59)=1,VLOOKUP(LEFT($M59,1),B54:I61,5,FALSE),IF(LEN($M59)=2,VLOOKUP(LEFT($M59,1),B54:I61,7,FALSE),""))</f>
        <v/>
      </c>
      <c r="P59" s="373" t="str">
        <f>IF(LEN($M59)=1,VLOOKUP(LEFT($M59,1),B54:I61,6,FALSE),IF(LEN($M59)=2,VLOOKUP(LEFT($M59,1),B54:I61,8,FALSE),""))</f>
        <v/>
      </c>
      <c r="Q59" s="341" t="s">
        <v>276</v>
      </c>
      <c r="R59" s="146" t="str">
        <f t="shared" si="31"/>
        <v/>
      </c>
      <c r="S59" s="927"/>
      <c r="T59" s="927"/>
      <c r="U59" s="353" t="str">
        <f>IF(LEN($S59)=1,VLOOKUP(LEFT($S59,1),B54:I61,5,FALSE),IF(LEN($S59)=2,VLOOKUP(LEFT($S59,1),B54:I61,7,FALSE),""))</f>
        <v/>
      </c>
      <c r="V59" s="373" t="str">
        <f>IF(LEN($S59)=1,VLOOKUP(LEFT($S59,1),B54:I61,6,FALSE),IF(LEN($S59)=2,VLOOKUP(LEFT($S59,1),B54:I61,8,FALSE),""))</f>
        <v/>
      </c>
      <c r="W59" s="417">
        <f t="shared" si="38"/>
        <v>3</v>
      </c>
      <c r="Y59" s="417">
        <v>32</v>
      </c>
      <c r="Z59" s="16">
        <f t="shared" si="32"/>
        <v>0</v>
      </c>
      <c r="AA59" s="146">
        <f t="shared" si="33"/>
        <v>0</v>
      </c>
      <c r="AB59" s="32"/>
      <c r="AC59" s="16" t="str">
        <f t="shared" si="34"/>
        <v>D</v>
      </c>
      <c r="AD59" s="419" t="str">
        <f t="shared" si="34"/>
        <v>Stratford</v>
      </c>
      <c r="AE59" s="419">
        <f>IF(ISNA(MATCH(AC59,N54:N63,0)),0,VLOOKUP(AC59,N54:S63,5,FALSE))</f>
        <v>0</v>
      </c>
      <c r="AF59" s="419" t="str">
        <f>IF(ISNA(MATCH(AC59,T54:T63,0))," ",VLOOKUP(AC59,T54:Y63,5,FALSE))</f>
        <v xml:space="preserve"> </v>
      </c>
      <c r="AG59" s="419" t="str">
        <f>IF(ISNA(MATCH(AC59,L54:L61,0)),0,VLOOKUP(AC59,L54:N61,3,FALSE))</f>
        <v>5.15.6</v>
      </c>
      <c r="AH59" s="419">
        <f>IF(ISNA(MATCH(AC59,R54:R61,0)),0,VLOOKUP(AC59,R54:T61,3,FALSE))</f>
        <v>0</v>
      </c>
      <c r="AI59" s="419" t="str">
        <f>IF(ISNA(MATCH(AC59,L54:L61,0)),0,VLOOKUP(AC59,L54:P61,4,FALSE))</f>
        <v>D</v>
      </c>
      <c r="AJ59" s="419">
        <f>IF(ISNA(MATCH(AC59,R54:R61,0)),0,VLOOKUP(AC59,R54:U61,4,FALSE))</f>
        <v>0</v>
      </c>
      <c r="AK59" s="32">
        <f t="shared" si="35"/>
        <v>1</v>
      </c>
      <c r="AL59" s="32">
        <f t="shared" si="36"/>
        <v>0</v>
      </c>
      <c r="AM59" s="32">
        <f>IF(ISNA(MATCH(AC59,L54:L61,0)),0,VLOOKUP(AC59,L54:W61,AM$1,FALSE))</f>
        <v>8</v>
      </c>
      <c r="AN59" s="146">
        <f>IF(ISNA(MATCH(AC59,R54:R61,0)),0,VLOOKUP(AC59,R54:W61,AN$1,FALSE))</f>
        <v>0</v>
      </c>
      <c r="AP59" s="927"/>
      <c r="AQ59" s="927"/>
    </row>
    <row r="60" spans="1:47" ht="15.6" x14ac:dyDescent="0.3">
      <c r="A60" s="417">
        <f t="shared" si="37"/>
        <v>47</v>
      </c>
      <c r="B60" s="362" t="str">
        <f>'Event Details'!D$28</f>
        <v>F</v>
      </c>
      <c r="C60" s="381" t="str">
        <f>'Event Details'!E$28</f>
        <v>Tamworth</v>
      </c>
      <c r="D60" s="379"/>
      <c r="E60" s="378"/>
      <c r="F60" s="363">
        <f>VLOOKUP($B53,IF($H53="F",TeamSheetFemale,TeamSheetMale),$Y60-1,FALSE)</f>
        <v>0</v>
      </c>
      <c r="G60" s="380">
        <f>VLOOKUP($B53,IF($H53="F",TeamSheetFemale,TeamSheetMale),$Y60,FALSE)</f>
        <v>0</v>
      </c>
      <c r="H60" s="363">
        <f>VLOOKUP($B53,IF($H53="F",TeamSheetFemale,TeamSheetMale),$Y60+1,FALSE)</f>
        <v>0</v>
      </c>
      <c r="I60" s="364">
        <f>VLOOKUP($B53,IF($H53="F",TeamSheetFemale,TeamSheetMale),$Y60+2,FALSE)</f>
        <v>0</v>
      </c>
      <c r="K60" s="341" t="s">
        <v>277</v>
      </c>
      <c r="L60" s="16" t="str">
        <f t="shared" si="30"/>
        <v/>
      </c>
      <c r="M60" s="927"/>
      <c r="N60" s="927"/>
      <c r="O60" s="353" t="str">
        <f>IF(LEN($M60)=1,VLOOKUP(LEFT($M60,1),B54:I61,5,FALSE),IF(LEN($M60)=2,VLOOKUP(LEFT($M60,1),B54:I61,7,FALSE),""))</f>
        <v/>
      </c>
      <c r="P60" s="373" t="str">
        <f>IF(LEN($M60)=1,VLOOKUP(LEFT($M60,1),B54:I61,6,FALSE),IF(LEN($M60)=2,VLOOKUP(LEFT($M60,1),B54:I61,8,FALSE),""))</f>
        <v/>
      </c>
      <c r="Q60" s="341" t="s">
        <v>277</v>
      </c>
      <c r="R60" s="146" t="str">
        <f t="shared" si="31"/>
        <v/>
      </c>
      <c r="S60" s="927"/>
      <c r="T60" s="927"/>
      <c r="U60" s="353" t="str">
        <f>IF(LEN($S60)=1,VLOOKUP(LEFT($S60,1),B54:I61,5,FALSE),IF(LEN($S60)=2,VLOOKUP(LEFT($S60,1),B54:I61,7,FALSE),""))</f>
        <v/>
      </c>
      <c r="V60" s="373" t="str">
        <f>IF(LEN($S60)=1,VLOOKUP(LEFT($S60,1),B54:I61,6,FALSE),IF(LEN($S60)=2,VLOOKUP(LEFT($S60,1),B54:I61,8,FALSE),""))</f>
        <v/>
      </c>
      <c r="W60" s="417">
        <f t="shared" si="38"/>
        <v>2</v>
      </c>
      <c r="Y60" s="417">
        <v>37</v>
      </c>
      <c r="Z60" s="16">
        <f t="shared" si="32"/>
        <v>0</v>
      </c>
      <c r="AA60" s="146">
        <f t="shared" si="33"/>
        <v>0</v>
      </c>
      <c r="AB60" s="32"/>
      <c r="AC60" s="16" t="str">
        <f t="shared" si="34"/>
        <v>F</v>
      </c>
      <c r="AD60" s="419" t="str">
        <f t="shared" si="34"/>
        <v>Tamworth</v>
      </c>
      <c r="AE60" s="419">
        <f>IF(ISNA(MATCH(AC60,N52:N61,0)),0,VLOOKUP(AC60,N52:S61,5,FALSE))</f>
        <v>0</v>
      </c>
      <c r="AF60" s="419" t="str">
        <f>IF(ISNA(MATCH(AC60,T52:T61,0))," ",VLOOKUP(AC60,T52:Y61,5,FALSE))</f>
        <v xml:space="preserve"> </v>
      </c>
      <c r="AG60" s="419">
        <f>IF(ISNA(MATCH(AC60,L54:L61,0)),0,VLOOKUP(AC60,L54:N61,3,FALSE))</f>
        <v>0</v>
      </c>
      <c r="AH60" s="419">
        <f>IF(ISNA(MATCH(AC60,R54:R61,0)),0,VLOOKUP(AC60,R54:T61,3,FALSE))</f>
        <v>0</v>
      </c>
      <c r="AI60" s="419">
        <f>IF(ISNA(MATCH(AC60,L54:L61,0)),0,VLOOKUP(AC60,L54:P61,4,FALSE))</f>
        <v>0</v>
      </c>
      <c r="AJ60" s="419">
        <f>IF(ISNA(MATCH(AC60,R54:R61,0)),0,VLOOKUP(AC60,R54:U61,4,FALSE))</f>
        <v>0</v>
      </c>
      <c r="AK60" s="32">
        <f t="shared" si="35"/>
        <v>0</v>
      </c>
      <c r="AL60" s="32">
        <f t="shared" si="36"/>
        <v>0</v>
      </c>
      <c r="AM60" s="32">
        <f>IF(ISNA(MATCH(AC60,L54:L61,0)),0,VLOOKUP(AC60,L54:W61,AM$1,FALSE))</f>
        <v>0</v>
      </c>
      <c r="AN60" s="146">
        <f>IF(ISNA(MATCH(AC60,R54:R61,0)),0,VLOOKUP(AC60,R54:W61,AN$1,FALSE))</f>
        <v>0</v>
      </c>
      <c r="AP60" s="927"/>
      <c r="AQ60" s="927"/>
    </row>
    <row r="61" spans="1:47" ht="16.2" thickBot="1" x14ac:dyDescent="0.35">
      <c r="A61" s="418">
        <f t="shared" si="37"/>
        <v>48</v>
      </c>
      <c r="B61" s="365" t="str">
        <f>'Event Details'!D$29</f>
        <v>Y</v>
      </c>
      <c r="C61" s="366" t="str">
        <f>'Event Details'!E$29</f>
        <v>Worcester</v>
      </c>
      <c r="D61" s="361"/>
      <c r="E61" s="370"/>
      <c r="F61" s="367">
        <f>VLOOKUP($B53,IF($H53="F",TeamSheetFemale,TeamSheetMale),$Y61-1,FALSE)</f>
        <v>0</v>
      </c>
      <c r="G61" s="368">
        <f>VLOOKUP($B53,IF($H53="F",TeamSheetFemale,TeamSheetMale),$Y61,FALSE)</f>
        <v>0</v>
      </c>
      <c r="H61" s="367">
        <f>VLOOKUP($B53,IF($H53="F",TeamSheetFemale,TeamSheetMale),$Y61+1,FALSE)</f>
        <v>0</v>
      </c>
      <c r="I61" s="369">
        <f>VLOOKUP($B53,IF($H53="F",TeamSheetFemale,TeamSheetMale),$Y61+2,FALSE)</f>
        <v>0</v>
      </c>
      <c r="K61" s="346" t="s">
        <v>278</v>
      </c>
      <c r="L61" s="25" t="str">
        <f t="shared" si="30"/>
        <v/>
      </c>
      <c r="M61" s="932"/>
      <c r="N61" s="932"/>
      <c r="O61" s="375" t="str">
        <f>IF(LEN($M61)=1,VLOOKUP(LEFT($M61,1),B54:I61,5,FALSE),IF(LEN($M61)=2,VLOOKUP(LEFT($M61,1),B54:I61,7,FALSE),""))</f>
        <v/>
      </c>
      <c r="P61" s="376" t="str">
        <f>IF(LEN($M61)=1,VLOOKUP(LEFT($M61,1),B54:I61,6,FALSE),IF(LEN($M61)=2,VLOOKUP(LEFT($M61,1),B54:I61,8,FALSE),""))</f>
        <v/>
      </c>
      <c r="Q61" s="346" t="s">
        <v>278</v>
      </c>
      <c r="R61" s="523" t="str">
        <f t="shared" si="31"/>
        <v/>
      </c>
      <c r="S61" s="932"/>
      <c r="T61" s="932"/>
      <c r="U61" s="375" t="str">
        <f>IF(LEN($S61)=1,VLOOKUP(LEFT($S61,1),B54:I61,5,FALSE),IF(LEN($S61)=2,VLOOKUP(LEFT($S61,1),B54:I61,7,FALSE),""))</f>
        <v/>
      </c>
      <c r="V61" s="376" t="str">
        <f>IF(LEN($S61)=1,VLOOKUP(LEFT($S61,1),B54:I61,6,FALSE),IF(LEN($S61)=2,VLOOKUP(LEFT($S61,1),B54:I61,8,FALSE),""))</f>
        <v/>
      </c>
      <c r="W61" s="418">
        <f t="shared" si="38"/>
        <v>1</v>
      </c>
      <c r="Y61" s="418">
        <v>42</v>
      </c>
      <c r="Z61" s="25">
        <f t="shared" si="32"/>
        <v>0</v>
      </c>
      <c r="AA61" s="523">
        <f t="shared" si="33"/>
        <v>0</v>
      </c>
      <c r="AB61" s="32"/>
      <c r="AC61" s="25" t="str">
        <f t="shared" si="34"/>
        <v>Y</v>
      </c>
      <c r="AD61" s="624" t="str">
        <f t="shared" si="34"/>
        <v>Worcester</v>
      </c>
      <c r="AE61" s="624">
        <f>IF(ISNA(MATCH(AC61,N53:N62,0)),0,VLOOKUP(AC61,N53:S62,5,FALSE))</f>
        <v>0</v>
      </c>
      <c r="AF61" s="624" t="str">
        <f t="shared" ref="AF61" si="39">IF(ISNA(MATCH(AC61,T53:T62,0))," ",VLOOKUP(AC61,T53:Y62,5,FALSE))</f>
        <v xml:space="preserve"> </v>
      </c>
      <c r="AG61" s="624">
        <f>IF(ISNA(MATCH(AC61,L54:L61,0)),0,VLOOKUP(AC61,L54:N61,3,FALSE))</f>
        <v>0</v>
      </c>
      <c r="AH61" s="624">
        <f>IF(ISNA(MATCH(AC61,R54:R61,0)),0,VLOOKUP(AC61,R54:T61,3,FALSE))</f>
        <v>0</v>
      </c>
      <c r="AI61" s="624">
        <f>IF(ISNA(MATCH(AC61,L54:L61,0)),0,VLOOKUP(AC61,L54:P61,4,FALSE))</f>
        <v>0</v>
      </c>
      <c r="AJ61" s="624">
        <f>IF(ISNA(MATCH(AC61,R54:R61,0)),0,VLOOKUP(AC61,R54:U61,4,FALSE))</f>
        <v>0</v>
      </c>
      <c r="AK61" s="116">
        <f t="shared" si="35"/>
        <v>0</v>
      </c>
      <c r="AL61" s="116">
        <f t="shared" si="36"/>
        <v>0</v>
      </c>
      <c r="AM61" s="116">
        <f>IF(ISNA(MATCH(AC61,L54:L61,0)),0,VLOOKUP(AC61,L54:W61,AM$1,FALSE))</f>
        <v>0</v>
      </c>
      <c r="AN61" s="523">
        <f>IF(ISNA(MATCH(AC61,R54:R61,0)),0,VLOOKUP(AC61,R54:W61,AN$1,FALSE))</f>
        <v>0</v>
      </c>
      <c r="AP61" s="932"/>
      <c r="AQ61" s="932"/>
    </row>
    <row r="62" spans="1:47" ht="15" thickBot="1" x14ac:dyDescent="0.35">
      <c r="K62" s="1207"/>
      <c r="M62" s="276"/>
      <c r="N62" s="307"/>
      <c r="S62" s="276"/>
      <c r="T62" s="307"/>
      <c r="AP62" s="276"/>
      <c r="AQ62" s="307"/>
    </row>
    <row r="63" spans="1:47" x14ac:dyDescent="0.3">
      <c r="B63" s="400" t="s">
        <v>258</v>
      </c>
      <c r="C63" s="398"/>
      <c r="D63" s="401" t="s">
        <v>165</v>
      </c>
      <c r="E63" s="398"/>
      <c r="F63" s="398"/>
      <c r="G63" s="402" t="s">
        <v>259</v>
      </c>
      <c r="H63" s="403" t="s">
        <v>249</v>
      </c>
      <c r="I63" s="404" t="s">
        <v>168</v>
      </c>
      <c r="K63" s="360"/>
      <c r="L63" s="661"/>
      <c r="M63" s="387" t="s">
        <v>260</v>
      </c>
      <c r="N63" s="387" t="s">
        <v>261</v>
      </c>
      <c r="O63" s="387" t="s">
        <v>262</v>
      </c>
      <c r="P63" s="388" t="s">
        <v>75</v>
      </c>
      <c r="Q63" s="412"/>
      <c r="R63" s="657"/>
      <c r="S63" s="387" t="s">
        <v>260</v>
      </c>
      <c r="T63" s="387" t="s">
        <v>261</v>
      </c>
      <c r="U63" s="387" t="s">
        <v>262</v>
      </c>
      <c r="V63" s="388" t="s">
        <v>75</v>
      </c>
      <c r="W63" s="672" t="s">
        <v>76</v>
      </c>
      <c r="Y63" s="654" t="s">
        <v>263</v>
      </c>
      <c r="Z63" s="656" t="s">
        <v>74</v>
      </c>
      <c r="AA63" s="657" t="s">
        <v>75</v>
      </c>
      <c r="AC63" s="665" t="s">
        <v>71</v>
      </c>
      <c r="AD63" s="657" t="s">
        <v>86</v>
      </c>
      <c r="AE63" s="661" t="s">
        <v>149</v>
      </c>
      <c r="AF63" s="661" t="s">
        <v>94</v>
      </c>
      <c r="AG63" s="661" t="s">
        <v>149</v>
      </c>
      <c r="AH63" s="661" t="s">
        <v>94</v>
      </c>
      <c r="AI63" s="661" t="s">
        <v>149</v>
      </c>
      <c r="AJ63" s="661" t="s">
        <v>94</v>
      </c>
      <c r="AK63" s="1332" t="s">
        <v>149</v>
      </c>
      <c r="AL63" s="661" t="s">
        <v>94</v>
      </c>
      <c r="AM63" s="1406" t="s">
        <v>76</v>
      </c>
      <c r="AN63" s="1407"/>
      <c r="AP63" s="387" t="s">
        <v>260</v>
      </c>
      <c r="AQ63" s="387" t="s">
        <v>261</v>
      </c>
      <c r="AS63" s="1218" t="s">
        <v>165</v>
      </c>
      <c r="AT63" s="1219" t="s">
        <v>79</v>
      </c>
      <c r="AU63" s="1220" t="s">
        <v>80</v>
      </c>
    </row>
    <row r="64" spans="1:47" ht="15" thickBot="1" x14ac:dyDescent="0.35">
      <c r="B64" s="405">
        <v>5</v>
      </c>
      <c r="C64" s="399"/>
      <c r="D64" s="385" t="str">
        <f>VLOOKUP($B64,EventOrder,6,FALSE)</f>
        <v xml:space="preserve">Howler </v>
      </c>
      <c r="E64" s="399"/>
      <c r="F64" s="385"/>
      <c r="G64" s="386" t="str">
        <f>VLOOKUP($B64,EventOrder,4,FALSE)</f>
        <v>U12 Male</v>
      </c>
      <c r="H64" s="396" t="str">
        <f>IF(MID(G64,5,1)="F","F","M")</f>
        <v>M</v>
      </c>
      <c r="I64" s="397">
        <f>VLOOKUP($B64,EventOrder,2,FALSE)</f>
        <v>11.45</v>
      </c>
      <c r="K64" s="372"/>
      <c r="L64" s="667" t="s">
        <v>149</v>
      </c>
      <c r="M64" s="409" t="s">
        <v>264</v>
      </c>
      <c r="N64" s="409" t="s">
        <v>265</v>
      </c>
      <c r="O64" s="409" t="s">
        <v>266</v>
      </c>
      <c r="P64" s="408"/>
      <c r="Q64" s="413"/>
      <c r="R64" s="659" t="s">
        <v>94</v>
      </c>
      <c r="S64" s="409" t="s">
        <v>264</v>
      </c>
      <c r="T64" s="409" t="s">
        <v>265</v>
      </c>
      <c r="U64" s="409" t="s">
        <v>266</v>
      </c>
      <c r="V64" s="408"/>
      <c r="W64" s="671"/>
      <c r="Y64" s="655" t="s">
        <v>167</v>
      </c>
      <c r="Z64" s="658" t="s">
        <v>149</v>
      </c>
      <c r="AA64" s="659" t="s">
        <v>94</v>
      </c>
      <c r="AC64" s="666"/>
      <c r="AD64" s="668"/>
      <c r="AE64" s="768" t="s">
        <v>75</v>
      </c>
      <c r="AF64" s="768" t="s">
        <v>75</v>
      </c>
      <c r="AG64" s="768" t="s">
        <v>267</v>
      </c>
      <c r="AH64" s="768" t="s">
        <v>267</v>
      </c>
      <c r="AI64" s="768" t="s">
        <v>268</v>
      </c>
      <c r="AJ64" s="768" t="s">
        <v>268</v>
      </c>
      <c r="AK64" s="770" t="s">
        <v>269</v>
      </c>
      <c r="AL64" s="768" t="s">
        <v>269</v>
      </c>
      <c r="AM64" s="667" t="s">
        <v>149</v>
      </c>
      <c r="AN64" s="659" t="s">
        <v>94</v>
      </c>
      <c r="AP64" s="409" t="s">
        <v>264</v>
      </c>
      <c r="AQ64" s="409" t="s">
        <v>265</v>
      </c>
      <c r="AS64" s="1221" t="s">
        <v>270</v>
      </c>
      <c r="AT64" s="1222" t="s">
        <v>270</v>
      </c>
      <c r="AU64" s="1223" t="s">
        <v>270</v>
      </c>
    </row>
    <row r="65" spans="1:47" ht="15.6" x14ac:dyDescent="0.3">
      <c r="A65" s="416">
        <f>(B64*10)+1</f>
        <v>51</v>
      </c>
      <c r="B65" s="362" t="str">
        <f>'Event Details'!D$22</f>
        <v>S</v>
      </c>
      <c r="C65" s="381" t="str">
        <f>'Event Details'!E$22</f>
        <v>BRAT</v>
      </c>
      <c r="D65" s="379"/>
      <c r="E65" s="378"/>
      <c r="F65" s="363" t="str">
        <f>VLOOKUP($B64,IF($H64="F",TeamSheetFemale,TeamSheetMale),$Y65-1,FALSE)</f>
        <v>S</v>
      </c>
      <c r="G65" s="380" t="str">
        <f>VLOOKUP($B64,IF($H64="F",TeamSheetFemale,TeamSheetMale),$Y65,FALSE)</f>
        <v xml:space="preserve">Leo Parekh </v>
      </c>
      <c r="H65" s="363" t="str">
        <f>VLOOKUP($B64,IF($H64="F",TeamSheetFemale,TeamSheetMale),$Y65+1,FALSE)</f>
        <v>SS</v>
      </c>
      <c r="I65" s="364" t="str">
        <f>VLOOKUP($B64,IF($H64="F",TeamSheetFemale,TeamSheetMale),$Y65+2,FALSE)</f>
        <v xml:space="preserve">Logan Pearce </v>
      </c>
      <c r="K65" s="393" t="s">
        <v>271</v>
      </c>
      <c r="L65" s="16"/>
      <c r="M65" s="926" t="s">
        <v>110</v>
      </c>
      <c r="N65" s="926">
        <v>40.5</v>
      </c>
      <c r="O65" s="394" t="str">
        <f>IF(LEN($M65)=1,VLOOKUP(LEFT($M65,1),B65:I72,5,FALSE),IF(LEN($M65)=2,VLOOKUP(LEFT($M65,1),B65:I72,7,FALSE),""))</f>
        <v>G</v>
      </c>
      <c r="P65" s="395" t="str">
        <f>IF(LEN($M65)=1,VLOOKUP(LEFT($M65,1),B65:I72,6,FALSE),IF(LEN($M65)=2,VLOOKUP(LEFT($M65,1),B65:I72,8,FALSE),""))</f>
        <v>Sami Mir</v>
      </c>
      <c r="Q65" s="406" t="s">
        <v>271</v>
      </c>
      <c r="R65" s="146" t="str">
        <f t="shared" ref="R65:R72" si="40">LEFT(S65,1)</f>
        <v>M</v>
      </c>
      <c r="S65" s="926" t="s">
        <v>127</v>
      </c>
      <c r="T65" s="926">
        <v>32.53</v>
      </c>
      <c r="U65" s="394" t="str">
        <f>IF(LEN($S65)=1,VLOOKUP(LEFT($S65,1),B65:I72,5,FALSE),IF(LEN($S65)=2,VLOOKUP(LEFT($S65,1),B65:I72,7,FALSE),""))</f>
        <v>M</v>
      </c>
      <c r="V65" s="395" t="str">
        <f>IF(LEN($S65)=1,VLOOKUP(LEFT($S65,1),B65:I72,6,FALSE),IF(LEN($S65)=2,VLOOKUP(LEFT($S65,1),B65:I72,8,FALSE),""))</f>
        <v>Edison Hughes</v>
      </c>
      <c r="W65" s="417">
        <f>AN$6</f>
        <v>8</v>
      </c>
      <c r="Y65" s="653">
        <v>7</v>
      </c>
      <c r="Z65" s="653" t="str">
        <f t="shared" ref="Z65:Z72" si="41">IF(LEN(M65)&gt;0,VLOOKUP(LEFT(M65,1),ShortName,5,FALSE),0)</f>
        <v>Royal</v>
      </c>
      <c r="AA65" s="138" t="str">
        <f t="shared" ref="AA65:AA72" si="42">IF(LEN(S65)&gt;0,VLOOKUP(LEFT(S65,1),ShortName,5,FALSE),0)</f>
        <v>Sol</v>
      </c>
      <c r="AC65" s="16" t="str">
        <f t="shared" ref="AC65:AD72" si="43">B65</f>
        <v>S</v>
      </c>
      <c r="AD65" s="419" t="str">
        <f t="shared" si="43"/>
        <v>BRAT</v>
      </c>
      <c r="AE65" s="635">
        <f>IF(ISNA(MATCH(AC65,N65:N74,0)),0,VLOOKUP(AC65,N65:S74,5,FALSE))</f>
        <v>0</v>
      </c>
      <c r="AF65" s="635" t="str">
        <f>IF(ISNA(MATCH(AC65,T65:T74,0))," ",VLOOKUP(AC65,T65:Y74,5,FALSE))</f>
        <v xml:space="preserve"> </v>
      </c>
      <c r="AG65" s="635">
        <f>IF(ISNA(MATCH(AC65,L65:L72,0)),0,VLOOKUP(AC65,L65:N72,3,FALSE))</f>
        <v>31.27</v>
      </c>
      <c r="AH65" s="635">
        <f>IF(ISNA(MATCH(AC65,R65:R72,0)),0,VLOOKUP(AC65,R65:T72,3,FALSE))</f>
        <v>22.66</v>
      </c>
      <c r="AI65" s="635" t="str">
        <f>IF(ISNA(MATCH(AC65,L65:L72,0)),0,VLOOKUP(AC65,L65:P72,4,FALSE))</f>
        <v>S</v>
      </c>
      <c r="AJ65" s="635" t="str">
        <f>IF(ISNA(MATCH(AC65,R65:R72,0)),0,VLOOKUP(AC65,R65:U72,4,FALSE))</f>
        <v>SS</v>
      </c>
      <c r="AK65" s="49">
        <f t="shared" ref="AK65:AK72" si="44">IF(AM65=0,0,AN$6-(AM65-1))</f>
        <v>7</v>
      </c>
      <c r="AL65" s="49">
        <f t="shared" ref="AL65:AL72" si="45">IF(AN65=0,0,AN$6-(AN65-1))</f>
        <v>6</v>
      </c>
      <c r="AM65" s="49">
        <f>IF(ISNA(MATCH(AC65,L65:L72,0)),0,VLOOKUP(AC65,L65:W72,AM$1,FALSE))</f>
        <v>2</v>
      </c>
      <c r="AN65" s="138">
        <f>IF(ISNA(MATCH(AC65,R65:R72,0)),0,VLOOKUP(AC65,R65:W72,AN$1,FALSE))</f>
        <v>3</v>
      </c>
      <c r="AP65" s="926"/>
      <c r="AQ65" s="926"/>
      <c r="AS65" s="32">
        <f>IF(LEN(N65)&gt;0,1,0)</f>
        <v>1</v>
      </c>
      <c r="AT65" s="32">
        <f>IF(AND(AS65=1,H64="M"),1,0)</f>
        <v>1</v>
      </c>
      <c r="AU65" s="32">
        <f>IF(AND(AS65=1,H64="F"),1,0)</f>
        <v>0</v>
      </c>
    </row>
    <row r="66" spans="1:47" ht="15.6" x14ac:dyDescent="0.3">
      <c r="A66" s="417">
        <f>A65+1</f>
        <v>52</v>
      </c>
      <c r="B66" s="362" t="str">
        <f>'Event Details'!D$23</f>
        <v>U</v>
      </c>
      <c r="C66" s="381" t="str">
        <f>'Event Details'!E$23</f>
        <v>Kidder &amp; Stourport</v>
      </c>
      <c r="D66" s="379"/>
      <c r="E66" s="378"/>
      <c r="F66" s="363" t="str">
        <f>VLOOKUP($B64,IF($H64="F",TeamSheetFemale,TeamSheetMale),$Y66-1,FALSE)</f>
        <v>U</v>
      </c>
      <c r="G66" s="380" t="str">
        <f>VLOOKUP($B64,IF($H64="F",TeamSheetFemale,TeamSheetMale),$Y66,FALSE)</f>
        <v>Hugo Ford</v>
      </c>
      <c r="H66" s="363" t="str">
        <f>VLOOKUP($B64,IF($H64="F",TeamSheetFemale,TeamSheetMale),$Y66+1,FALSE)</f>
        <v>UU</v>
      </c>
      <c r="I66" s="364" t="str">
        <f>VLOOKUP($B64,IF($H64="F",TeamSheetFemale,TeamSheetMale),$Y66+2,FALSE)</f>
        <v>Ted Bates</v>
      </c>
      <c r="K66" s="341" t="s">
        <v>272</v>
      </c>
      <c r="L66" s="16" t="str">
        <f t="shared" ref="L66:L72" si="46">LEFT(M66,1)</f>
        <v>Y</v>
      </c>
      <c r="M66" s="927" t="s">
        <v>151</v>
      </c>
      <c r="N66" s="927">
        <v>37.54</v>
      </c>
      <c r="O66" s="354" t="str">
        <f>IF(LEN($M66)=1,VLOOKUP(LEFT($M66,1),B65:I72,5,FALSE),IF(LEN($M66)=2,VLOOKUP(LEFT($M66,1),B65:I72,7,FALSE),""))</f>
        <v>Y</v>
      </c>
      <c r="P66" s="410" t="str">
        <f>IF(LEN($M66)=1,VLOOKUP(LEFT($M66,1),B65:I72,6,FALSE),IF(LEN($M66)=2,VLOOKUP(LEFT($M66,1),B65:I72,8,FALSE),""))</f>
        <v>Thomas Jenkinson</v>
      </c>
      <c r="Q66" s="371" t="s">
        <v>272</v>
      </c>
      <c r="R66" s="146" t="str">
        <f t="shared" si="40"/>
        <v>D</v>
      </c>
      <c r="S66" s="927" t="s">
        <v>513</v>
      </c>
      <c r="T66" s="927">
        <v>29.38</v>
      </c>
      <c r="U66" s="354" t="str">
        <f>IF(LEN($S66)=1,VLOOKUP(LEFT($S66,1),B65:I72,5,FALSE),IF(LEN($S66)=2,VLOOKUP(LEFT($S66,1),B65:I72,7,FALSE),""))</f>
        <v>DD</v>
      </c>
      <c r="V66" s="410" t="str">
        <f>IF(LEN($S66)=1,VLOOKUP(LEFT($S66,1),B65:I72,6,FALSE),IF(LEN($S66)=2,VLOOKUP(LEFT($S66,1),B65:I72,8,FALSE),""))</f>
        <v>Jacob Thomas</v>
      </c>
      <c r="W66" s="417">
        <f>W65-1</f>
        <v>7</v>
      </c>
      <c r="Y66" s="16">
        <v>12</v>
      </c>
      <c r="Z66" s="16" t="str">
        <f t="shared" si="41"/>
        <v>Worc</v>
      </c>
      <c r="AA66" s="146" t="str">
        <f t="shared" si="42"/>
        <v>Strat</v>
      </c>
      <c r="AC66" s="16" t="str">
        <f t="shared" si="43"/>
        <v>U</v>
      </c>
      <c r="AD66" s="419" t="str">
        <f t="shared" si="43"/>
        <v>Kidder &amp; Stourport</v>
      </c>
      <c r="AE66" s="419">
        <f>IF(ISNA(MATCH(AC66,N65:N74,0)),0,VLOOKUP(AC66,N65:S74,5,FALSE))</f>
        <v>0</v>
      </c>
      <c r="AF66" s="419" t="str">
        <f>IF(ISNA(MATCH(AC66,T65:T74,0))," ",VLOOKUP(AC66,T65:Y74,5,FALSE))</f>
        <v xml:space="preserve"> </v>
      </c>
      <c r="AG66" s="419">
        <f>IF(ISNA(MATCH(AC66,L65:L72,0)),0,VLOOKUP(AC66,L65:N72,3,FALSE))</f>
        <v>33.47</v>
      </c>
      <c r="AH66" s="419">
        <f>IF(ISNA(MATCH(AC66,R65:R72,0)),0,VLOOKUP(AC66,R65:T72,3,FALSE))</f>
        <v>23.2</v>
      </c>
      <c r="AI66" s="419" t="str">
        <f>IF(ISNA(MATCH(AC66,L65:L72,0)),0,VLOOKUP(AC66,L65:P72,4,FALSE))</f>
        <v>UU</v>
      </c>
      <c r="AJ66" s="419" t="str">
        <f>IF(ISNA(MATCH(AC66,R65:R72,0)),0,VLOOKUP(AC66,R65:U72,4,FALSE))</f>
        <v>U</v>
      </c>
      <c r="AK66" s="32">
        <f t="shared" si="44"/>
        <v>5</v>
      </c>
      <c r="AL66" s="32">
        <f t="shared" si="45"/>
        <v>5</v>
      </c>
      <c r="AM66" s="32">
        <f>IF(ISNA(MATCH(AC66,L65:L72,0)),0,VLOOKUP(AC66,L65:W72,AM$1,FALSE))</f>
        <v>4</v>
      </c>
      <c r="AN66" s="146">
        <f>IF(ISNA(MATCH(AC66,R65:R72,0)),0,VLOOKUP(AC66,R65:W72,AN$1,FALSE))</f>
        <v>4</v>
      </c>
      <c r="AP66" s="927"/>
      <c r="AQ66" s="927"/>
    </row>
    <row r="67" spans="1:47" ht="15.6" x14ac:dyDescent="0.3">
      <c r="A67" s="417">
        <f t="shared" ref="A67:A72" si="47">A66+1</f>
        <v>53</v>
      </c>
      <c r="B67" s="362" t="str">
        <f>'Event Details'!D$24</f>
        <v>G</v>
      </c>
      <c r="C67" s="381" t="str">
        <f>'Event Details'!E$24</f>
        <v>Royal Sutton</v>
      </c>
      <c r="D67" s="379"/>
      <c r="E67" s="378"/>
      <c r="F67" s="363" t="str">
        <f>VLOOKUP($B64,IF($H64="F",TeamSheetFemale,TeamSheetMale),$Y67-1,FALSE)</f>
        <v>G</v>
      </c>
      <c r="G67" s="380" t="str">
        <f>VLOOKUP($B64,IF($H64="F",TeamSheetFemale,TeamSheetMale),$Y67,FALSE)</f>
        <v>Sami Mir</v>
      </c>
      <c r="H67" s="363" t="str">
        <f>VLOOKUP($B64,IF($H64="F",TeamSheetFemale,TeamSheetMale),$Y67+1,FALSE)</f>
        <v>GG</v>
      </c>
      <c r="I67" s="364" t="str">
        <f>VLOOKUP($B64,IF($H64="F",TeamSheetFemale,TeamSheetMale),$Y67+2,FALSE)</f>
        <v>Khari Caines</v>
      </c>
      <c r="K67" s="341" t="s">
        <v>273</v>
      </c>
      <c r="L67" s="16" t="str">
        <f t="shared" si="46"/>
        <v>D</v>
      </c>
      <c r="M67" s="927" t="s">
        <v>136</v>
      </c>
      <c r="N67" s="927">
        <v>36.51</v>
      </c>
      <c r="O67" s="354" t="str">
        <f>IF(LEN($M67)=1,VLOOKUP(LEFT($M67,1),B65:I72,5,FALSE),IF(LEN($M67)=2,VLOOKUP(LEFT($M67,1),B65:I72,7,FALSE),""))</f>
        <v>D</v>
      </c>
      <c r="P67" s="410" t="str">
        <f>IF(LEN($M67)=1,VLOOKUP(LEFT($M67,1),B65:I72,6,FALSE),IF(LEN($M67)=2,VLOOKUP(LEFT($M67,1),B65:I72,8,FALSE),""))</f>
        <v>Jasper Allen</v>
      </c>
      <c r="Q67" s="371" t="s">
        <v>273</v>
      </c>
      <c r="R67" s="146" t="str">
        <f t="shared" si="40"/>
        <v>R</v>
      </c>
      <c r="S67" s="927" t="s">
        <v>819</v>
      </c>
      <c r="T67" s="927">
        <v>28.79</v>
      </c>
      <c r="U67" s="354" t="str">
        <f>IF(LEN($S67)=1,VLOOKUP(LEFT($S67,1),B65:I72,5,FALSE),IF(LEN($S67)=2,VLOOKUP(LEFT($S67,1),B65:I72,7,FALSE),""))</f>
        <v>RR</v>
      </c>
      <c r="V67" s="410" t="str">
        <f>IF(LEN($S67)=1,VLOOKUP(LEFT($S67,1),B65:I72,6,FALSE),IF(LEN($S67)=2,VLOOKUP(LEFT($S67,1),B65:I72,8,FALSE),""))</f>
        <v>Joshua Jardine</v>
      </c>
      <c r="W67" s="417">
        <f t="shared" ref="W67:W72" si="48">W66-1</f>
        <v>6</v>
      </c>
      <c r="Y67" s="16">
        <v>17</v>
      </c>
      <c r="Z67" s="16" t="str">
        <f t="shared" si="41"/>
        <v>Strat</v>
      </c>
      <c r="AA67" s="146" t="str">
        <f t="shared" si="42"/>
        <v>Rugby</v>
      </c>
      <c r="AC67" s="16" t="str">
        <f t="shared" si="43"/>
        <v>G</v>
      </c>
      <c r="AD67" s="419" t="str">
        <f t="shared" si="43"/>
        <v>Royal Sutton</v>
      </c>
      <c r="AE67" s="419">
        <f>IF(ISNA(MATCH(AC67,N65:N74,0)),0,VLOOKUP(AC67,N65:S74,5,FALSE))</f>
        <v>0</v>
      </c>
      <c r="AF67" s="419" t="str">
        <f>IF(ISNA(MATCH(AC67,T65:T74,0))," ",VLOOKUP(AC67,T65:Y74,5,FALSE))</f>
        <v xml:space="preserve"> </v>
      </c>
      <c r="AG67" s="419">
        <f>IF(ISNA(MATCH(AC67,L65:L72,0)),0,VLOOKUP(AC67,L65:N72,3,FALSE))</f>
        <v>0</v>
      </c>
      <c r="AH67" s="419">
        <f>IF(ISNA(MATCH(AC67,R65:R72,0)),0,VLOOKUP(AC67,R65:T72,3,FALSE))</f>
        <v>24</v>
      </c>
      <c r="AI67" s="419">
        <f>IF(ISNA(MATCH(AC67,L65:L72,0)),0,VLOOKUP(AC67,L65:P72,4,FALSE))</f>
        <v>0</v>
      </c>
      <c r="AJ67" s="419" t="str">
        <f>IF(ISNA(MATCH(AC67,R65:R72,0)),0,VLOOKUP(AC67,R65:U72,4,FALSE))</f>
        <v>GG</v>
      </c>
      <c r="AK67" s="32">
        <f t="shared" si="44"/>
        <v>0</v>
      </c>
      <c r="AL67" s="32">
        <f t="shared" si="45"/>
        <v>4</v>
      </c>
      <c r="AM67" s="32">
        <f>IF(ISNA(MATCH(AC67,L65:L72,0)),0,VLOOKUP(AC67,L65:W72,AM$1,FALSE))</f>
        <v>0</v>
      </c>
      <c r="AN67" s="146">
        <f>IF(ISNA(MATCH(AC67,R65:R72,0)),0,VLOOKUP(AC67,R65:W72,AN$1,FALSE))</f>
        <v>5</v>
      </c>
      <c r="AP67" s="927"/>
      <c r="AQ67" s="927"/>
    </row>
    <row r="68" spans="1:47" ht="15.6" x14ac:dyDescent="0.3">
      <c r="A68" s="417">
        <f t="shared" si="47"/>
        <v>54</v>
      </c>
      <c r="B68" s="362" t="str">
        <f>'Event Details'!D$25</f>
        <v>R</v>
      </c>
      <c r="C68" s="381" t="str">
        <f>'Event Details'!E$25</f>
        <v>Rugby &amp; N'hampton</v>
      </c>
      <c r="D68" s="379"/>
      <c r="E68" s="378"/>
      <c r="F68" s="363" t="str">
        <f>VLOOKUP($B64,IF($H64="F",TeamSheetFemale,TeamSheetMale),$Y68-1,FALSE)</f>
        <v>R</v>
      </c>
      <c r="G68" s="380" t="str">
        <f>VLOOKUP($B64,IF($H64="F",TeamSheetFemale,TeamSheetMale),$Y68,FALSE)</f>
        <v>Feranmi Remi-Omosowon</v>
      </c>
      <c r="H68" s="363" t="str">
        <f>VLOOKUP($B64,IF($H64="F",TeamSheetFemale,TeamSheetMale),$Y68+1,FALSE)</f>
        <v>RR</v>
      </c>
      <c r="I68" s="364" t="str">
        <f>VLOOKUP($B64,IF($H64="F",TeamSheetFemale,TeamSheetMale),$Y68+2,FALSE)</f>
        <v>Joshua Jardine</v>
      </c>
      <c r="K68" s="341" t="s">
        <v>274</v>
      </c>
      <c r="L68" s="16" t="str">
        <f t="shared" si="46"/>
        <v>M</v>
      </c>
      <c r="M68" s="927" t="s">
        <v>821</v>
      </c>
      <c r="N68" s="927">
        <v>35.31</v>
      </c>
      <c r="O68" s="354" t="str">
        <f>IF(LEN($M68)=1,VLOOKUP(LEFT($M68,1),B65:I72,5,FALSE),IF(LEN($M68)=2,VLOOKUP(LEFT($M68,1),B65:I72,7,FALSE),""))</f>
        <v>MM</v>
      </c>
      <c r="P68" s="410" t="str">
        <f>IF(LEN($M68)=1,VLOOKUP(LEFT($M68,1),B65:I72,6,FALSE),IF(LEN($M68)=2,VLOOKUP(LEFT($M68,1),B65:I72,8,FALSE),""))</f>
        <v>Troy Hall</v>
      </c>
      <c r="Q68" s="371" t="s">
        <v>274</v>
      </c>
      <c r="R68" s="146" t="str">
        <f t="shared" si="40"/>
        <v>G</v>
      </c>
      <c r="S68" s="927" t="s">
        <v>820</v>
      </c>
      <c r="T68" s="927">
        <v>24</v>
      </c>
      <c r="U68" s="354" t="str">
        <f>IF(LEN($S68)=1,VLOOKUP(LEFT($S68,1),B65:I72,5,FALSE),IF(LEN($S68)=2,VLOOKUP(LEFT($S68,1),B65:I72,7,FALSE),""))</f>
        <v>GG</v>
      </c>
      <c r="V68" s="410" t="str">
        <f>IF(LEN($S68)=1,VLOOKUP(LEFT($S68,1),B65:I72,6,FALSE),IF(LEN($S68)=2,VLOOKUP(LEFT($S68,1),B65:I72,8,FALSE),""))</f>
        <v>Khari Caines</v>
      </c>
      <c r="W68" s="417">
        <f t="shared" si="48"/>
        <v>5</v>
      </c>
      <c r="Y68" s="16">
        <v>22</v>
      </c>
      <c r="Z68" s="16" t="str">
        <f t="shared" si="41"/>
        <v>Sol</v>
      </c>
      <c r="AA68" s="146" t="str">
        <f t="shared" si="42"/>
        <v>Royal</v>
      </c>
      <c r="AC68" s="16" t="str">
        <f t="shared" si="43"/>
        <v>R</v>
      </c>
      <c r="AD68" s="419" t="str">
        <f t="shared" si="43"/>
        <v>Rugby &amp; N'hampton</v>
      </c>
      <c r="AE68" s="419">
        <f>IF(ISNA(MATCH(AC68,N65:N74,0)),0,VLOOKUP(AC68,N65:S74,5,FALSE))</f>
        <v>0</v>
      </c>
      <c r="AF68" s="419" t="str">
        <f>IF(ISNA(MATCH(AC68,T65:T74,0))," ",VLOOKUP(AC68,T65:Y74,5,FALSE))</f>
        <v xml:space="preserve"> </v>
      </c>
      <c r="AG68" s="419">
        <f>IF(ISNA(MATCH(AC68,L65:L72,0)),0,VLOOKUP(AC68,L65:N72,3,FALSE))</f>
        <v>31.74</v>
      </c>
      <c r="AH68" s="419">
        <f>IF(ISNA(MATCH(AC68,R65:R72,0)),0,VLOOKUP(AC68,R65:T72,3,FALSE))</f>
        <v>28.79</v>
      </c>
      <c r="AI68" s="419" t="str">
        <f>IF(ISNA(MATCH(AC68,L65:L72,0)),0,VLOOKUP(AC68,L65:P72,4,FALSE))</f>
        <v>R</v>
      </c>
      <c r="AJ68" s="419" t="str">
        <f>IF(ISNA(MATCH(AC68,R65:R72,0)),0,VLOOKUP(AC68,R65:U72,4,FALSE))</f>
        <v>RR</v>
      </c>
      <c r="AK68" s="32">
        <f t="shared" si="44"/>
        <v>6</v>
      </c>
      <c r="AL68" s="32">
        <f t="shared" si="45"/>
        <v>3</v>
      </c>
      <c r="AM68" s="32">
        <f>IF(ISNA(MATCH(AC68,L65:L72,0)),0,VLOOKUP(AC68,L65:W72,AM$1,FALSE))</f>
        <v>3</v>
      </c>
      <c r="AN68" s="146">
        <f>IF(ISNA(MATCH(AC68,R65:R72,0)),0,VLOOKUP(AC68,R65:W72,AN$1,FALSE))</f>
        <v>6</v>
      </c>
      <c r="AP68" s="927"/>
      <c r="AQ68" s="927"/>
    </row>
    <row r="69" spans="1:47" ht="15.6" x14ac:dyDescent="0.3">
      <c r="A69" s="417">
        <f t="shared" si="47"/>
        <v>55</v>
      </c>
      <c r="B69" s="362" t="str">
        <f>'Event Details'!D$26</f>
        <v>M</v>
      </c>
      <c r="C69" s="381" t="str">
        <f>'Event Details'!E$26</f>
        <v>Solihull &amp; S.Heath</v>
      </c>
      <c r="D69" s="379"/>
      <c r="E69" s="378"/>
      <c r="F69" s="363" t="str">
        <f>VLOOKUP($B64,IF($H64="F",TeamSheetFemale,TeamSheetMale),$Y69-1,FALSE)</f>
        <v>M</v>
      </c>
      <c r="G69" s="380" t="str">
        <f>VLOOKUP($B64,IF($H64="F",TeamSheetFemale,TeamSheetMale),$Y69,FALSE)</f>
        <v>Edison Hughes</v>
      </c>
      <c r="H69" s="363" t="str">
        <f>VLOOKUP($B64,IF($H64="F",TeamSheetFemale,TeamSheetMale),$Y69+1,FALSE)</f>
        <v>MM</v>
      </c>
      <c r="I69" s="364" t="str">
        <f>VLOOKUP($B64,IF($H64="F",TeamSheetFemale,TeamSheetMale),$Y69+2,FALSE)</f>
        <v>Troy Hall</v>
      </c>
      <c r="K69" s="341" t="s">
        <v>275</v>
      </c>
      <c r="L69" s="16" t="str">
        <f t="shared" si="46"/>
        <v>U</v>
      </c>
      <c r="M69" s="927" t="s">
        <v>726</v>
      </c>
      <c r="N69" s="927">
        <v>33.47</v>
      </c>
      <c r="O69" s="354" t="str">
        <f>IF(LEN($M69)=1,VLOOKUP(LEFT($M69,1),B65:I72,5,FALSE),IF(LEN($M69)=2,VLOOKUP(LEFT($M69,1),B65:I72,7,FALSE),""))</f>
        <v>UU</v>
      </c>
      <c r="P69" s="410" t="str">
        <f>IF(LEN($M69)=1,VLOOKUP(LEFT($M69,1),B65:I72,6,FALSE),IF(LEN($M69)=2,VLOOKUP(LEFT($M69,1),B65:I72,8,FALSE),""))</f>
        <v>Ted Bates</v>
      </c>
      <c r="Q69" s="371" t="s">
        <v>275</v>
      </c>
      <c r="R69" s="146" t="str">
        <f t="shared" si="40"/>
        <v>U</v>
      </c>
      <c r="S69" s="927" t="s">
        <v>130</v>
      </c>
      <c r="T69" s="927">
        <v>23.2</v>
      </c>
      <c r="U69" s="354" t="str">
        <f>IF(LEN($S69)=1,VLOOKUP(LEFT($S69,1),B65:I72,5,FALSE),IF(LEN($S69)=2,VLOOKUP(LEFT($S69,1),B65:I72,7,FALSE),""))</f>
        <v>U</v>
      </c>
      <c r="V69" s="410" t="str">
        <f>IF(LEN($S69)=1,VLOOKUP(LEFT($S69,1),B65:I72,6,FALSE),IF(LEN($S69)=2,VLOOKUP(LEFT($S69,1),B65:I72,8,FALSE),""))</f>
        <v>Hugo Ford</v>
      </c>
      <c r="W69" s="417">
        <f t="shared" si="48"/>
        <v>4</v>
      </c>
      <c r="Y69" s="16">
        <v>27</v>
      </c>
      <c r="Z69" s="16" t="str">
        <f t="shared" si="41"/>
        <v>K&amp;S</v>
      </c>
      <c r="AA69" s="146" t="str">
        <f t="shared" si="42"/>
        <v>K&amp;S</v>
      </c>
      <c r="AC69" s="16" t="str">
        <f t="shared" si="43"/>
        <v>M</v>
      </c>
      <c r="AD69" s="419" t="str">
        <f t="shared" si="43"/>
        <v>Solihull &amp; S.Heath</v>
      </c>
      <c r="AE69" s="419">
        <f>IF(ISNA(MATCH(AC69,N65:N74,0)),0,VLOOKUP(AC69,N65:S74,5,FALSE))</f>
        <v>0</v>
      </c>
      <c r="AF69" s="419" t="str">
        <f>IF(ISNA(MATCH(AC69,T65:T74,0))," ",VLOOKUP(AC69,T65:Y74,5,FALSE))</f>
        <v xml:space="preserve"> </v>
      </c>
      <c r="AG69" s="419">
        <f>IF(ISNA(MATCH(AC69,L65:L72,0)),0,VLOOKUP(AC69,L65:N72,3,FALSE))</f>
        <v>35.31</v>
      </c>
      <c r="AH69" s="419">
        <f>IF(ISNA(MATCH(AC69,R65:R72,0)),0,VLOOKUP(AC69,R65:T72,3,FALSE))</f>
        <v>32.53</v>
      </c>
      <c r="AI69" s="419" t="str">
        <f>IF(ISNA(MATCH(AC69,L65:L72,0)),0,VLOOKUP(AC69,L65:P72,4,FALSE))</f>
        <v>MM</v>
      </c>
      <c r="AJ69" s="419" t="str">
        <f>IF(ISNA(MATCH(AC69,R65:R72,0)),0,VLOOKUP(AC69,R65:U72,4,FALSE))</f>
        <v>M</v>
      </c>
      <c r="AK69" s="32">
        <f t="shared" si="44"/>
        <v>4</v>
      </c>
      <c r="AL69" s="32">
        <f t="shared" si="45"/>
        <v>1</v>
      </c>
      <c r="AM69" s="32">
        <f>IF(ISNA(MATCH(AC69,L65:L72,0)),0,VLOOKUP(AC69,L65:W72,AM$1,FALSE))</f>
        <v>5</v>
      </c>
      <c r="AN69" s="146">
        <f>IF(ISNA(MATCH(AC69,R65:R72,0)),0,VLOOKUP(AC69,R65:W72,AN$1,FALSE))</f>
        <v>8</v>
      </c>
      <c r="AP69" s="927"/>
      <c r="AQ69" s="927"/>
    </row>
    <row r="70" spans="1:47" ht="15.6" x14ac:dyDescent="0.3">
      <c r="A70" s="417">
        <f t="shared" si="47"/>
        <v>56</v>
      </c>
      <c r="B70" s="362" t="str">
        <f>'Event Details'!D$27</f>
        <v>D</v>
      </c>
      <c r="C70" s="381" t="str">
        <f>'Event Details'!E$27</f>
        <v>Stratford</v>
      </c>
      <c r="D70" s="379"/>
      <c r="E70" s="378"/>
      <c r="F70" s="363" t="str">
        <f>VLOOKUP($B64,IF($H64="F",TeamSheetFemale,TeamSheetMale),$Y70-1,FALSE)</f>
        <v>D</v>
      </c>
      <c r="G70" s="380" t="str">
        <f>VLOOKUP($B64,IF($H64="F",TeamSheetFemale,TeamSheetMale),$Y70,FALSE)</f>
        <v>Jasper Allen</v>
      </c>
      <c r="H70" s="363" t="str">
        <f>VLOOKUP($B64,IF($H64="F",TeamSheetFemale,TeamSheetMale),$Y70+1,FALSE)</f>
        <v>DD</v>
      </c>
      <c r="I70" s="364" t="str">
        <f>VLOOKUP($B64,IF($H64="F",TeamSheetFemale,TeamSheetMale),$Y70+2,FALSE)</f>
        <v>Jacob Thomas</v>
      </c>
      <c r="K70" s="341" t="s">
        <v>276</v>
      </c>
      <c r="L70" s="16" t="str">
        <f t="shared" si="46"/>
        <v>R</v>
      </c>
      <c r="M70" s="927" t="s">
        <v>118</v>
      </c>
      <c r="N70" s="927">
        <v>31.74</v>
      </c>
      <c r="O70" s="354" t="str">
        <f>IF(LEN($M70)=1,VLOOKUP(LEFT($M70,1),B65:I72,5,FALSE),IF(LEN($M70)=2,VLOOKUP(LEFT($M70,1),B65:I72,7,FALSE),""))</f>
        <v>R</v>
      </c>
      <c r="P70" s="410" t="str">
        <f>IF(LEN($M70)=1,VLOOKUP(LEFT($M70,1),B65:I72,6,FALSE),IF(LEN($M70)=2,VLOOKUP(LEFT($M70,1),B65:I72,8,FALSE),""))</f>
        <v>Feranmi Remi-Omosowon</v>
      </c>
      <c r="Q70" s="371" t="s">
        <v>276</v>
      </c>
      <c r="R70" s="146" t="str">
        <f t="shared" si="40"/>
        <v>S</v>
      </c>
      <c r="S70" s="927" t="s">
        <v>818</v>
      </c>
      <c r="T70" s="927">
        <v>22.66</v>
      </c>
      <c r="U70" s="354" t="str">
        <f>IF(LEN($S70)=1,VLOOKUP(LEFT($S70,1),B65:I72,5,FALSE),IF(LEN($S70)=2,VLOOKUP(LEFT($S70,1),B65:I72,7,FALSE),""))</f>
        <v>SS</v>
      </c>
      <c r="V70" s="410" t="str">
        <f>IF(LEN($S70)=1,VLOOKUP(LEFT($S70,1),B65:I72,6,FALSE),IF(LEN($S70)=2,VLOOKUP(LEFT($S70,1),B65:I72,8,FALSE),""))</f>
        <v xml:space="preserve">Logan Pearce </v>
      </c>
      <c r="W70" s="417">
        <f t="shared" si="48"/>
        <v>3</v>
      </c>
      <c r="Y70" s="16">
        <v>32</v>
      </c>
      <c r="Z70" s="16" t="str">
        <f t="shared" si="41"/>
        <v>Rugby</v>
      </c>
      <c r="AA70" s="146" t="str">
        <f t="shared" si="42"/>
        <v>BRAT</v>
      </c>
      <c r="AC70" s="16" t="str">
        <f t="shared" si="43"/>
        <v>D</v>
      </c>
      <c r="AD70" s="419" t="str">
        <f t="shared" si="43"/>
        <v>Stratford</v>
      </c>
      <c r="AE70" s="419">
        <f>IF(ISNA(MATCH(AC70,N65:N74,0)),0,VLOOKUP(AC70,N65:S74,5,FALSE))</f>
        <v>0</v>
      </c>
      <c r="AF70" s="419" t="str">
        <f>IF(ISNA(MATCH(AC70,T65:T74,0))," ",VLOOKUP(AC70,T65:Y74,5,FALSE))</f>
        <v xml:space="preserve"> </v>
      </c>
      <c r="AG70" s="419">
        <f>IF(ISNA(MATCH(AC70,L65:L72,0)),0,VLOOKUP(AC70,L65:N72,3,FALSE))</f>
        <v>36.51</v>
      </c>
      <c r="AH70" s="419">
        <f>IF(ISNA(MATCH(AC70,R65:R72,0)),0,VLOOKUP(AC70,R65:T72,3,FALSE))</f>
        <v>29.38</v>
      </c>
      <c r="AI70" s="419" t="str">
        <f>IF(ISNA(MATCH(AC70,L65:L72,0)),0,VLOOKUP(AC70,L65:P72,4,FALSE))</f>
        <v>D</v>
      </c>
      <c r="AJ70" s="419" t="str">
        <f>IF(ISNA(MATCH(AC70,R65:R72,0)),0,VLOOKUP(AC70,R65:U72,4,FALSE))</f>
        <v>DD</v>
      </c>
      <c r="AK70" s="32">
        <f t="shared" si="44"/>
        <v>3</v>
      </c>
      <c r="AL70" s="32">
        <f t="shared" si="45"/>
        <v>2</v>
      </c>
      <c r="AM70" s="32">
        <f>IF(ISNA(MATCH(AC70,L65:L72,0)),0,VLOOKUP(AC70,L65:W72,AM$1,FALSE))</f>
        <v>6</v>
      </c>
      <c r="AN70" s="146">
        <f>IF(ISNA(MATCH(AC70,R65:R72,0)),0,VLOOKUP(AC70,R65:W72,AN$1,FALSE))</f>
        <v>7</v>
      </c>
      <c r="AP70" s="927"/>
      <c r="AQ70" s="927"/>
    </row>
    <row r="71" spans="1:47" ht="15.6" x14ac:dyDescent="0.3">
      <c r="A71" s="417">
        <f t="shared" si="47"/>
        <v>57</v>
      </c>
      <c r="B71" s="362" t="str">
        <f>'Event Details'!D$28</f>
        <v>F</v>
      </c>
      <c r="C71" s="381" t="str">
        <f>'Event Details'!E$28</f>
        <v>Tamworth</v>
      </c>
      <c r="D71" s="379"/>
      <c r="E71" s="378"/>
      <c r="F71" s="363" t="str">
        <f>VLOOKUP($B64,IF($H64="F",TeamSheetFemale,TeamSheetMale),$Y71-1,FALSE)</f>
        <v>F</v>
      </c>
      <c r="G71" s="380" t="str">
        <f>VLOOKUP($B64,IF($H64="F",TeamSheetFemale,TeamSheetMale),$Y71,FALSE)</f>
        <v>Evan Darby</v>
      </c>
      <c r="H71" s="363" t="str">
        <f>VLOOKUP($B64,IF($H64="F",TeamSheetFemale,TeamSheetMale),$Y71+1,FALSE)</f>
        <v>FF</v>
      </c>
      <c r="I71" s="364" t="str">
        <f>VLOOKUP($B64,IF($H64="F",TeamSheetFemale,TeamSheetMale),$Y71+2,FALSE)</f>
        <v>Lucas Beggs</v>
      </c>
      <c r="K71" s="341" t="s">
        <v>277</v>
      </c>
      <c r="L71" s="16" t="str">
        <f t="shared" si="46"/>
        <v>S</v>
      </c>
      <c r="M71" s="927" t="s">
        <v>100</v>
      </c>
      <c r="N71" s="927">
        <v>31.27</v>
      </c>
      <c r="O71" s="354" t="str">
        <f>IF(LEN($M71)=1,VLOOKUP(LEFT($M71,1),B65:I72,5,FALSE),IF(LEN($M71)=2,VLOOKUP(LEFT($M71,1),B65:I72,7,FALSE),""))</f>
        <v>S</v>
      </c>
      <c r="P71" s="410" t="str">
        <f>IF(LEN($M71)=1,VLOOKUP(LEFT($M71,1),B65:I72,6,FALSE),IF(LEN($M71)=2,VLOOKUP(LEFT($M71,1),B65:I72,8,FALSE),""))</f>
        <v xml:space="preserve">Leo Parekh </v>
      </c>
      <c r="Q71" s="371" t="s">
        <v>277</v>
      </c>
      <c r="R71" s="146" t="str">
        <f t="shared" si="40"/>
        <v>Y</v>
      </c>
      <c r="S71" s="927" t="s">
        <v>822</v>
      </c>
      <c r="T71" s="927">
        <v>16.920000000000002</v>
      </c>
      <c r="U71" s="354" t="str">
        <f>IF(LEN($S71)=1,VLOOKUP(LEFT($S71,1),B65:I72,5,FALSE),IF(LEN($S71)=2,VLOOKUP(LEFT($S71,1),B65:I72,7,FALSE),""))</f>
        <v>YY</v>
      </c>
      <c r="V71" s="410" t="str">
        <f>IF(LEN($S71)=1,VLOOKUP(LEFT($S71,1),B65:I72,6,FALSE),IF(LEN($S71)=2,VLOOKUP(LEFT($S71,1),B65:I72,8,FALSE),""))</f>
        <v>Felix Whakahau</v>
      </c>
      <c r="W71" s="417">
        <f t="shared" si="48"/>
        <v>2</v>
      </c>
      <c r="Y71" s="16">
        <v>37</v>
      </c>
      <c r="Z71" s="16" t="str">
        <f t="shared" si="41"/>
        <v>BRAT</v>
      </c>
      <c r="AA71" s="146" t="str">
        <f t="shared" si="42"/>
        <v>Worc</v>
      </c>
      <c r="AC71" s="16" t="str">
        <f t="shared" si="43"/>
        <v>F</v>
      </c>
      <c r="AD71" s="419" t="str">
        <f t="shared" si="43"/>
        <v>Tamworth</v>
      </c>
      <c r="AE71" s="419">
        <f>IF(ISNA(MATCH(AC71,N63:N72,0)),0,VLOOKUP(AC71,N63:S72,5,FALSE))</f>
        <v>0</v>
      </c>
      <c r="AF71" s="419" t="str">
        <f>IF(ISNA(MATCH(AC71,T63:T72,0))," ",VLOOKUP(AC71,T63:Y72,5,FALSE))</f>
        <v xml:space="preserve"> </v>
      </c>
      <c r="AG71" s="419">
        <f>IF(ISNA(MATCH(AC71,L65:L72,0)),0,VLOOKUP(AC71,L65:N72,3,FALSE))</f>
        <v>25.39</v>
      </c>
      <c r="AH71" s="419">
        <f>IF(ISNA(MATCH(AC71,R65:R72,0)),0,VLOOKUP(AC71,R65:T72,3,FALSE))</f>
        <v>15.68</v>
      </c>
      <c r="AI71" s="419" t="str">
        <f>IF(ISNA(MATCH(AC71,L65:L72,0)),0,VLOOKUP(AC71,L65:P72,4,FALSE))</f>
        <v>F</v>
      </c>
      <c r="AJ71" s="419" t="str">
        <f>IF(ISNA(MATCH(AC71,R65:R72,0)),0,VLOOKUP(AC71,R65:U72,4,FALSE))</f>
        <v>FF</v>
      </c>
      <c r="AK71" s="32">
        <f t="shared" si="44"/>
        <v>8</v>
      </c>
      <c r="AL71" s="32">
        <f t="shared" si="45"/>
        <v>8</v>
      </c>
      <c r="AM71" s="32">
        <f>IF(ISNA(MATCH(AC71,L65:L72,0)),0,VLOOKUP(AC71,L65:W72,AM$1,FALSE))</f>
        <v>1</v>
      </c>
      <c r="AN71" s="146">
        <f>IF(ISNA(MATCH(AC71,R65:R72,0)),0,VLOOKUP(AC71,R65:W72,AN$1,FALSE))</f>
        <v>1</v>
      </c>
      <c r="AP71" s="927"/>
      <c r="AQ71" s="927"/>
    </row>
    <row r="72" spans="1:47" ht="16.2" thickBot="1" x14ac:dyDescent="0.35">
      <c r="A72" s="418">
        <f t="shared" si="47"/>
        <v>58</v>
      </c>
      <c r="B72" s="365" t="str">
        <f>'Event Details'!D$29</f>
        <v>Y</v>
      </c>
      <c r="C72" s="366" t="str">
        <f>'Event Details'!E$29</f>
        <v>Worcester</v>
      </c>
      <c r="D72" s="361"/>
      <c r="E72" s="370"/>
      <c r="F72" s="367" t="str">
        <f>VLOOKUP($B64,IF($H64="F",TeamSheetFemale,TeamSheetMale),$Y72-1,FALSE)</f>
        <v>Y</v>
      </c>
      <c r="G72" s="368" t="str">
        <f>VLOOKUP($B64,IF($H64="F",TeamSheetFemale,TeamSheetMale),$Y72,FALSE)</f>
        <v>Thomas Jenkinson</v>
      </c>
      <c r="H72" s="367" t="str">
        <f>VLOOKUP($B64,IF($H64="F",TeamSheetFemale,TeamSheetMale),$Y72+1,FALSE)</f>
        <v>YY</v>
      </c>
      <c r="I72" s="369" t="str">
        <f>VLOOKUP($B64,IF($H64="F",TeamSheetFemale,TeamSheetMale),$Y72+2,FALSE)</f>
        <v>Felix Whakahau</v>
      </c>
      <c r="K72" s="346" t="s">
        <v>278</v>
      </c>
      <c r="L72" s="25" t="str">
        <f t="shared" si="46"/>
        <v>F</v>
      </c>
      <c r="M72" s="932" t="s">
        <v>142</v>
      </c>
      <c r="N72" s="932">
        <v>25.39</v>
      </c>
      <c r="O72" s="374" t="str">
        <f>IF(LEN($M72)=1,VLOOKUP(LEFT($M72,1),B65:I72,5,FALSE),IF(LEN($M72)=2,VLOOKUP(LEFT($M72,1),B65:I72,7,FALSE),""))</f>
        <v>F</v>
      </c>
      <c r="P72" s="411" t="str">
        <f>IF(LEN($M72)=1,VLOOKUP(LEFT($M72,1),B65:I72,6,FALSE),IF(LEN($M72)=2,VLOOKUP(LEFT($M72,1),B65:I72,8,FALSE),""))</f>
        <v>Evan Darby</v>
      </c>
      <c r="Q72" s="407" t="s">
        <v>278</v>
      </c>
      <c r="R72" s="523" t="str">
        <f t="shared" si="40"/>
        <v>F</v>
      </c>
      <c r="S72" s="932" t="s">
        <v>576</v>
      </c>
      <c r="T72" s="932">
        <v>15.68</v>
      </c>
      <c r="U72" s="374" t="str">
        <f>IF(LEN($S72)=1,VLOOKUP(LEFT($S72,1),B65:I72,5,FALSE),IF(LEN($S72)=2,VLOOKUP(LEFT($S72,1),B65:I72,7,FALSE),""))</f>
        <v>FF</v>
      </c>
      <c r="V72" s="411" t="str">
        <f>IF(LEN($S72)=1,VLOOKUP(LEFT($S72,1),B65:I72,6,FALSE),IF(LEN($S72)=2,VLOOKUP(LEFT($S72,1),B65:I72,8,FALSE),""))</f>
        <v>Lucas Beggs</v>
      </c>
      <c r="W72" s="418">
        <f t="shared" si="48"/>
        <v>1</v>
      </c>
      <c r="Y72" s="25">
        <v>42</v>
      </c>
      <c r="Z72" s="25" t="str">
        <f t="shared" si="41"/>
        <v>Tam</v>
      </c>
      <c r="AA72" s="523" t="str">
        <f t="shared" si="42"/>
        <v>Tam</v>
      </c>
      <c r="AC72" s="25" t="str">
        <f t="shared" si="43"/>
        <v>Y</v>
      </c>
      <c r="AD72" s="624" t="str">
        <f t="shared" si="43"/>
        <v>Worcester</v>
      </c>
      <c r="AE72" s="624">
        <f>IF(ISNA(MATCH(AC72,N64:N73,0)),0,VLOOKUP(AC72,N64:S73,5,FALSE))</f>
        <v>0</v>
      </c>
      <c r="AF72" s="624" t="str">
        <f t="shared" ref="AF72" si="49">IF(ISNA(MATCH(AC72,T64:T73,0))," ",VLOOKUP(AC72,T64:Y73,5,FALSE))</f>
        <v xml:space="preserve"> </v>
      </c>
      <c r="AG72" s="624">
        <f>IF(ISNA(MATCH(AC72,L65:L72,0)),0,VLOOKUP(AC72,L65:N72,3,FALSE))</f>
        <v>37.54</v>
      </c>
      <c r="AH72" s="624">
        <f>IF(ISNA(MATCH(AC72,R65:R72,0)),0,VLOOKUP(AC72,R65:T72,3,FALSE))</f>
        <v>16.920000000000002</v>
      </c>
      <c r="AI72" s="624" t="str">
        <f>IF(ISNA(MATCH(AC72,L65:L72,0)),0,VLOOKUP(AC72,L65:P72,4,FALSE))</f>
        <v>Y</v>
      </c>
      <c r="AJ72" s="624" t="str">
        <f>IF(ISNA(MATCH(AC72,R65:R72,0)),0,VLOOKUP(AC72,R65:U72,4,FALSE))</f>
        <v>YY</v>
      </c>
      <c r="AK72" s="116">
        <f t="shared" si="44"/>
        <v>2</v>
      </c>
      <c r="AL72" s="116">
        <f t="shared" si="45"/>
        <v>7</v>
      </c>
      <c r="AM72" s="116">
        <f>IF(ISNA(MATCH(AC72,L65:L72,0)),0,VLOOKUP(AC72,L65:W72,AM$1,FALSE))</f>
        <v>7</v>
      </c>
      <c r="AN72" s="523">
        <f>IF(ISNA(MATCH(AC72,R65:R72,0)),0,VLOOKUP(AC72,R65:W72,AN$1,FALSE))</f>
        <v>2</v>
      </c>
      <c r="AP72" s="932"/>
      <c r="AQ72" s="932"/>
    </row>
    <row r="73" spans="1:47" ht="15" thickBot="1" x14ac:dyDescent="0.35">
      <c r="M73" s="276"/>
      <c r="N73" s="276"/>
      <c r="S73" s="276"/>
      <c r="T73" s="276"/>
      <c r="AP73" s="276"/>
      <c r="AQ73" s="276"/>
    </row>
    <row r="74" spans="1:47" x14ac:dyDescent="0.3">
      <c r="B74" s="400" t="s">
        <v>258</v>
      </c>
      <c r="C74" s="398"/>
      <c r="D74" s="401" t="s">
        <v>165</v>
      </c>
      <c r="E74" s="398"/>
      <c r="F74" s="398"/>
      <c r="G74" s="402" t="s">
        <v>259</v>
      </c>
      <c r="H74" s="403" t="s">
        <v>249</v>
      </c>
      <c r="I74" s="404" t="s">
        <v>168</v>
      </c>
      <c r="K74" s="360"/>
      <c r="L74" s="661"/>
      <c r="M74" s="387" t="s">
        <v>260</v>
      </c>
      <c r="N74" s="387" t="s">
        <v>261</v>
      </c>
      <c r="O74" s="387" t="s">
        <v>262</v>
      </c>
      <c r="P74" s="388" t="s">
        <v>75</v>
      </c>
      <c r="Q74" s="389"/>
      <c r="R74" s="657"/>
      <c r="S74" s="387" t="s">
        <v>260</v>
      </c>
      <c r="T74" s="387" t="s">
        <v>261</v>
      </c>
      <c r="U74" s="387" t="s">
        <v>262</v>
      </c>
      <c r="V74" s="388" t="s">
        <v>75</v>
      </c>
      <c r="W74" s="672" t="s">
        <v>76</v>
      </c>
      <c r="Y74" s="414" t="s">
        <v>263</v>
      </c>
      <c r="Z74" s="656" t="s">
        <v>74</v>
      </c>
      <c r="AA74" s="657" t="s">
        <v>75</v>
      </c>
      <c r="AC74" s="665" t="s">
        <v>71</v>
      </c>
      <c r="AD74" s="657" t="s">
        <v>86</v>
      </c>
      <c r="AE74" s="661" t="s">
        <v>149</v>
      </c>
      <c r="AF74" s="661" t="s">
        <v>94</v>
      </c>
      <c r="AG74" s="661" t="s">
        <v>149</v>
      </c>
      <c r="AH74" s="661" t="s">
        <v>94</v>
      </c>
      <c r="AI74" s="661" t="s">
        <v>149</v>
      </c>
      <c r="AJ74" s="661" t="s">
        <v>94</v>
      </c>
      <c r="AK74" s="1332" t="s">
        <v>149</v>
      </c>
      <c r="AL74" s="661" t="s">
        <v>94</v>
      </c>
      <c r="AM74" s="1406" t="s">
        <v>76</v>
      </c>
      <c r="AN74" s="1407"/>
      <c r="AP74" s="387" t="s">
        <v>260</v>
      </c>
      <c r="AQ74" s="387" t="s">
        <v>261</v>
      </c>
      <c r="AS74" s="1218" t="s">
        <v>165</v>
      </c>
      <c r="AT74" s="1219" t="s">
        <v>79</v>
      </c>
      <c r="AU74" s="1220" t="s">
        <v>80</v>
      </c>
    </row>
    <row r="75" spans="1:47" ht="15" thickBot="1" x14ac:dyDescent="0.35">
      <c r="B75" s="405">
        <v>6</v>
      </c>
      <c r="C75" s="399"/>
      <c r="D75" s="385" t="str">
        <f>VLOOKUP($B75,EventOrder,6,FALSE)</f>
        <v xml:space="preserve">Howler </v>
      </c>
      <c r="E75" s="399"/>
      <c r="F75" s="385"/>
      <c r="G75" s="386" t="str">
        <f>VLOOKUP($B75,EventOrder,4,FALSE)</f>
        <v>U12 Female</v>
      </c>
      <c r="H75" s="396" t="str">
        <f>IF(MID(G75,5,1)="F","F","M")</f>
        <v>F</v>
      </c>
      <c r="I75" s="397">
        <f>VLOOKUP($B75,EventOrder,2,FALSE)</f>
        <v>11.45</v>
      </c>
      <c r="K75" s="377"/>
      <c r="L75" s="667" t="s">
        <v>149</v>
      </c>
      <c r="M75" s="409" t="s">
        <v>264</v>
      </c>
      <c r="N75" s="409" t="s">
        <v>265</v>
      </c>
      <c r="O75" s="390" t="s">
        <v>266</v>
      </c>
      <c r="P75" s="391"/>
      <c r="Q75" s="392"/>
      <c r="R75" s="659" t="s">
        <v>94</v>
      </c>
      <c r="S75" s="409" t="s">
        <v>264</v>
      </c>
      <c r="T75" s="409" t="s">
        <v>265</v>
      </c>
      <c r="U75" s="390" t="s">
        <v>266</v>
      </c>
      <c r="V75" s="391"/>
      <c r="W75" s="671"/>
      <c r="Y75" s="415" t="s">
        <v>167</v>
      </c>
      <c r="Z75" s="658" t="s">
        <v>149</v>
      </c>
      <c r="AA75" s="659" t="s">
        <v>94</v>
      </c>
      <c r="AC75" s="666"/>
      <c r="AD75" s="668"/>
      <c r="AE75" s="768" t="s">
        <v>75</v>
      </c>
      <c r="AF75" s="768" t="s">
        <v>75</v>
      </c>
      <c r="AG75" s="768" t="s">
        <v>267</v>
      </c>
      <c r="AH75" s="768" t="s">
        <v>267</v>
      </c>
      <c r="AI75" s="768" t="s">
        <v>268</v>
      </c>
      <c r="AJ75" s="768" t="s">
        <v>268</v>
      </c>
      <c r="AK75" s="770" t="s">
        <v>269</v>
      </c>
      <c r="AL75" s="768" t="s">
        <v>269</v>
      </c>
      <c r="AM75" s="667" t="s">
        <v>149</v>
      </c>
      <c r="AN75" s="659" t="s">
        <v>94</v>
      </c>
      <c r="AP75" s="409" t="s">
        <v>264</v>
      </c>
      <c r="AQ75" s="409" t="s">
        <v>265</v>
      </c>
      <c r="AS75" s="1221" t="s">
        <v>270</v>
      </c>
      <c r="AT75" s="1222" t="s">
        <v>270</v>
      </c>
      <c r="AU75" s="1223" t="s">
        <v>270</v>
      </c>
    </row>
    <row r="76" spans="1:47" ht="15.6" x14ac:dyDescent="0.3">
      <c r="A76" s="416">
        <f>(B75*10)+1</f>
        <v>61</v>
      </c>
      <c r="B76" s="362" t="str">
        <f>'Event Details'!D$22</f>
        <v>S</v>
      </c>
      <c r="C76" s="381" t="str">
        <f>'Event Details'!E$22</f>
        <v>BRAT</v>
      </c>
      <c r="D76" s="379"/>
      <c r="E76" s="378"/>
      <c r="F76" s="363" t="str">
        <f>VLOOKUP($B75,IF($H75="F",TeamSheetFemale,TeamSheetMale),$Y76-1,FALSE)</f>
        <v>S</v>
      </c>
      <c r="G76" s="380" t="str">
        <f>VLOOKUP($B75,IF($H75="F",TeamSheetFemale,TeamSheetMale),$Y76,FALSE)</f>
        <v>Khushi Chanal</v>
      </c>
      <c r="H76" s="363" t="str">
        <f>VLOOKUP($B75,IF($H75="F",TeamSheetFemale,TeamSheetMale),$Y76+1,FALSE)</f>
        <v>SS</v>
      </c>
      <c r="I76" s="364" t="str">
        <f>VLOOKUP($B75,IF($H75="F",TeamSheetFemale,TeamSheetMale),$Y76+2,FALSE)</f>
        <v>Sophia Thomas</v>
      </c>
      <c r="K76" s="393" t="s">
        <v>271</v>
      </c>
      <c r="L76" s="16" t="str">
        <f t="shared" ref="L76:L83" si="50">LEFT(M76,1)</f>
        <v>R</v>
      </c>
      <c r="M76" s="926" t="s">
        <v>118</v>
      </c>
      <c r="N76" s="926">
        <v>25.28</v>
      </c>
      <c r="O76" s="394" t="str">
        <f>IF(LEN($M76)=1,VLOOKUP(LEFT($M76,1),B76:I83,5,FALSE),IF(LEN($M76)=2,VLOOKUP(LEFT($M76,1),B76:I83,7,FALSE),""))</f>
        <v>R</v>
      </c>
      <c r="P76" s="395" t="str">
        <f>IF(LEN($M76)=1,VLOOKUP(LEFT($M76,1),B76:I83,6,FALSE),IF(LEN($M76)=2,VLOOKUP(LEFT($M76,1),B76:I83,8,FALSE),""))</f>
        <v>Olive Lovelock</v>
      </c>
      <c r="Q76" s="393" t="s">
        <v>271</v>
      </c>
      <c r="R76" s="146" t="str">
        <f t="shared" ref="R76:R83" si="51">LEFT(S76,1)</f>
        <v>M</v>
      </c>
      <c r="S76" s="926" t="s">
        <v>127</v>
      </c>
      <c r="T76" s="926">
        <v>16.91</v>
      </c>
      <c r="U76" s="394" t="str">
        <f>IF(LEN($S76)=1,VLOOKUP(LEFT($S76,1),B76:I83,5,FALSE),IF(LEN($S76)=2,VLOOKUP(LEFT($S76,1),B76:I83,7,FALSE),""))</f>
        <v>M</v>
      </c>
      <c r="V76" s="395" t="str">
        <f>IF(LEN($S76)=1,VLOOKUP(LEFT($S76,1),B76:I83,6,FALSE),IF(LEN($S76)=2,VLOOKUP(LEFT($S76,1),B76:I83,8,FALSE),""))</f>
        <v>Molly Dale</v>
      </c>
      <c r="W76" s="417">
        <f>AN$6</f>
        <v>8</v>
      </c>
      <c r="Y76" s="416">
        <v>7</v>
      </c>
      <c r="Z76" s="653" t="str">
        <f t="shared" ref="Z76:Z83" si="52">IF(LEN(M76)&gt;0,VLOOKUP(LEFT(M76,1),ShortName,5,FALSE),0)</f>
        <v>Rugby</v>
      </c>
      <c r="AA76" s="138" t="str">
        <f t="shared" ref="AA76:AA83" si="53">IF(LEN(S76)&gt;0,VLOOKUP(LEFT(S76,1),ShortName,5,FALSE),0)</f>
        <v>Sol</v>
      </c>
      <c r="AC76" s="16" t="str">
        <f t="shared" ref="AC76:AD83" si="54">B76</f>
        <v>S</v>
      </c>
      <c r="AD76" s="419" t="str">
        <f t="shared" si="54"/>
        <v>BRAT</v>
      </c>
      <c r="AE76" s="635">
        <f>IF(ISNA(MATCH(AC76,N76:N85,0)),0,VLOOKUP(AC76,N76:S85,5,FALSE))</f>
        <v>0</v>
      </c>
      <c r="AF76" s="635" t="str">
        <f>IF(ISNA(MATCH(AC76,T76:T85,0))," ",VLOOKUP(AC76,T76:Y85,5,FALSE))</f>
        <v xml:space="preserve"> </v>
      </c>
      <c r="AG76" s="635">
        <f>IF(ISNA(MATCH(AC76,L76:L83,0)),0,VLOOKUP(AC76,L76:N83,3,FALSE))</f>
        <v>16.38</v>
      </c>
      <c r="AH76" s="635">
        <f>IF(ISNA(MATCH(AC76,R76:R83,0)),0,VLOOKUP(AC76,R76:T83,3,FALSE))</f>
        <v>11.41</v>
      </c>
      <c r="AI76" s="635" t="str">
        <f>IF(ISNA(MATCH(AC76,L76:L83,0)),0,VLOOKUP(AC76,L76:P83,4,FALSE))</f>
        <v>S</v>
      </c>
      <c r="AJ76" s="635" t="str">
        <f>IF(ISNA(MATCH(AC76,R76:R83,0)),0,VLOOKUP(AC76,R76:U83,4,FALSE))</f>
        <v>SS</v>
      </c>
      <c r="AK76" s="49">
        <f t="shared" ref="AK76:AK83" si="55">IF(AM76=0,0,AN$6-(AM76-1))</f>
        <v>3</v>
      </c>
      <c r="AL76" s="49">
        <f t="shared" ref="AL76:AL83" si="56">IF(AN76=0,0,AN$6-(AN76-1))</f>
        <v>5</v>
      </c>
      <c r="AM76" s="49">
        <f>IF(ISNA(MATCH(AC76,L76:L83,0)),0,VLOOKUP(AC76,L76:W83,AM$1,FALSE))</f>
        <v>6</v>
      </c>
      <c r="AN76" s="138">
        <f>IF(ISNA(MATCH(AC76,R76:R83,0)),0,VLOOKUP(AC76,R76:W83,AN$1,FALSE))</f>
        <v>4</v>
      </c>
      <c r="AP76" s="926"/>
      <c r="AQ76" s="926"/>
      <c r="AS76" s="32">
        <f>IF(LEN(N76)&gt;0,1,0)</f>
        <v>1</v>
      </c>
      <c r="AT76" s="32">
        <f>IF(AND(AS76=1,H75="M"),1,0)</f>
        <v>0</v>
      </c>
      <c r="AU76" s="32">
        <f>IF(AND(AS76=1,H75="F"),1,0)</f>
        <v>1</v>
      </c>
    </row>
    <row r="77" spans="1:47" ht="15.6" x14ac:dyDescent="0.3">
      <c r="A77" s="417">
        <f>A76+1</f>
        <v>62</v>
      </c>
      <c r="B77" s="362" t="str">
        <f>'Event Details'!D$23</f>
        <v>U</v>
      </c>
      <c r="C77" s="381" t="str">
        <f>'Event Details'!E$23</f>
        <v>Kidder &amp; Stourport</v>
      </c>
      <c r="D77" s="379"/>
      <c r="E77" s="378"/>
      <c r="F77" s="363" t="str">
        <f>VLOOKUP($B75,IF($H75="F",TeamSheetFemale,TeamSheetMale),$Y77-1,FALSE)</f>
        <v>U</v>
      </c>
      <c r="G77" s="380" t="str">
        <f>VLOOKUP($B75,IF($H75="F",TeamSheetFemale,TeamSheetMale),$Y77,FALSE)</f>
        <v>Alica Bland</v>
      </c>
      <c r="H77" s="363" t="str">
        <f>VLOOKUP($B75,IF($H75="F",TeamSheetFemale,TeamSheetMale),$Y77+1,FALSE)</f>
        <v>UU</v>
      </c>
      <c r="I77" s="364" t="str">
        <f>VLOOKUP($B75,IF($H75="F",TeamSheetFemale,TeamSheetMale),$Y77+2,FALSE)</f>
        <v xml:space="preserve">Alice Thompson </v>
      </c>
      <c r="K77" s="341" t="s">
        <v>272</v>
      </c>
      <c r="L77" s="16" t="str">
        <f t="shared" si="50"/>
        <v>M</v>
      </c>
      <c r="M77" s="927" t="s">
        <v>821</v>
      </c>
      <c r="N77" s="927">
        <v>17.579999999999998</v>
      </c>
      <c r="O77" s="353" t="str">
        <f>IF(LEN($M77)=1,VLOOKUP(LEFT($M77,1),B76:I83,5,FALSE),IF(LEN($M77)=2,VLOOKUP(LEFT($M77,1),B76:I83,7,FALSE),""))</f>
        <v>MM</v>
      </c>
      <c r="P77" s="373" t="str">
        <f>IF(LEN($M77)=1,VLOOKUP(LEFT($M77,1),B76:I83,6,FALSE),IF(LEN($M77)=2,VLOOKUP(LEFT($M77,1),B76:I83,8,FALSE),""))</f>
        <v>Jessica Blundell</v>
      </c>
      <c r="Q77" s="341" t="s">
        <v>272</v>
      </c>
      <c r="R77" s="146" t="str">
        <f t="shared" si="51"/>
        <v>D</v>
      </c>
      <c r="S77" s="927" t="s">
        <v>513</v>
      </c>
      <c r="T77" s="927">
        <v>13.52</v>
      </c>
      <c r="U77" s="353" t="str">
        <f>IF(LEN($S77)=1,VLOOKUP(LEFT($S77,1),B76:I83,5,FALSE),IF(LEN($S77)=2,VLOOKUP(LEFT($S77,1),B76:I83,7,FALSE),""))</f>
        <v>DD</v>
      </c>
      <c r="V77" s="373" t="str">
        <f>IF(LEN($S77)=1,VLOOKUP(LEFT($S77,1),B76:I83,6,FALSE),IF(LEN($S77)=2,VLOOKUP(LEFT($S77,1),B76:I83,8,FALSE),""))</f>
        <v>Florence Castle</v>
      </c>
      <c r="W77" s="417">
        <f>W76-1</f>
        <v>7</v>
      </c>
      <c r="Y77" s="417">
        <v>12</v>
      </c>
      <c r="Z77" s="16" t="str">
        <f t="shared" si="52"/>
        <v>Sol</v>
      </c>
      <c r="AA77" s="146" t="str">
        <f t="shared" si="53"/>
        <v>Strat</v>
      </c>
      <c r="AC77" s="16" t="str">
        <f t="shared" si="54"/>
        <v>U</v>
      </c>
      <c r="AD77" s="419" t="str">
        <f t="shared" si="54"/>
        <v>Kidder &amp; Stourport</v>
      </c>
      <c r="AE77" s="419">
        <f>IF(ISNA(MATCH(AC77,N76:N85,0)),0,VLOOKUP(AC77,N76:S85,5,FALSE))</f>
        <v>0</v>
      </c>
      <c r="AF77" s="419" t="str">
        <f>IF(ISNA(MATCH(AC77,T76:T85,0))," ",VLOOKUP(AC77,T76:Y85,5,FALSE))</f>
        <v xml:space="preserve"> </v>
      </c>
      <c r="AG77" s="419">
        <f>IF(ISNA(MATCH(AC77,L76:L83,0)),0,VLOOKUP(AC77,L76:N83,3,FALSE))</f>
        <v>16.059999999999999</v>
      </c>
      <c r="AH77" s="419">
        <f>IF(ISNA(MATCH(AC77,R76:R83,0)),0,VLOOKUP(AC77,R76:T83,3,FALSE))</f>
        <v>12.56</v>
      </c>
      <c r="AI77" s="419" t="str">
        <f>IF(ISNA(MATCH(AC77,L76:L83,0)),0,VLOOKUP(AC77,L76:P83,4,FALSE))</f>
        <v>UU</v>
      </c>
      <c r="AJ77" s="419" t="str">
        <f>IF(ISNA(MATCH(AC77,R76:R83,0)),0,VLOOKUP(AC77,R76:U83,4,FALSE))</f>
        <v>U</v>
      </c>
      <c r="AK77" s="32">
        <f t="shared" si="55"/>
        <v>4</v>
      </c>
      <c r="AL77" s="32">
        <f t="shared" si="56"/>
        <v>4</v>
      </c>
      <c r="AM77" s="32">
        <f>IF(ISNA(MATCH(AC77,L76:L83,0)),0,VLOOKUP(AC77,L76:W83,AM$1,FALSE))</f>
        <v>5</v>
      </c>
      <c r="AN77" s="146">
        <f>IF(ISNA(MATCH(AC77,R76:R83,0)),0,VLOOKUP(AC77,R76:W83,AN$1,FALSE))</f>
        <v>5</v>
      </c>
      <c r="AP77" s="927"/>
      <c r="AQ77" s="927"/>
    </row>
    <row r="78" spans="1:47" ht="15.6" x14ac:dyDescent="0.3">
      <c r="A78" s="417">
        <f t="shared" ref="A78:A83" si="57">A77+1</f>
        <v>63</v>
      </c>
      <c r="B78" s="362" t="str">
        <f>'Event Details'!D$24</f>
        <v>G</v>
      </c>
      <c r="C78" s="381" t="str">
        <f>'Event Details'!E$24</f>
        <v>Royal Sutton</v>
      </c>
      <c r="D78" s="379"/>
      <c r="E78" s="378"/>
      <c r="F78" s="363" t="str">
        <f>VLOOKUP($B75,IF($H75="F",TeamSheetFemale,TeamSheetMale),$Y78-1,FALSE)</f>
        <v>G</v>
      </c>
      <c r="G78" s="380" t="str">
        <f>VLOOKUP($B75,IF($H75="F",TeamSheetFemale,TeamSheetMale),$Y78,FALSE)</f>
        <v xml:space="preserve">Lila Wilmore </v>
      </c>
      <c r="H78" s="363" t="str">
        <f>VLOOKUP($B75,IF($H75="F",TeamSheetFemale,TeamSheetMale),$Y78+1,FALSE)</f>
        <v>GG</v>
      </c>
      <c r="I78" s="364" t="str">
        <f>VLOOKUP($B75,IF($H75="F",TeamSheetFemale,TeamSheetMale),$Y78+2,FALSE)</f>
        <v>Bea Sims</v>
      </c>
      <c r="K78" s="341" t="s">
        <v>273</v>
      </c>
      <c r="L78" s="16" t="str">
        <f t="shared" si="50"/>
        <v>S</v>
      </c>
      <c r="M78" s="927" t="s">
        <v>100</v>
      </c>
      <c r="N78" s="927">
        <v>16.38</v>
      </c>
      <c r="O78" s="353" t="str">
        <f>IF(LEN($M78)=1,VLOOKUP(LEFT($M78,1),B76:I83,5,FALSE),IF(LEN($M78)=2,VLOOKUP(LEFT($M78,1),B76:I83,7,FALSE),""))</f>
        <v>S</v>
      </c>
      <c r="P78" s="373" t="str">
        <f>IF(LEN($M78)=1,VLOOKUP(LEFT($M78,1),B76:I83,6,FALSE),IF(LEN($M78)=2,VLOOKUP(LEFT($M78,1),B76:I83,8,FALSE),""))</f>
        <v>Khushi Chanal</v>
      </c>
      <c r="Q78" s="341" t="s">
        <v>273</v>
      </c>
      <c r="R78" s="146" t="str">
        <f t="shared" si="51"/>
        <v>Y</v>
      </c>
      <c r="S78" s="927" t="s">
        <v>151</v>
      </c>
      <c r="T78" s="927">
        <v>12.62</v>
      </c>
      <c r="U78" s="353" t="str">
        <f>IF(LEN($S78)=1,VLOOKUP(LEFT($S78,1),B76:I83,5,FALSE),IF(LEN($S78)=2,VLOOKUP(LEFT($S78,1),B76:I83,7,FALSE),""))</f>
        <v>Y</v>
      </c>
      <c r="V78" s="373" t="str">
        <f>IF(LEN($S78)=1,VLOOKUP(LEFT($S78,1),B76:I83,6,FALSE),IF(LEN($S78)=2,VLOOKUP(LEFT($S78,1),B76:I83,8,FALSE),""))</f>
        <v>Annabelle Hadland</v>
      </c>
      <c r="W78" s="417">
        <f t="shared" ref="W78:W83" si="58">W77-1</f>
        <v>6</v>
      </c>
      <c r="Y78" s="417">
        <v>17</v>
      </c>
      <c r="Z78" s="16" t="str">
        <f t="shared" si="52"/>
        <v>BRAT</v>
      </c>
      <c r="AA78" s="146" t="str">
        <f t="shared" si="53"/>
        <v>Worc</v>
      </c>
      <c r="AB78" s="32"/>
      <c r="AC78" s="16" t="str">
        <f t="shared" si="54"/>
        <v>G</v>
      </c>
      <c r="AD78" s="419" t="str">
        <f t="shared" si="54"/>
        <v>Royal Sutton</v>
      </c>
      <c r="AE78" s="419">
        <f>IF(ISNA(MATCH(AC78,N76:N85,0)),0,VLOOKUP(AC78,N76:S85,5,FALSE))</f>
        <v>0</v>
      </c>
      <c r="AF78" s="419" t="str">
        <f>IF(ISNA(MATCH(AC78,T76:T85,0))," ",VLOOKUP(AC78,T76:Y85,5,FALSE))</f>
        <v xml:space="preserve"> </v>
      </c>
      <c r="AG78" s="419">
        <f>IF(ISNA(MATCH(AC78,L76:L83,0)),0,VLOOKUP(AC78,L76:N83,3,FALSE))</f>
        <v>12.52</v>
      </c>
      <c r="AH78" s="419">
        <f>IF(ISNA(MATCH(AC78,R76:R83,0)),0,VLOOKUP(AC78,R76:T83,3,FALSE))</f>
        <v>11.36</v>
      </c>
      <c r="AI78" s="419" t="str">
        <f>IF(ISNA(MATCH(AC78,L76:L83,0)),0,VLOOKUP(AC78,L76:P83,4,FALSE))</f>
        <v>G</v>
      </c>
      <c r="AJ78" s="419" t="str">
        <f>IF(ISNA(MATCH(AC78,R76:R83,0)),0,VLOOKUP(AC78,R76:U83,4,FALSE))</f>
        <v>GG</v>
      </c>
      <c r="AK78" s="32">
        <f t="shared" si="55"/>
        <v>8</v>
      </c>
      <c r="AL78" s="32">
        <f t="shared" si="56"/>
        <v>6</v>
      </c>
      <c r="AM78" s="32">
        <f>IF(ISNA(MATCH(AC78,L76:L83,0)),0,VLOOKUP(AC78,L76:W83,AM$1,FALSE))</f>
        <v>1</v>
      </c>
      <c r="AN78" s="146">
        <f>IF(ISNA(MATCH(AC78,R76:R83,0)),0,VLOOKUP(AC78,R76:W83,AN$1,FALSE))</f>
        <v>3</v>
      </c>
      <c r="AP78" s="927"/>
      <c r="AQ78" s="927"/>
    </row>
    <row r="79" spans="1:47" ht="15.6" x14ac:dyDescent="0.3">
      <c r="A79" s="417">
        <f t="shared" si="57"/>
        <v>64</v>
      </c>
      <c r="B79" s="362" t="str">
        <f>'Event Details'!D$25</f>
        <v>R</v>
      </c>
      <c r="C79" s="381" t="str">
        <f>'Event Details'!E$25</f>
        <v>Rugby &amp; N'hampton</v>
      </c>
      <c r="D79" s="379"/>
      <c r="E79" s="378"/>
      <c r="F79" s="363" t="str">
        <f>VLOOKUP($B75,IF($H75="F",TeamSheetFemale,TeamSheetMale),$Y79-1,FALSE)</f>
        <v>R</v>
      </c>
      <c r="G79" s="380" t="str">
        <f>VLOOKUP($B75,IF($H75="F",TeamSheetFemale,TeamSheetMale),$Y79,FALSE)</f>
        <v>Olive Lovelock</v>
      </c>
      <c r="H79" s="363" t="str">
        <f>VLOOKUP($B75,IF($H75="F",TeamSheetFemale,TeamSheetMale),$Y79+1,FALSE)</f>
        <v>RR</v>
      </c>
      <c r="I79" s="364" t="str">
        <f>VLOOKUP($B75,IF($H75="F",TeamSheetFemale,TeamSheetMale),$Y79+2,FALSE)</f>
        <v>Rosie Warrilow</v>
      </c>
      <c r="K79" s="341" t="s">
        <v>274</v>
      </c>
      <c r="L79" s="16" t="str">
        <f t="shared" si="50"/>
        <v>U</v>
      </c>
      <c r="M79" s="927" t="s">
        <v>726</v>
      </c>
      <c r="N79" s="927">
        <v>16.059999999999999</v>
      </c>
      <c r="O79" s="353" t="str">
        <f>IF(LEN($M79)=1,VLOOKUP(LEFT($M79,1),B76:I83,5,FALSE),IF(LEN($M79)=2,VLOOKUP(LEFT($M79,1),B76:I83,7,FALSE),""))</f>
        <v>UU</v>
      </c>
      <c r="P79" s="373" t="str">
        <f>IF(LEN($M79)=1,VLOOKUP(LEFT($M79,1),B76:I83,6,FALSE),IF(LEN($M79)=2,VLOOKUP(LEFT($M79,1),B76:I83,8,FALSE),""))</f>
        <v xml:space="preserve">Alice Thompson </v>
      </c>
      <c r="Q79" s="341" t="s">
        <v>274</v>
      </c>
      <c r="R79" s="146" t="str">
        <f t="shared" si="51"/>
        <v>U</v>
      </c>
      <c r="S79" s="927" t="s">
        <v>130</v>
      </c>
      <c r="T79" s="927">
        <v>12.56</v>
      </c>
      <c r="U79" s="353" t="str">
        <f>IF(LEN($S79)=1,VLOOKUP(LEFT($S79,1),B76:I83,5,FALSE),IF(LEN($S79)=2,VLOOKUP(LEFT($S79,1),B76:I83,7,FALSE),""))</f>
        <v>U</v>
      </c>
      <c r="V79" s="373" t="str">
        <f>IF(LEN($S79)=1,VLOOKUP(LEFT($S79,1),B76:I83,6,FALSE),IF(LEN($S79)=2,VLOOKUP(LEFT($S79,1),B76:I83,8,FALSE),""))</f>
        <v>Alica Bland</v>
      </c>
      <c r="W79" s="417">
        <f t="shared" si="58"/>
        <v>5</v>
      </c>
      <c r="Y79" s="417">
        <v>22</v>
      </c>
      <c r="Z79" s="16" t="str">
        <f t="shared" si="52"/>
        <v>K&amp;S</v>
      </c>
      <c r="AA79" s="146" t="str">
        <f t="shared" si="53"/>
        <v>K&amp;S</v>
      </c>
      <c r="AB79" s="32"/>
      <c r="AC79" s="16" t="str">
        <f t="shared" si="54"/>
        <v>R</v>
      </c>
      <c r="AD79" s="419" t="str">
        <f t="shared" si="54"/>
        <v>Rugby &amp; N'hampton</v>
      </c>
      <c r="AE79" s="419">
        <f>IF(ISNA(MATCH(AC79,N76:N85,0)),0,VLOOKUP(AC79,N76:S85,5,FALSE))</f>
        <v>0</v>
      </c>
      <c r="AF79" s="419" t="str">
        <f>IF(ISNA(MATCH(AC79,T76:T85,0))," ",VLOOKUP(AC79,T76:Y85,5,FALSE))</f>
        <v xml:space="preserve"> </v>
      </c>
      <c r="AG79" s="419">
        <f>IF(ISNA(MATCH(AC79,L76:L83,0)),0,VLOOKUP(AC79,L76:N83,3,FALSE))</f>
        <v>25.28</v>
      </c>
      <c r="AH79" s="419">
        <f>IF(ISNA(MATCH(AC79,R76:R83,0)),0,VLOOKUP(AC79,R76:T83,3,FALSE))</f>
        <v>9.0500000000000007</v>
      </c>
      <c r="AI79" s="419" t="str">
        <f>IF(ISNA(MATCH(AC79,L76:L83,0)),0,VLOOKUP(AC79,L76:P83,4,FALSE))</f>
        <v>R</v>
      </c>
      <c r="AJ79" s="419" t="str">
        <f>IF(ISNA(MATCH(AC79,R76:R83,0)),0,VLOOKUP(AC79,R76:U83,4,FALSE))</f>
        <v>RR</v>
      </c>
      <c r="AK79" s="32">
        <f t="shared" si="55"/>
        <v>1</v>
      </c>
      <c r="AL79" s="32">
        <f t="shared" si="56"/>
        <v>8</v>
      </c>
      <c r="AM79" s="32">
        <f>IF(ISNA(MATCH(AC79,L76:L83,0)),0,VLOOKUP(AC79,L76:W83,AM$1,FALSE))</f>
        <v>8</v>
      </c>
      <c r="AN79" s="146">
        <f>IF(ISNA(MATCH(AC79,R76:R83,0)),0,VLOOKUP(AC79,R76:W83,AN$1,FALSE))</f>
        <v>1</v>
      </c>
      <c r="AP79" s="927"/>
      <c r="AQ79" s="927"/>
    </row>
    <row r="80" spans="1:47" ht="15.6" x14ac:dyDescent="0.3">
      <c r="A80" s="417">
        <f t="shared" si="57"/>
        <v>65</v>
      </c>
      <c r="B80" s="362" t="str">
        <f>'Event Details'!D$26</f>
        <v>M</v>
      </c>
      <c r="C80" s="381" t="str">
        <f>'Event Details'!E$26</f>
        <v>Solihull &amp; S.Heath</v>
      </c>
      <c r="D80" s="379"/>
      <c r="E80" s="378"/>
      <c r="F80" s="363" t="str">
        <f>VLOOKUP($B75,IF($H75="F",TeamSheetFemale,TeamSheetMale),$Y80-1,FALSE)</f>
        <v>M</v>
      </c>
      <c r="G80" s="380" t="str">
        <f>VLOOKUP($B75,IF($H75="F",TeamSheetFemale,TeamSheetMale),$Y80,FALSE)</f>
        <v>Molly Dale</v>
      </c>
      <c r="H80" s="363" t="str">
        <f>VLOOKUP($B75,IF($H75="F",TeamSheetFemale,TeamSheetMale),$Y80+1,FALSE)</f>
        <v>MM</v>
      </c>
      <c r="I80" s="364" t="str">
        <f>VLOOKUP($B75,IF($H75="F",TeamSheetFemale,TeamSheetMale),$Y80+2,FALSE)</f>
        <v>Jessica Blundell</v>
      </c>
      <c r="K80" s="341" t="s">
        <v>275</v>
      </c>
      <c r="L80" s="16" t="str">
        <f t="shared" si="50"/>
        <v>F</v>
      </c>
      <c r="M80" s="927" t="s">
        <v>142</v>
      </c>
      <c r="N80" s="927">
        <v>16.010000000000002</v>
      </c>
      <c r="O80" s="353" t="str">
        <f>IF(LEN($M80)=1,VLOOKUP(LEFT($M80,1),B76:I83,5,FALSE),IF(LEN($M80)=2,VLOOKUP(LEFT($M80,1),B76:I83,7,FALSE),""))</f>
        <v>F</v>
      </c>
      <c r="P80" s="373" t="str">
        <f>IF(LEN($M80)=1,VLOOKUP(LEFT($M80,1),B76:I83,6,FALSE),IF(LEN($M80)=2,VLOOKUP(LEFT($M80,1),B76:I83,8,FALSE),""))</f>
        <v>Peppi-Rose Sweet</v>
      </c>
      <c r="Q80" s="341" t="s">
        <v>275</v>
      </c>
      <c r="R80" s="146" t="str">
        <f t="shared" si="51"/>
        <v>S</v>
      </c>
      <c r="S80" s="927" t="s">
        <v>818</v>
      </c>
      <c r="T80" s="927">
        <v>11.41</v>
      </c>
      <c r="U80" s="353" t="str">
        <f>IF(LEN($S80)=1,VLOOKUP(LEFT($S80,1),B76:I83,5,FALSE),IF(LEN($S80)=2,VLOOKUP(LEFT($S80,1),B76:I83,7,FALSE),""))</f>
        <v>SS</v>
      </c>
      <c r="V80" s="373" t="str">
        <f>IF(LEN($S80)=1,VLOOKUP(LEFT($S80,1),B76:I83,6,FALSE),IF(LEN($S80)=2,VLOOKUP(LEFT($S80,1),B76:I83,8,FALSE),""))</f>
        <v>Sophia Thomas</v>
      </c>
      <c r="W80" s="417">
        <f t="shared" si="58"/>
        <v>4</v>
      </c>
      <c r="Y80" s="417">
        <v>27</v>
      </c>
      <c r="Z80" s="16" t="str">
        <f t="shared" si="52"/>
        <v>Tam</v>
      </c>
      <c r="AA80" s="146" t="str">
        <f t="shared" si="53"/>
        <v>BRAT</v>
      </c>
      <c r="AB80" s="32"/>
      <c r="AC80" s="16" t="str">
        <f t="shared" si="54"/>
        <v>M</v>
      </c>
      <c r="AD80" s="419" t="str">
        <f t="shared" si="54"/>
        <v>Solihull &amp; S.Heath</v>
      </c>
      <c r="AE80" s="419">
        <f>IF(ISNA(MATCH(AC80,N76:N85,0)),0,VLOOKUP(AC80,N76:S85,5,FALSE))</f>
        <v>0</v>
      </c>
      <c r="AF80" s="419" t="str">
        <f>IF(ISNA(MATCH(AC80,T76:T85,0))," ",VLOOKUP(AC80,T76:Y85,5,FALSE))</f>
        <v xml:space="preserve"> </v>
      </c>
      <c r="AG80" s="419">
        <f>IF(ISNA(MATCH(AC80,L76:L83,0)),0,VLOOKUP(AC80,L76:N83,3,FALSE))</f>
        <v>17.579999999999998</v>
      </c>
      <c r="AH80" s="419">
        <f>IF(ISNA(MATCH(AC80,R76:R83,0)),0,VLOOKUP(AC80,R76:T83,3,FALSE))</f>
        <v>16.91</v>
      </c>
      <c r="AI80" s="419" t="str">
        <f>IF(ISNA(MATCH(AC80,L76:L83,0)),0,VLOOKUP(AC80,L76:P83,4,FALSE))</f>
        <v>MM</v>
      </c>
      <c r="AJ80" s="419" t="str">
        <f>IF(ISNA(MATCH(AC80,R76:R83,0)),0,VLOOKUP(AC80,R76:U83,4,FALSE))</f>
        <v>M</v>
      </c>
      <c r="AK80" s="32">
        <f t="shared" si="55"/>
        <v>2</v>
      </c>
      <c r="AL80" s="32">
        <f t="shared" si="56"/>
        <v>1</v>
      </c>
      <c r="AM80" s="32">
        <f>IF(ISNA(MATCH(AC80,L76:L83,0)),0,VLOOKUP(AC80,L76:W83,AM$1,FALSE))</f>
        <v>7</v>
      </c>
      <c r="AN80" s="146">
        <f>IF(ISNA(MATCH(AC80,R76:R83,0)),0,VLOOKUP(AC80,R76:W83,AN$1,FALSE))</f>
        <v>8</v>
      </c>
      <c r="AP80" s="927"/>
      <c r="AQ80" s="927"/>
    </row>
    <row r="81" spans="1:47" ht="15.6" x14ac:dyDescent="0.3">
      <c r="A81" s="417">
        <f t="shared" si="57"/>
        <v>66</v>
      </c>
      <c r="B81" s="362" t="str">
        <f>'Event Details'!D$27</f>
        <v>D</v>
      </c>
      <c r="C81" s="381" t="str">
        <f>'Event Details'!E$27</f>
        <v>Stratford</v>
      </c>
      <c r="D81" s="379"/>
      <c r="E81" s="378"/>
      <c r="F81" s="363" t="str">
        <f>VLOOKUP($B75,IF($H75="F",TeamSheetFemale,TeamSheetMale),$Y81-1,FALSE)</f>
        <v>D</v>
      </c>
      <c r="G81" s="380" t="str">
        <f>VLOOKUP($B75,IF($H75="F",TeamSheetFemale,TeamSheetMale),$Y81,FALSE)</f>
        <v>Megan White</v>
      </c>
      <c r="H81" s="363" t="str">
        <f>VLOOKUP($B75,IF($H75="F",TeamSheetFemale,TeamSheetMale),$Y81+1,FALSE)</f>
        <v>DD</v>
      </c>
      <c r="I81" s="364" t="str">
        <f>VLOOKUP($B75,IF($H75="F",TeamSheetFemale,TeamSheetMale),$Y81+2,FALSE)</f>
        <v>Florence Castle</v>
      </c>
      <c r="K81" s="341" t="s">
        <v>276</v>
      </c>
      <c r="L81" s="16" t="str">
        <f t="shared" si="50"/>
        <v>Y</v>
      </c>
      <c r="M81" s="927" t="s">
        <v>822</v>
      </c>
      <c r="N81" s="927">
        <v>15.65</v>
      </c>
      <c r="O81" s="353" t="str">
        <f>IF(LEN($M81)=1,VLOOKUP(LEFT($M81,1),B76:I83,5,FALSE),IF(LEN($M81)=2,VLOOKUP(LEFT($M81,1),B76:I83,7,FALSE),""))</f>
        <v>YY</v>
      </c>
      <c r="P81" s="373" t="str">
        <f>IF(LEN($M81)=1,VLOOKUP(LEFT($M81,1),B76:I83,6,FALSE),IF(LEN($M81)=2,VLOOKUP(LEFT($M81,1),B76:I83,8,FALSE),""))</f>
        <v>Bethany Gromski</v>
      </c>
      <c r="Q81" s="341" t="s">
        <v>276</v>
      </c>
      <c r="R81" s="146" t="str">
        <f t="shared" si="51"/>
        <v>G</v>
      </c>
      <c r="S81" s="927" t="s">
        <v>820</v>
      </c>
      <c r="T81" s="927">
        <v>11.36</v>
      </c>
      <c r="U81" s="353" t="str">
        <f>IF(LEN($S81)=1,VLOOKUP(LEFT($S81,1),B76:I83,5,FALSE),IF(LEN($S81)=2,VLOOKUP(LEFT($S81,1),B76:I83,7,FALSE),""))</f>
        <v>GG</v>
      </c>
      <c r="V81" s="373" t="str">
        <f>IF(LEN($S81)=1,VLOOKUP(LEFT($S81,1),B76:I83,6,FALSE),IF(LEN($S81)=2,VLOOKUP(LEFT($S81,1),B76:I83,8,FALSE),""))</f>
        <v>Bea Sims</v>
      </c>
      <c r="W81" s="417">
        <f t="shared" si="58"/>
        <v>3</v>
      </c>
      <c r="Y81" s="417">
        <v>32</v>
      </c>
      <c r="Z81" s="16" t="str">
        <f t="shared" si="52"/>
        <v>Worc</v>
      </c>
      <c r="AA81" s="146" t="str">
        <f t="shared" si="53"/>
        <v>Royal</v>
      </c>
      <c r="AB81" s="32"/>
      <c r="AC81" s="16" t="str">
        <f t="shared" si="54"/>
        <v>D</v>
      </c>
      <c r="AD81" s="419" t="str">
        <f t="shared" si="54"/>
        <v>Stratford</v>
      </c>
      <c r="AE81" s="419">
        <f>IF(ISNA(MATCH(AC81,N76:N85,0)),0,VLOOKUP(AC81,N76:S85,5,FALSE))</f>
        <v>0</v>
      </c>
      <c r="AF81" s="419" t="str">
        <f>IF(ISNA(MATCH(AC81,T76:T85,0))," ",VLOOKUP(AC81,T76:Y85,5,FALSE))</f>
        <v xml:space="preserve"> </v>
      </c>
      <c r="AG81" s="419">
        <f>IF(ISNA(MATCH(AC81,L76:L83,0)),0,VLOOKUP(AC81,L76:N83,3,FALSE))</f>
        <v>13.61</v>
      </c>
      <c r="AH81" s="419">
        <f>IF(ISNA(MATCH(AC81,R76:R83,0)),0,VLOOKUP(AC81,R76:T83,3,FALSE))</f>
        <v>13.52</v>
      </c>
      <c r="AI81" s="419" t="str">
        <f>IF(ISNA(MATCH(AC81,L76:L83,0)),0,VLOOKUP(AC81,L76:P83,4,FALSE))</f>
        <v>D</v>
      </c>
      <c r="AJ81" s="419" t="str">
        <f>IF(ISNA(MATCH(AC81,R76:R83,0)),0,VLOOKUP(AC81,R76:U83,4,FALSE))</f>
        <v>DD</v>
      </c>
      <c r="AK81" s="32">
        <f t="shared" si="55"/>
        <v>7</v>
      </c>
      <c r="AL81" s="32">
        <f t="shared" si="56"/>
        <v>2</v>
      </c>
      <c r="AM81" s="32">
        <f>IF(ISNA(MATCH(AC81,L76:L83,0)),0,VLOOKUP(AC81,L76:W83,AM$1,FALSE))</f>
        <v>2</v>
      </c>
      <c r="AN81" s="146">
        <f>IF(ISNA(MATCH(AC81,R76:R83,0)),0,VLOOKUP(AC81,R76:W83,AN$1,FALSE))</f>
        <v>7</v>
      </c>
      <c r="AP81" s="927"/>
      <c r="AQ81" s="927"/>
    </row>
    <row r="82" spans="1:47" ht="15.6" x14ac:dyDescent="0.3">
      <c r="A82" s="417">
        <f t="shared" si="57"/>
        <v>67</v>
      </c>
      <c r="B82" s="362" t="str">
        <f>'Event Details'!D$28</f>
        <v>F</v>
      </c>
      <c r="C82" s="381" t="str">
        <f>'Event Details'!E$28</f>
        <v>Tamworth</v>
      </c>
      <c r="D82" s="379"/>
      <c r="E82" s="378"/>
      <c r="F82" s="363" t="str">
        <f>VLOOKUP($B75,IF($H75="F",TeamSheetFemale,TeamSheetMale),$Y82-1,FALSE)</f>
        <v>F</v>
      </c>
      <c r="G82" s="380" t="str">
        <f>VLOOKUP($B75,IF($H75="F",TeamSheetFemale,TeamSheetMale),$Y82,FALSE)</f>
        <v>Peppi-Rose Sweet</v>
      </c>
      <c r="H82" s="363" t="str">
        <f>VLOOKUP($B75,IF($H75="F",TeamSheetFemale,TeamSheetMale),$Y82+1,FALSE)</f>
        <v>FF</v>
      </c>
      <c r="I82" s="364" t="str">
        <f>VLOOKUP($B75,IF($H75="F",TeamSheetFemale,TeamSheetMale),$Y82+2,FALSE)</f>
        <v>Izzy Jaques</v>
      </c>
      <c r="K82" s="341" t="s">
        <v>277</v>
      </c>
      <c r="L82" s="16" t="str">
        <f t="shared" si="50"/>
        <v>D</v>
      </c>
      <c r="M82" s="927" t="s">
        <v>136</v>
      </c>
      <c r="N82" s="927">
        <v>13.61</v>
      </c>
      <c r="O82" s="353" t="str">
        <f>IF(LEN($M82)=1,VLOOKUP(LEFT($M82,1),B76:I83,5,FALSE),IF(LEN($M82)=2,VLOOKUP(LEFT($M82,1),B76:I83,7,FALSE),""))</f>
        <v>D</v>
      </c>
      <c r="P82" s="373" t="str">
        <f>IF(LEN($M82)=1,VLOOKUP(LEFT($M82,1),B76:I83,6,FALSE),IF(LEN($M82)=2,VLOOKUP(LEFT($M82,1),B76:I83,8,FALSE),""))</f>
        <v>Megan White</v>
      </c>
      <c r="Q82" s="341" t="s">
        <v>277</v>
      </c>
      <c r="R82" s="146" t="str">
        <f t="shared" si="51"/>
        <v>F</v>
      </c>
      <c r="S82" s="927" t="s">
        <v>576</v>
      </c>
      <c r="T82" s="927">
        <v>9.3800000000000008</v>
      </c>
      <c r="U82" s="353" t="str">
        <f>IF(LEN($S82)=1,VLOOKUP(LEFT($S82,1),B76:I83,5,FALSE),IF(LEN($S82)=2,VLOOKUP(LEFT($S82,1),B76:I83,7,FALSE),""))</f>
        <v>FF</v>
      </c>
      <c r="V82" s="373" t="str">
        <f>IF(LEN($S82)=1,VLOOKUP(LEFT($S82,1),B76:I83,6,FALSE),IF(LEN($S82)=2,VLOOKUP(LEFT($S82,1),B76:I83,8,FALSE),""))</f>
        <v>Izzy Jaques</v>
      </c>
      <c r="W82" s="417">
        <f t="shared" si="58"/>
        <v>2</v>
      </c>
      <c r="Y82" s="417">
        <v>37</v>
      </c>
      <c r="Z82" s="16" t="str">
        <f t="shared" si="52"/>
        <v>Strat</v>
      </c>
      <c r="AA82" s="146" t="str">
        <f t="shared" si="53"/>
        <v>Tam</v>
      </c>
      <c r="AB82" s="32"/>
      <c r="AC82" s="16" t="str">
        <f t="shared" si="54"/>
        <v>F</v>
      </c>
      <c r="AD82" s="419" t="str">
        <f t="shared" si="54"/>
        <v>Tamworth</v>
      </c>
      <c r="AE82" s="419">
        <f>IF(ISNA(MATCH(AC82,N74:N83,0)),0,VLOOKUP(AC82,N74:S83,5,FALSE))</f>
        <v>0</v>
      </c>
      <c r="AF82" s="419" t="str">
        <f>IF(ISNA(MATCH(AC82,T74:T83,0))," ",VLOOKUP(AC82,T74:Y83,5,FALSE))</f>
        <v xml:space="preserve"> </v>
      </c>
      <c r="AG82" s="419">
        <f>IF(ISNA(MATCH(AC82,L76:L83,0)),0,VLOOKUP(AC82,L76:N83,3,FALSE))</f>
        <v>16.010000000000002</v>
      </c>
      <c r="AH82" s="419">
        <f>IF(ISNA(MATCH(AC82,R76:R83,0)),0,VLOOKUP(AC82,R76:T83,3,FALSE))</f>
        <v>9.3800000000000008</v>
      </c>
      <c r="AI82" s="419" t="str">
        <f>IF(ISNA(MATCH(AC82,L76:L83,0)),0,VLOOKUP(AC82,L76:P83,4,FALSE))</f>
        <v>F</v>
      </c>
      <c r="AJ82" s="419" t="str">
        <f>IF(ISNA(MATCH(AC82,R76:R83,0)),0,VLOOKUP(AC82,R76:U83,4,FALSE))</f>
        <v>FF</v>
      </c>
      <c r="AK82" s="32">
        <f t="shared" si="55"/>
        <v>5</v>
      </c>
      <c r="AL82" s="32">
        <f t="shared" si="56"/>
        <v>7</v>
      </c>
      <c r="AM82" s="32">
        <f>IF(ISNA(MATCH(AC82,L76:L83,0)),0,VLOOKUP(AC82,L76:W83,AM$1,FALSE))</f>
        <v>4</v>
      </c>
      <c r="AN82" s="146">
        <f>IF(ISNA(MATCH(AC82,R76:R83,0)),0,VLOOKUP(AC82,R76:W83,AN$1,FALSE))</f>
        <v>2</v>
      </c>
      <c r="AP82" s="927"/>
      <c r="AQ82" s="927"/>
    </row>
    <row r="83" spans="1:47" ht="16.2" thickBot="1" x14ac:dyDescent="0.35">
      <c r="A83" s="418">
        <f t="shared" si="57"/>
        <v>68</v>
      </c>
      <c r="B83" s="365" t="str">
        <f>'Event Details'!D$29</f>
        <v>Y</v>
      </c>
      <c r="C83" s="366" t="str">
        <f>'Event Details'!E$29</f>
        <v>Worcester</v>
      </c>
      <c r="D83" s="361"/>
      <c r="E83" s="370"/>
      <c r="F83" s="367" t="str">
        <f>VLOOKUP($B75,IF($H75="F",TeamSheetFemale,TeamSheetMale),$Y83-1,FALSE)</f>
        <v>Y</v>
      </c>
      <c r="G83" s="368" t="str">
        <f>VLOOKUP($B75,IF($H75="F",TeamSheetFemale,TeamSheetMale),$Y83,FALSE)</f>
        <v>Annabelle Hadland</v>
      </c>
      <c r="H83" s="367" t="str">
        <f>VLOOKUP($B75,IF($H75="F",TeamSheetFemale,TeamSheetMale),$Y83+1,FALSE)</f>
        <v>YY</v>
      </c>
      <c r="I83" s="369" t="str">
        <f>VLOOKUP($B75,IF($H75="F",TeamSheetFemale,TeamSheetMale),$Y83+2,FALSE)</f>
        <v>Bethany Gromski</v>
      </c>
      <c r="K83" s="346" t="s">
        <v>278</v>
      </c>
      <c r="L83" s="25" t="str">
        <f t="shared" si="50"/>
        <v>G</v>
      </c>
      <c r="M83" s="928" t="s">
        <v>110</v>
      </c>
      <c r="N83" s="932">
        <v>12.52</v>
      </c>
      <c r="O83" s="375" t="str">
        <f>IF(LEN($M83)=1,VLOOKUP(LEFT($M83,1),B76:I83,5,FALSE),IF(LEN($M83)=2,VLOOKUP(LEFT($M83,1),B76:I83,7,FALSE),""))</f>
        <v>G</v>
      </c>
      <c r="P83" s="376" t="str">
        <f>IF(LEN($M83)=1,VLOOKUP(LEFT($M83,1),B76:I83,6,FALSE),IF(LEN($M83)=2,VLOOKUP(LEFT($M83,1),B76:I83,8,FALSE),""))</f>
        <v xml:space="preserve">Lila Wilmore </v>
      </c>
      <c r="Q83" s="346" t="s">
        <v>278</v>
      </c>
      <c r="R83" s="523" t="str">
        <f t="shared" si="51"/>
        <v>R</v>
      </c>
      <c r="S83" s="928" t="s">
        <v>819</v>
      </c>
      <c r="T83" s="932">
        <v>9.0500000000000007</v>
      </c>
      <c r="U83" s="375" t="str">
        <f>IF(LEN($S83)=1,VLOOKUP(LEFT($S83,1),B76:I83,5,FALSE),IF(LEN($S83)=2,VLOOKUP(LEFT($S83,1),B76:I83,7,FALSE),""))</f>
        <v>RR</v>
      </c>
      <c r="V83" s="376" t="str">
        <f>IF(LEN($S83)=1,VLOOKUP(LEFT($S83,1),B76:I83,6,FALSE),IF(LEN($S83)=2,VLOOKUP(LEFT($S83,1),B76:I83,8,FALSE),""))</f>
        <v>Rosie Warrilow</v>
      </c>
      <c r="W83" s="418">
        <f t="shared" si="58"/>
        <v>1</v>
      </c>
      <c r="Y83" s="418">
        <v>42</v>
      </c>
      <c r="Z83" s="25" t="str">
        <f t="shared" si="52"/>
        <v>Royal</v>
      </c>
      <c r="AA83" s="523" t="str">
        <f t="shared" si="53"/>
        <v>Rugby</v>
      </c>
      <c r="AB83" s="32"/>
      <c r="AC83" s="25" t="str">
        <f t="shared" si="54"/>
        <v>Y</v>
      </c>
      <c r="AD83" s="624" t="str">
        <f t="shared" si="54"/>
        <v>Worcester</v>
      </c>
      <c r="AE83" s="624">
        <f>IF(ISNA(MATCH(AC83,N75:N84,0)),0,VLOOKUP(AC83,N75:S84,5,FALSE))</f>
        <v>0</v>
      </c>
      <c r="AF83" s="624" t="str">
        <f t="shared" ref="AF83" si="59">IF(ISNA(MATCH(AC83,T75:T84,0))," ",VLOOKUP(AC83,T75:Y84,5,FALSE))</f>
        <v xml:space="preserve"> </v>
      </c>
      <c r="AG83" s="624">
        <f>IF(ISNA(MATCH(AC83,L76:L83,0)),0,VLOOKUP(AC83,L76:N83,3,FALSE))</f>
        <v>15.65</v>
      </c>
      <c r="AH83" s="624">
        <f>IF(ISNA(MATCH(AC83,R76:R83,0)),0,VLOOKUP(AC83,R76:T83,3,FALSE))</f>
        <v>12.62</v>
      </c>
      <c r="AI83" s="624" t="str">
        <f>IF(ISNA(MATCH(AC83,L76:L83,0)),0,VLOOKUP(AC83,L76:P83,4,FALSE))</f>
        <v>YY</v>
      </c>
      <c r="AJ83" s="624" t="str">
        <f>IF(ISNA(MATCH(AC83,R76:R83,0)),0,VLOOKUP(AC83,R76:U83,4,FALSE))</f>
        <v>Y</v>
      </c>
      <c r="AK83" s="116">
        <f t="shared" si="55"/>
        <v>6</v>
      </c>
      <c r="AL83" s="116">
        <f t="shared" si="56"/>
        <v>3</v>
      </c>
      <c r="AM83" s="116">
        <f>IF(ISNA(MATCH(AC83,L76:L83,0)),0,VLOOKUP(AC83,L76:W83,AM$1,FALSE))</f>
        <v>3</v>
      </c>
      <c r="AN83" s="523">
        <f>IF(ISNA(MATCH(AC83,R76:R83,0)),0,VLOOKUP(AC83,R76:W83,AN$1,FALSE))</f>
        <v>6</v>
      </c>
      <c r="AP83" s="928"/>
      <c r="AQ83" s="932"/>
    </row>
    <row r="84" spans="1:47" ht="15" thickBot="1" x14ac:dyDescent="0.35">
      <c r="K84" s="1207"/>
      <c r="M84" s="276"/>
      <c r="N84" s="307"/>
      <c r="S84" s="276"/>
      <c r="T84" s="307"/>
      <c r="AP84" s="276"/>
      <c r="AQ84" s="307"/>
    </row>
    <row r="85" spans="1:47" x14ac:dyDescent="0.3">
      <c r="B85" s="400" t="s">
        <v>258</v>
      </c>
      <c r="C85" s="398"/>
      <c r="D85" s="401" t="s">
        <v>165</v>
      </c>
      <c r="E85" s="398"/>
      <c r="F85" s="398"/>
      <c r="G85" s="402" t="s">
        <v>259</v>
      </c>
      <c r="H85" s="403" t="s">
        <v>249</v>
      </c>
      <c r="I85" s="404" t="s">
        <v>168</v>
      </c>
      <c r="K85" s="360"/>
      <c r="L85" s="661"/>
      <c r="M85" s="387" t="s">
        <v>260</v>
      </c>
      <c r="N85" s="387" t="s">
        <v>261</v>
      </c>
      <c r="O85" s="387" t="s">
        <v>262</v>
      </c>
      <c r="P85" s="388" t="s">
        <v>75</v>
      </c>
      <c r="Q85" s="412"/>
      <c r="R85" s="657"/>
      <c r="S85" s="387" t="s">
        <v>260</v>
      </c>
      <c r="T85" s="387" t="s">
        <v>261</v>
      </c>
      <c r="U85" s="387" t="s">
        <v>262</v>
      </c>
      <c r="V85" s="388" t="s">
        <v>75</v>
      </c>
      <c r="W85" s="672" t="s">
        <v>76</v>
      </c>
      <c r="Y85" s="654" t="s">
        <v>263</v>
      </c>
      <c r="Z85" s="656" t="s">
        <v>74</v>
      </c>
      <c r="AA85" s="657" t="s">
        <v>75</v>
      </c>
      <c r="AC85" s="665" t="s">
        <v>71</v>
      </c>
      <c r="AD85" s="657" t="s">
        <v>86</v>
      </c>
      <c r="AE85" s="661" t="s">
        <v>149</v>
      </c>
      <c r="AF85" s="661" t="s">
        <v>94</v>
      </c>
      <c r="AG85" s="661" t="s">
        <v>149</v>
      </c>
      <c r="AH85" s="661" t="s">
        <v>94</v>
      </c>
      <c r="AI85" s="661" t="s">
        <v>149</v>
      </c>
      <c r="AJ85" s="661" t="s">
        <v>94</v>
      </c>
      <c r="AK85" s="1332" t="s">
        <v>149</v>
      </c>
      <c r="AL85" s="661" t="s">
        <v>94</v>
      </c>
      <c r="AM85" s="1406" t="s">
        <v>76</v>
      </c>
      <c r="AN85" s="1407"/>
      <c r="AP85" s="387" t="s">
        <v>260</v>
      </c>
      <c r="AQ85" s="387" t="s">
        <v>261</v>
      </c>
      <c r="AS85" s="1218" t="s">
        <v>165</v>
      </c>
      <c r="AT85" s="1219" t="s">
        <v>79</v>
      </c>
      <c r="AU85" s="1220" t="s">
        <v>80</v>
      </c>
    </row>
    <row r="86" spans="1:47" ht="15" thickBot="1" x14ac:dyDescent="0.35">
      <c r="B86" s="405">
        <v>7</v>
      </c>
      <c r="C86" s="399"/>
      <c r="D86" s="385" t="str">
        <f>VLOOKUP($B86,EventOrder,6,FALSE)</f>
        <v>Long Jump Pit 2</v>
      </c>
      <c r="E86" s="399"/>
      <c r="F86" s="385"/>
      <c r="G86" s="386" t="str">
        <f>VLOOKUP($B86,EventOrder,4,FALSE)</f>
        <v>U16 Male</v>
      </c>
      <c r="H86" s="396" t="str">
        <f>IF(MID(G86,5,1)="F","F","M")</f>
        <v>M</v>
      </c>
      <c r="I86" s="397">
        <f>VLOOKUP($B86,EventOrder,2,FALSE)</f>
        <v>12</v>
      </c>
      <c r="K86" s="372"/>
      <c r="L86" s="667" t="s">
        <v>149</v>
      </c>
      <c r="M86" s="409" t="s">
        <v>264</v>
      </c>
      <c r="N86" s="409" t="s">
        <v>265</v>
      </c>
      <c r="O86" s="409" t="s">
        <v>266</v>
      </c>
      <c r="P86" s="408"/>
      <c r="Q86" s="413"/>
      <c r="R86" s="659" t="s">
        <v>94</v>
      </c>
      <c r="S86" s="409" t="s">
        <v>264</v>
      </c>
      <c r="T86" s="409" t="s">
        <v>265</v>
      </c>
      <c r="U86" s="409" t="s">
        <v>266</v>
      </c>
      <c r="V86" s="408"/>
      <c r="W86" s="671"/>
      <c r="Y86" s="655" t="s">
        <v>167</v>
      </c>
      <c r="Z86" s="658" t="s">
        <v>149</v>
      </c>
      <c r="AA86" s="659" t="s">
        <v>94</v>
      </c>
      <c r="AC86" s="666"/>
      <c r="AD86" s="668"/>
      <c r="AE86" s="768" t="s">
        <v>75</v>
      </c>
      <c r="AF86" s="768" t="s">
        <v>75</v>
      </c>
      <c r="AG86" s="768" t="s">
        <v>267</v>
      </c>
      <c r="AH86" s="768" t="s">
        <v>267</v>
      </c>
      <c r="AI86" s="768" t="s">
        <v>268</v>
      </c>
      <c r="AJ86" s="768" t="s">
        <v>268</v>
      </c>
      <c r="AK86" s="770" t="s">
        <v>269</v>
      </c>
      <c r="AL86" s="768" t="s">
        <v>269</v>
      </c>
      <c r="AM86" s="667" t="s">
        <v>149</v>
      </c>
      <c r="AN86" s="659" t="s">
        <v>94</v>
      </c>
      <c r="AP86" s="409" t="s">
        <v>264</v>
      </c>
      <c r="AQ86" s="409" t="s">
        <v>265</v>
      </c>
      <c r="AS86" s="1221" t="s">
        <v>270</v>
      </c>
      <c r="AT86" s="1222" t="s">
        <v>270</v>
      </c>
      <c r="AU86" s="1223" t="s">
        <v>270</v>
      </c>
    </row>
    <row r="87" spans="1:47" ht="15.6" x14ac:dyDescent="0.3">
      <c r="A87" s="416">
        <f>(B86*10)+1</f>
        <v>71</v>
      </c>
      <c r="B87" s="362" t="str">
        <f>'Event Details'!D$22</f>
        <v>S</v>
      </c>
      <c r="C87" s="381" t="str">
        <f>'Event Details'!E$22</f>
        <v>BRAT</v>
      </c>
      <c r="D87" s="379"/>
      <c r="E87" s="378"/>
      <c r="F87" s="363" t="str">
        <f>VLOOKUP($B86,IF($H86="F",TeamSheetFemale,TeamSheetMale),$Y87-1,FALSE)</f>
        <v>S</v>
      </c>
      <c r="G87" s="380" t="str">
        <f>VLOOKUP($B86,IF($H86="F",TeamSheetFemale,TeamSheetMale),$Y87,FALSE)</f>
        <v>Muayyad Mohamed</v>
      </c>
      <c r="H87" s="363" t="str">
        <f>VLOOKUP($B86,IF($H86="F",TeamSheetFemale,TeamSheetMale),$Y87+1,FALSE)</f>
        <v>SS</v>
      </c>
      <c r="I87" s="364" t="str">
        <f>VLOOKUP($B86,IF($H86="F",TeamSheetFemale,TeamSheetMale),$Y87+2,FALSE)</f>
        <v>Leo Rice</v>
      </c>
      <c r="K87" s="393" t="s">
        <v>271</v>
      </c>
      <c r="L87" s="16" t="str">
        <f t="shared" ref="L87:L94" si="60">LEFT(M87,1)</f>
        <v>S</v>
      </c>
      <c r="M87" s="926" t="s">
        <v>100</v>
      </c>
      <c r="N87" s="926">
        <v>5.72</v>
      </c>
      <c r="O87" s="394" t="str">
        <f>IF(LEN($M87)=1,VLOOKUP(LEFT($M87,1),B87:I94,5,FALSE),IF(LEN($M87)=2,VLOOKUP(LEFT($M87,1),B87:I94,7,FALSE),""))</f>
        <v>S</v>
      </c>
      <c r="P87" s="395" t="str">
        <f>IF(LEN($M87)=1,VLOOKUP(LEFT($M87,1),B87:I94,6,FALSE),IF(LEN($M87)=2,VLOOKUP(LEFT($M87,1),B87:I94,8,FALSE),""))</f>
        <v>Muayyad Mohamed</v>
      </c>
      <c r="Q87" s="406" t="s">
        <v>271</v>
      </c>
      <c r="R87" s="146" t="str">
        <f t="shared" ref="R87:R94" si="61">LEFT(S87,1)</f>
        <v>S</v>
      </c>
      <c r="S87" s="926" t="s">
        <v>818</v>
      </c>
      <c r="T87" s="926">
        <v>5.0199999999999996</v>
      </c>
      <c r="U87" s="394" t="str">
        <f>IF(LEN($S87)=1,VLOOKUP(LEFT($S87,1),B87:I94,5,FALSE),IF(LEN($S87)=2,VLOOKUP(LEFT($S87,1),B87:I94,7,FALSE),""))</f>
        <v>SS</v>
      </c>
      <c r="V87" s="395" t="str">
        <f>IF(LEN($S87)=1,VLOOKUP(LEFT($S87,1),B87:I94,6,FALSE),IF(LEN($S87)=2,VLOOKUP(LEFT($S87,1),B87:I94,8,FALSE),""))</f>
        <v>Leo Rice</v>
      </c>
      <c r="W87" s="417">
        <f>AN$6</f>
        <v>8</v>
      </c>
      <c r="Y87" s="653">
        <v>7</v>
      </c>
      <c r="Z87" s="653" t="str">
        <f t="shared" ref="Z87:Z94" si="62">IF(LEN(M87)&gt;0,VLOOKUP(LEFT(M87,1),ShortName,5,FALSE),0)</f>
        <v>BRAT</v>
      </c>
      <c r="AA87" s="138" t="str">
        <f t="shared" ref="AA87:AA94" si="63">IF(LEN(S87)&gt;0,VLOOKUP(LEFT(S87,1),ShortName,5,FALSE),0)</f>
        <v>BRAT</v>
      </c>
      <c r="AC87" s="16" t="str">
        <f t="shared" ref="AC87:AD94" si="64">B87</f>
        <v>S</v>
      </c>
      <c r="AD87" s="419" t="str">
        <f t="shared" si="64"/>
        <v>BRAT</v>
      </c>
      <c r="AE87" s="635">
        <f>IF(ISNA(MATCH(AC87,N87:N96,0)),0,VLOOKUP(AC87,N87:S96,5,FALSE))</f>
        <v>0</v>
      </c>
      <c r="AF87" s="635" t="str">
        <f>IF(ISNA(MATCH(AC87,T87:T96,0))," ",VLOOKUP(AC87,T87:Y96,5,FALSE))</f>
        <v xml:space="preserve"> </v>
      </c>
      <c r="AG87" s="635">
        <f>IF(ISNA(MATCH(AC87,L87:L94,0)),0,VLOOKUP(AC87,L87:N94,3,FALSE))</f>
        <v>5.72</v>
      </c>
      <c r="AH87" s="635">
        <f>IF(ISNA(MATCH(AC87,R87:R94,0)),0,VLOOKUP(AC87,R87:T94,3,FALSE))</f>
        <v>5.0199999999999996</v>
      </c>
      <c r="AI87" s="635" t="str">
        <f>IF(ISNA(MATCH(AC87,L87:L94,0)),0,VLOOKUP(AC87,L87:P94,4,FALSE))</f>
        <v>S</v>
      </c>
      <c r="AJ87" s="635" t="str">
        <f>IF(ISNA(MATCH(AC87,R87:R94,0)),0,VLOOKUP(AC87,R87:U94,4,FALSE))</f>
        <v>SS</v>
      </c>
      <c r="AK87" s="49">
        <f t="shared" ref="AK87:AK94" si="65">IF(AM87=0,0,AN$6-(AM87-1))</f>
        <v>1</v>
      </c>
      <c r="AL87" s="49">
        <f t="shared" ref="AL87:AL94" si="66">IF(AN87=0,0,AN$6-(AN87-1))</f>
        <v>1</v>
      </c>
      <c r="AM87" s="49">
        <f>IF(ISNA(MATCH(AC87,L87:L94,0)),0,VLOOKUP(AC87,L87:W94,AM$1,FALSE))</f>
        <v>8</v>
      </c>
      <c r="AN87" s="138">
        <f>IF(ISNA(MATCH(AC87,R87:R94,0)),0,VLOOKUP(AC87,R87:W94,AN$1,FALSE))</f>
        <v>8</v>
      </c>
      <c r="AP87" s="926"/>
      <c r="AQ87" s="926"/>
      <c r="AS87" s="32">
        <f>IF(LEN(N87)&gt;0,1,0)</f>
        <v>1</v>
      </c>
      <c r="AT87" s="32">
        <f>IF(AND(AS87=1,H86="M"),1,0)</f>
        <v>1</v>
      </c>
      <c r="AU87" s="32">
        <f>IF(AND(AS87=1,H86="F"),1,0)</f>
        <v>0</v>
      </c>
    </row>
    <row r="88" spans="1:47" ht="15.6" x14ac:dyDescent="0.3">
      <c r="A88" s="417">
        <f>A87+1</f>
        <v>72</v>
      </c>
      <c r="B88" s="362" t="str">
        <f>'Event Details'!D$23</f>
        <v>U</v>
      </c>
      <c r="C88" s="381" t="str">
        <f>'Event Details'!E$23</f>
        <v>Kidder &amp; Stourport</v>
      </c>
      <c r="D88" s="379"/>
      <c r="E88" s="378"/>
      <c r="F88" s="363" t="str">
        <f>VLOOKUP($B86,IF($H86="F",TeamSheetFemale,TeamSheetMale),$Y88-1,FALSE)</f>
        <v>U</v>
      </c>
      <c r="G88" s="380" t="str">
        <f>VLOOKUP($B86,IF($H86="F",TeamSheetFemale,TeamSheetMale),$Y88,FALSE)</f>
        <v>Harry Morton</v>
      </c>
      <c r="H88" s="363">
        <f>VLOOKUP($B86,IF($H86="F",TeamSheetFemale,TeamSheetMale),$Y88+1,FALSE)</f>
        <v>0</v>
      </c>
      <c r="I88" s="364">
        <f>VLOOKUP($B86,IF($H86="F",TeamSheetFemale,TeamSheetMale),$Y88+2,FALSE)</f>
        <v>0</v>
      </c>
      <c r="K88" s="341" t="s">
        <v>272</v>
      </c>
      <c r="L88" s="16" t="str">
        <f t="shared" si="60"/>
        <v>M</v>
      </c>
      <c r="M88" s="927" t="s">
        <v>127</v>
      </c>
      <c r="N88" s="927">
        <v>5.4</v>
      </c>
      <c r="O88" s="354" t="str">
        <f>IF(LEN($M88)=1,VLOOKUP(LEFT($M88,1),B87:I94,5,FALSE),IF(LEN($M88)=2,VLOOKUP(LEFT($M88,1),B87:I94,7,FALSE),""))</f>
        <v>M</v>
      </c>
      <c r="P88" s="410" t="str">
        <f>IF(LEN($M88)=1,VLOOKUP(LEFT($M88,1),B87:I94,6,FALSE),IF(LEN($M88)=2,VLOOKUP(LEFT($M88,1),B87:I94,8,FALSE),""))</f>
        <v>Charlie Hughes</v>
      </c>
      <c r="Q88" s="371" t="s">
        <v>272</v>
      </c>
      <c r="R88" s="146" t="str">
        <f t="shared" si="61"/>
        <v>M</v>
      </c>
      <c r="S88" s="927" t="s">
        <v>821</v>
      </c>
      <c r="T88" s="927">
        <v>4.9800000000000004</v>
      </c>
      <c r="U88" s="354" t="str">
        <f>IF(LEN($S88)=1,VLOOKUP(LEFT($S88,1),B87:I94,5,FALSE),IF(LEN($S88)=2,VLOOKUP(LEFT($S88,1),B87:I94,7,FALSE),""))</f>
        <v>MM</v>
      </c>
      <c r="V88" s="410" t="str">
        <f>IF(LEN($S88)=1,VLOOKUP(LEFT($S88,1),B87:I94,6,FALSE),IF(LEN($S88)=2,VLOOKUP(LEFT($S88,1),B87:I94,8,FALSE),""))</f>
        <v>Jason Bedford</v>
      </c>
      <c r="W88" s="417">
        <f>W87-1</f>
        <v>7</v>
      </c>
      <c r="Y88" s="16">
        <v>12</v>
      </c>
      <c r="Z88" s="16" t="str">
        <f t="shared" si="62"/>
        <v>Sol</v>
      </c>
      <c r="AA88" s="146" t="str">
        <f t="shared" si="63"/>
        <v>Sol</v>
      </c>
      <c r="AC88" s="16" t="str">
        <f t="shared" si="64"/>
        <v>U</v>
      </c>
      <c r="AD88" s="419" t="str">
        <f t="shared" si="64"/>
        <v>Kidder &amp; Stourport</v>
      </c>
      <c r="AE88" s="419">
        <f>IF(ISNA(MATCH(AC88,N87:N96,0)),0,VLOOKUP(AC88,N87:S96,5,FALSE))</f>
        <v>0</v>
      </c>
      <c r="AF88" s="419" t="str">
        <f>IF(ISNA(MATCH(AC88,T87:T96,0))," ",VLOOKUP(AC88,T87:Y96,5,FALSE))</f>
        <v xml:space="preserve"> </v>
      </c>
      <c r="AG88" s="419">
        <f>IF(ISNA(MATCH(AC88,L87:L94,0)),0,VLOOKUP(AC88,L87:N94,3,FALSE))</f>
        <v>4.57</v>
      </c>
      <c r="AH88" s="419">
        <f>IF(ISNA(MATCH(AC88,R87:R94,0)),0,VLOOKUP(AC88,R87:T94,3,FALSE))</f>
        <v>0</v>
      </c>
      <c r="AI88" s="419" t="str">
        <f>IF(ISNA(MATCH(AC88,L87:L94,0)),0,VLOOKUP(AC88,L87:P94,4,FALSE))</f>
        <v>U</v>
      </c>
      <c r="AJ88" s="419">
        <f>IF(ISNA(MATCH(AC88,R87:R94,0)),0,VLOOKUP(AC88,R87:U94,4,FALSE))</f>
        <v>0</v>
      </c>
      <c r="AK88" s="32">
        <f t="shared" si="65"/>
        <v>6</v>
      </c>
      <c r="AL88" s="32">
        <f t="shared" si="66"/>
        <v>0</v>
      </c>
      <c r="AM88" s="32">
        <f>IF(ISNA(MATCH(AC88,L87:L94,0)),0,VLOOKUP(AC88,L87:W94,AM$1,FALSE))</f>
        <v>3</v>
      </c>
      <c r="AN88" s="146">
        <f>IF(ISNA(MATCH(AC88,R87:R94,0)),0,VLOOKUP(AC88,R87:W94,AN$1,FALSE))</f>
        <v>0</v>
      </c>
      <c r="AP88" s="927"/>
      <c r="AQ88" s="927"/>
    </row>
    <row r="89" spans="1:47" ht="15.6" x14ac:dyDescent="0.3">
      <c r="A89" s="417">
        <f t="shared" ref="A89:A94" si="67">A88+1</f>
        <v>73</v>
      </c>
      <c r="B89" s="362" t="str">
        <f>'Event Details'!D$24</f>
        <v>G</v>
      </c>
      <c r="C89" s="381" t="str">
        <f>'Event Details'!E$24</f>
        <v>Royal Sutton</v>
      </c>
      <c r="D89" s="379"/>
      <c r="E89" s="378"/>
      <c r="F89" s="363" t="str">
        <f>VLOOKUP($B86,IF($H86="F",TeamSheetFemale,TeamSheetMale),$Y89-1,FALSE)</f>
        <v>G</v>
      </c>
      <c r="G89" s="380" t="str">
        <f>VLOOKUP($B86,IF($H86="F",TeamSheetFemale,TeamSheetMale),$Y89,FALSE)</f>
        <v>Nathaniel Chapman</v>
      </c>
      <c r="H89" s="363" t="str">
        <f>VLOOKUP($B86,IF($H86="F",TeamSheetFemale,TeamSheetMale),$Y89+1,FALSE)</f>
        <v>GG</v>
      </c>
      <c r="I89" s="364" t="str">
        <f>VLOOKUP($B86,IF($H86="F",TeamSheetFemale,TeamSheetMale),$Y89+2,FALSE)</f>
        <v>Jason Adobor</v>
      </c>
      <c r="K89" s="341" t="s">
        <v>273</v>
      </c>
      <c r="L89" s="16" t="str">
        <f t="shared" si="60"/>
        <v>Y</v>
      </c>
      <c r="M89" s="927" t="s">
        <v>822</v>
      </c>
      <c r="N89" s="927">
        <v>5.17</v>
      </c>
      <c r="O89" s="354" t="str">
        <f>IF(LEN($M89)=1,VLOOKUP(LEFT($M89,1),B87:I94,5,FALSE),IF(LEN($M89)=2,VLOOKUP(LEFT($M89,1),B87:I94,7,FALSE),""))</f>
        <v>YY</v>
      </c>
      <c r="P89" s="410" t="str">
        <f>IF(LEN($M89)=1,VLOOKUP(LEFT($M89,1),B87:I94,6,FALSE),IF(LEN($M89)=2,VLOOKUP(LEFT($M89,1),B87:I94,8,FALSE),""))</f>
        <v>Oscar Farmer</v>
      </c>
      <c r="Q89" s="371" t="s">
        <v>273</v>
      </c>
      <c r="R89" s="146" t="str">
        <f t="shared" si="61"/>
        <v>Y</v>
      </c>
      <c r="S89" s="927" t="s">
        <v>151</v>
      </c>
      <c r="T89" s="927">
        <v>4.84</v>
      </c>
      <c r="U89" s="354" t="str">
        <f>IF(LEN($S89)=1,VLOOKUP(LEFT($S89,1),B87:I94,5,FALSE),IF(LEN($S89)=2,VLOOKUP(LEFT($S89,1),B87:I94,7,FALSE),""))</f>
        <v>Y</v>
      </c>
      <c r="V89" s="410" t="str">
        <f>IF(LEN($S89)=1,VLOOKUP(LEFT($S89,1),B87:I94,6,FALSE),IF(LEN($S89)=2,VLOOKUP(LEFT($S89,1),B87:I94,8,FALSE),""))</f>
        <v>Hayden Helme</v>
      </c>
      <c r="W89" s="417">
        <f t="shared" ref="W89:W94" si="68">W88-1</f>
        <v>6</v>
      </c>
      <c r="Y89" s="16">
        <v>17</v>
      </c>
      <c r="Z89" s="16" t="str">
        <f t="shared" si="62"/>
        <v>Worc</v>
      </c>
      <c r="AA89" s="146" t="str">
        <f t="shared" si="63"/>
        <v>Worc</v>
      </c>
      <c r="AC89" s="16" t="str">
        <f t="shared" si="64"/>
        <v>G</v>
      </c>
      <c r="AD89" s="419" t="str">
        <f t="shared" si="64"/>
        <v>Royal Sutton</v>
      </c>
      <c r="AE89" s="419">
        <f>IF(ISNA(MATCH(AC89,N87:N96,0)),0,VLOOKUP(AC89,N87:S96,5,FALSE))</f>
        <v>0</v>
      </c>
      <c r="AF89" s="419" t="str">
        <f>IF(ISNA(MATCH(AC89,T87:T96,0))," ",VLOOKUP(AC89,T87:Y96,5,FALSE))</f>
        <v xml:space="preserve"> </v>
      </c>
      <c r="AG89" s="419">
        <f>IF(ISNA(MATCH(AC89,L87:L94,0)),0,VLOOKUP(AC89,L87:N94,3,FALSE))</f>
        <v>4.7699999999999996</v>
      </c>
      <c r="AH89" s="419">
        <f>IF(ISNA(MATCH(AC89,R87:R94,0)),0,VLOOKUP(AC89,R87:T94,3,FALSE))</f>
        <v>4.67</v>
      </c>
      <c r="AI89" s="419" t="str">
        <f>IF(ISNA(MATCH(AC89,L87:L94,0)),0,VLOOKUP(AC89,L87:P94,4,FALSE))</f>
        <v>G</v>
      </c>
      <c r="AJ89" s="419" t="str">
        <f>IF(ISNA(MATCH(AC89,R87:R94,0)),0,VLOOKUP(AC89,R87:U94,4,FALSE))</f>
        <v>GG</v>
      </c>
      <c r="AK89" s="32">
        <f t="shared" si="65"/>
        <v>5</v>
      </c>
      <c r="AL89" s="32">
        <f t="shared" si="66"/>
        <v>4</v>
      </c>
      <c r="AM89" s="32">
        <f>IF(ISNA(MATCH(AC89,L87:L94,0)),0,VLOOKUP(AC89,L87:W94,AM$1,FALSE))</f>
        <v>4</v>
      </c>
      <c r="AN89" s="146">
        <f>IF(ISNA(MATCH(AC89,R87:R94,0)),0,VLOOKUP(AC89,R87:W94,AN$1,FALSE))</f>
        <v>5</v>
      </c>
      <c r="AP89" s="927"/>
      <c r="AQ89" s="927"/>
    </row>
    <row r="90" spans="1:47" ht="15.6" x14ac:dyDescent="0.3">
      <c r="A90" s="417">
        <f t="shared" si="67"/>
        <v>74</v>
      </c>
      <c r="B90" s="362" t="str">
        <f>'Event Details'!D$25</f>
        <v>R</v>
      </c>
      <c r="C90" s="381" t="str">
        <f>'Event Details'!E$25</f>
        <v>Rugby &amp; N'hampton</v>
      </c>
      <c r="D90" s="379"/>
      <c r="E90" s="378"/>
      <c r="F90" s="363" t="str">
        <f>VLOOKUP($B86,IF($H86="F",TeamSheetFemale,TeamSheetMale),$Y90-1,FALSE)</f>
        <v>R</v>
      </c>
      <c r="G90" s="380" t="str">
        <f>VLOOKUP($B86,IF($H86="F",TeamSheetFemale,TeamSheetMale),$Y90,FALSE)</f>
        <v>Alfie Goodman</v>
      </c>
      <c r="H90" s="363" t="str">
        <f>VLOOKUP($B86,IF($H86="F",TeamSheetFemale,TeamSheetMale),$Y90+1,FALSE)</f>
        <v>RR</v>
      </c>
      <c r="I90" s="364" t="str">
        <f>VLOOKUP($B86,IF($H86="F",TeamSheetFemale,TeamSheetMale),$Y90+2,FALSE)</f>
        <v>Gigi Okere</v>
      </c>
      <c r="K90" s="341" t="s">
        <v>274</v>
      </c>
      <c r="L90" s="16" t="str">
        <f t="shared" si="60"/>
        <v>D</v>
      </c>
      <c r="M90" s="927" t="s">
        <v>136</v>
      </c>
      <c r="N90" s="927">
        <v>4.83</v>
      </c>
      <c r="O90" s="354" t="str">
        <f>IF(LEN($M90)=1,VLOOKUP(LEFT($M90,1),B87:I94,5,FALSE),IF(LEN($M90)=2,VLOOKUP(LEFT($M90,1),B87:I94,7,FALSE),""))</f>
        <v>D</v>
      </c>
      <c r="P90" s="410" t="str">
        <f>IF(LEN($M90)=1,VLOOKUP(LEFT($M90,1),B87:I94,6,FALSE),IF(LEN($M90)=2,VLOOKUP(LEFT($M90,1),B87:I94,8,FALSE),""))</f>
        <v xml:space="preserve">George Stacey Harper </v>
      </c>
      <c r="Q90" s="371" t="s">
        <v>274</v>
      </c>
      <c r="R90" s="146" t="str">
        <f t="shared" si="61"/>
        <v>G</v>
      </c>
      <c r="S90" s="927" t="s">
        <v>820</v>
      </c>
      <c r="T90" s="927">
        <v>4.67</v>
      </c>
      <c r="U90" s="354" t="str">
        <f>IF(LEN($S90)=1,VLOOKUP(LEFT($S90,1),B87:I94,5,FALSE),IF(LEN($S90)=2,VLOOKUP(LEFT($S90,1),B87:I94,7,FALSE),""))</f>
        <v>GG</v>
      </c>
      <c r="V90" s="410" t="str">
        <f>IF(LEN($S90)=1,VLOOKUP(LEFT($S90,1),B87:I94,6,FALSE),IF(LEN($S90)=2,VLOOKUP(LEFT($S90,1),B87:I94,8,FALSE),""))</f>
        <v>Jason Adobor</v>
      </c>
      <c r="W90" s="417">
        <f t="shared" si="68"/>
        <v>5</v>
      </c>
      <c r="Y90" s="16">
        <v>22</v>
      </c>
      <c r="Z90" s="16" t="str">
        <f t="shared" si="62"/>
        <v>Strat</v>
      </c>
      <c r="AA90" s="146" t="str">
        <f t="shared" si="63"/>
        <v>Royal</v>
      </c>
      <c r="AC90" s="16" t="str">
        <f t="shared" si="64"/>
        <v>R</v>
      </c>
      <c r="AD90" s="419" t="str">
        <f t="shared" si="64"/>
        <v>Rugby &amp; N'hampton</v>
      </c>
      <c r="AE90" s="419">
        <f>IF(ISNA(MATCH(AC90,N87:N96,0)),0,VLOOKUP(AC90,N87:S96,5,FALSE))</f>
        <v>0</v>
      </c>
      <c r="AF90" s="419" t="str">
        <f>IF(ISNA(MATCH(AC90,T87:T96,0))," ",VLOOKUP(AC90,T87:Y96,5,FALSE))</f>
        <v xml:space="preserve"> </v>
      </c>
      <c r="AG90" s="419">
        <f>IF(ISNA(MATCH(AC90,L87:L94,0)),0,VLOOKUP(AC90,L87:N94,3,FALSE))</f>
        <v>4.3099999999999996</v>
      </c>
      <c r="AH90" s="419">
        <f>IF(ISNA(MATCH(AC90,R87:R94,0)),0,VLOOKUP(AC90,R87:T94,3,FALSE))</f>
        <v>0</v>
      </c>
      <c r="AI90" s="419" t="str">
        <f>IF(ISNA(MATCH(AC90,L87:L94,0)),0,VLOOKUP(AC90,L87:P94,4,FALSE))</f>
        <v>RR</v>
      </c>
      <c r="AJ90" s="419">
        <f>IF(ISNA(MATCH(AC90,R87:R94,0)),0,VLOOKUP(AC90,R87:U94,4,FALSE))</f>
        <v>0</v>
      </c>
      <c r="AK90" s="32">
        <f t="shared" si="65"/>
        <v>7</v>
      </c>
      <c r="AL90" s="32">
        <f t="shared" si="66"/>
        <v>0</v>
      </c>
      <c r="AM90" s="32">
        <f>IF(ISNA(MATCH(AC90,L87:L94,0)),0,VLOOKUP(AC90,L87:W94,AM$1,FALSE))</f>
        <v>2</v>
      </c>
      <c r="AN90" s="146">
        <f>IF(ISNA(MATCH(AC90,R87:R94,0)),0,VLOOKUP(AC90,R87:W94,AN$1,FALSE))</f>
        <v>0</v>
      </c>
      <c r="AP90" s="927"/>
      <c r="AQ90" s="927"/>
    </row>
    <row r="91" spans="1:47" ht="15.6" x14ac:dyDescent="0.3">
      <c r="A91" s="417">
        <f t="shared" si="67"/>
        <v>75</v>
      </c>
      <c r="B91" s="362" t="str">
        <f>'Event Details'!D$26</f>
        <v>M</v>
      </c>
      <c r="C91" s="381" t="str">
        <f>'Event Details'!E$26</f>
        <v>Solihull &amp; S.Heath</v>
      </c>
      <c r="D91" s="379"/>
      <c r="E91" s="378"/>
      <c r="F91" s="363" t="str">
        <f>VLOOKUP($B86,IF($H86="F",TeamSheetFemale,TeamSheetMale),$Y91-1,FALSE)</f>
        <v>M</v>
      </c>
      <c r="G91" s="380" t="str">
        <f>VLOOKUP($B86,IF($H86="F",TeamSheetFemale,TeamSheetMale),$Y91,FALSE)</f>
        <v>Charlie Hughes</v>
      </c>
      <c r="H91" s="363" t="str">
        <f>VLOOKUP($B86,IF($H86="F",TeamSheetFemale,TeamSheetMale),$Y91+1,FALSE)</f>
        <v>MM</v>
      </c>
      <c r="I91" s="364" t="str">
        <f>VLOOKUP($B86,IF($H86="F",TeamSheetFemale,TeamSheetMale),$Y91+2,FALSE)</f>
        <v>Jason Bedford</v>
      </c>
      <c r="K91" s="341" t="s">
        <v>275</v>
      </c>
      <c r="L91" s="16" t="str">
        <f t="shared" si="60"/>
        <v>G</v>
      </c>
      <c r="M91" s="927" t="s">
        <v>110</v>
      </c>
      <c r="N91" s="927">
        <v>4.7699999999999996</v>
      </c>
      <c r="O91" s="354" t="str">
        <f>IF(LEN($M91)=1,VLOOKUP(LEFT($M91,1),B87:I94,5,FALSE),IF(LEN($M91)=2,VLOOKUP(LEFT($M91,1),B87:I94,7,FALSE),""))</f>
        <v>G</v>
      </c>
      <c r="P91" s="410" t="str">
        <f>IF(LEN($M91)=1,VLOOKUP(LEFT($M91,1),B87:I94,6,FALSE),IF(LEN($M91)=2,VLOOKUP(LEFT($M91,1),B87:I94,8,FALSE),""))</f>
        <v>Nathaniel Chapman</v>
      </c>
      <c r="Q91" s="371" t="s">
        <v>275</v>
      </c>
      <c r="R91" s="146" t="str">
        <f t="shared" si="61"/>
        <v>D</v>
      </c>
      <c r="S91" s="927" t="s">
        <v>513</v>
      </c>
      <c r="T91" s="927">
        <v>3.56</v>
      </c>
      <c r="U91" s="354" t="str">
        <f>IF(LEN($S91)=1,VLOOKUP(LEFT($S91,1),B87:I94,5,FALSE),IF(LEN($S91)=2,VLOOKUP(LEFT($S91,1),B87:I94,7,FALSE),""))</f>
        <v>DD</v>
      </c>
      <c r="V91" s="410" t="str">
        <f>IF(LEN($S91)=1,VLOOKUP(LEFT($S91,1),B87:I94,6,FALSE),IF(LEN($S91)=2,VLOOKUP(LEFT($S91,1),B87:I94,8,FALSE),""))</f>
        <v xml:space="preserve">Jasper Cooper </v>
      </c>
      <c r="W91" s="417">
        <f t="shared" si="68"/>
        <v>4</v>
      </c>
      <c r="Y91" s="16">
        <v>27</v>
      </c>
      <c r="Z91" s="16" t="str">
        <f t="shared" si="62"/>
        <v>Royal</v>
      </c>
      <c r="AA91" s="146" t="str">
        <f t="shared" si="63"/>
        <v>Strat</v>
      </c>
      <c r="AC91" s="16" t="str">
        <f t="shared" si="64"/>
        <v>M</v>
      </c>
      <c r="AD91" s="419" t="str">
        <f t="shared" si="64"/>
        <v>Solihull &amp; S.Heath</v>
      </c>
      <c r="AE91" s="419">
        <f>IF(ISNA(MATCH(AC91,N87:N96,0)),0,VLOOKUP(AC91,N87:S96,5,FALSE))</f>
        <v>0</v>
      </c>
      <c r="AF91" s="419" t="str">
        <f>IF(ISNA(MATCH(AC91,T87:T96,0))," ",VLOOKUP(AC91,T87:Y96,5,FALSE))</f>
        <v xml:space="preserve"> </v>
      </c>
      <c r="AG91" s="419">
        <f>IF(ISNA(MATCH(AC91,L87:L94,0)),0,VLOOKUP(AC91,L87:N94,3,FALSE))</f>
        <v>5.4</v>
      </c>
      <c r="AH91" s="419">
        <f>IF(ISNA(MATCH(AC91,R87:R94,0)),0,VLOOKUP(AC91,R87:T94,3,FALSE))</f>
        <v>4.9800000000000004</v>
      </c>
      <c r="AI91" s="419" t="str">
        <f>IF(ISNA(MATCH(AC91,L87:L94,0)),0,VLOOKUP(AC91,L87:P94,4,FALSE))</f>
        <v>M</v>
      </c>
      <c r="AJ91" s="419" t="str">
        <f>IF(ISNA(MATCH(AC91,R87:R94,0)),0,VLOOKUP(AC91,R87:U94,4,FALSE))</f>
        <v>MM</v>
      </c>
      <c r="AK91" s="32">
        <f t="shared" si="65"/>
        <v>2</v>
      </c>
      <c r="AL91" s="32">
        <f t="shared" si="66"/>
        <v>2</v>
      </c>
      <c r="AM91" s="32">
        <f>IF(ISNA(MATCH(AC91,L87:L94,0)),0,VLOOKUP(AC91,L87:W94,AM$1,FALSE))</f>
        <v>7</v>
      </c>
      <c r="AN91" s="146">
        <f>IF(ISNA(MATCH(AC91,R87:R94,0)),0,VLOOKUP(AC91,R87:W94,AN$1,FALSE))</f>
        <v>7</v>
      </c>
      <c r="AP91" s="927"/>
      <c r="AQ91" s="927"/>
    </row>
    <row r="92" spans="1:47" ht="15.6" x14ac:dyDescent="0.3">
      <c r="A92" s="417">
        <f t="shared" si="67"/>
        <v>76</v>
      </c>
      <c r="B92" s="362" t="str">
        <f>'Event Details'!D$27</f>
        <v>D</v>
      </c>
      <c r="C92" s="381" t="str">
        <f>'Event Details'!E$27</f>
        <v>Stratford</v>
      </c>
      <c r="D92" s="379"/>
      <c r="E92" s="378"/>
      <c r="F92" s="363" t="str">
        <f>VLOOKUP($B86,IF($H86="F",TeamSheetFemale,TeamSheetMale),$Y92-1,FALSE)</f>
        <v>D</v>
      </c>
      <c r="G92" s="380" t="str">
        <f>VLOOKUP($B86,IF($H86="F",TeamSheetFemale,TeamSheetMale),$Y92,FALSE)</f>
        <v xml:space="preserve">George Stacey Harper </v>
      </c>
      <c r="H92" s="363" t="str">
        <f>VLOOKUP($B86,IF($H86="F",TeamSheetFemale,TeamSheetMale),$Y92+1,FALSE)</f>
        <v>DD</v>
      </c>
      <c r="I92" s="364" t="str">
        <f>VLOOKUP($B86,IF($H86="F",TeamSheetFemale,TeamSheetMale),$Y92+2,FALSE)</f>
        <v xml:space="preserve">Jasper Cooper </v>
      </c>
      <c r="K92" s="341" t="s">
        <v>276</v>
      </c>
      <c r="L92" s="16" t="str">
        <f t="shared" si="60"/>
        <v>U</v>
      </c>
      <c r="M92" s="927" t="s">
        <v>130</v>
      </c>
      <c r="N92" s="927">
        <v>4.57</v>
      </c>
      <c r="O92" s="354" t="str">
        <f>IF(LEN($M92)=1,VLOOKUP(LEFT($M92,1),B87:I94,5,FALSE),IF(LEN($M92)=2,VLOOKUP(LEFT($M92,1),B87:I94,7,FALSE),""))</f>
        <v>U</v>
      </c>
      <c r="P92" s="410" t="str">
        <f>IF(LEN($M92)=1,VLOOKUP(LEFT($M92,1),B87:I94,6,FALSE),IF(LEN($M92)=2,VLOOKUP(LEFT($M92,1),B87:I94,8,FALSE),""))</f>
        <v>Harry Morton</v>
      </c>
      <c r="Q92" s="371" t="s">
        <v>276</v>
      </c>
      <c r="R92" s="146" t="str">
        <f t="shared" si="61"/>
        <v/>
      </c>
      <c r="S92" s="927"/>
      <c r="T92" s="927"/>
      <c r="U92" s="354" t="str">
        <f>IF(LEN($S92)=1,VLOOKUP(LEFT($S92,1),B87:I94,5,FALSE),IF(LEN($S92)=2,VLOOKUP(LEFT($S92,1),B87:I94,7,FALSE),""))</f>
        <v/>
      </c>
      <c r="V92" s="410" t="str">
        <f>IF(LEN($S92)=1,VLOOKUP(LEFT($S92,1),B87:I94,6,FALSE),IF(LEN($S92)=2,VLOOKUP(LEFT($S92,1),B87:I94,8,FALSE),""))</f>
        <v/>
      </c>
      <c r="W92" s="417">
        <f t="shared" si="68"/>
        <v>3</v>
      </c>
      <c r="Y92" s="16">
        <v>32</v>
      </c>
      <c r="Z92" s="16" t="str">
        <f t="shared" si="62"/>
        <v>K&amp;S</v>
      </c>
      <c r="AA92" s="146">
        <f t="shared" si="63"/>
        <v>0</v>
      </c>
      <c r="AC92" s="16" t="str">
        <f t="shared" si="64"/>
        <v>D</v>
      </c>
      <c r="AD92" s="419" t="str">
        <f t="shared" si="64"/>
        <v>Stratford</v>
      </c>
      <c r="AE92" s="419">
        <f>IF(ISNA(MATCH(AC92,N87:N96,0)),0,VLOOKUP(AC92,N87:S96,5,FALSE))</f>
        <v>0</v>
      </c>
      <c r="AF92" s="419" t="str">
        <f>IF(ISNA(MATCH(AC92,T87:T96,0))," ",VLOOKUP(AC92,T87:Y96,5,FALSE))</f>
        <v xml:space="preserve"> </v>
      </c>
      <c r="AG92" s="419">
        <f>IF(ISNA(MATCH(AC92,L87:L94,0)),0,VLOOKUP(AC92,L87:N94,3,FALSE))</f>
        <v>4.83</v>
      </c>
      <c r="AH92" s="419">
        <f>IF(ISNA(MATCH(AC92,R87:R94,0)),0,VLOOKUP(AC92,R87:T94,3,FALSE))</f>
        <v>3.56</v>
      </c>
      <c r="AI92" s="419" t="str">
        <f>IF(ISNA(MATCH(AC92,L87:L94,0)),0,VLOOKUP(AC92,L87:P94,4,FALSE))</f>
        <v>D</v>
      </c>
      <c r="AJ92" s="419" t="str">
        <f>IF(ISNA(MATCH(AC92,R87:R94,0)),0,VLOOKUP(AC92,R87:U94,4,FALSE))</f>
        <v>DD</v>
      </c>
      <c r="AK92" s="32">
        <f t="shared" si="65"/>
        <v>4</v>
      </c>
      <c r="AL92" s="32">
        <f t="shared" si="66"/>
        <v>5</v>
      </c>
      <c r="AM92" s="32">
        <f>IF(ISNA(MATCH(AC92,L87:L94,0)),0,VLOOKUP(AC92,L87:W94,AM$1,FALSE))</f>
        <v>5</v>
      </c>
      <c r="AN92" s="146">
        <f>IF(ISNA(MATCH(AC92,R87:R94,0)),0,VLOOKUP(AC92,R87:W94,AN$1,FALSE))</f>
        <v>4</v>
      </c>
      <c r="AP92" s="927"/>
      <c r="AQ92" s="927"/>
    </row>
    <row r="93" spans="1:47" ht="15.6" x14ac:dyDescent="0.3">
      <c r="A93" s="417">
        <f t="shared" si="67"/>
        <v>77</v>
      </c>
      <c r="B93" s="362" t="str">
        <f>'Event Details'!D$28</f>
        <v>F</v>
      </c>
      <c r="C93" s="381" t="str">
        <f>'Event Details'!E$28</f>
        <v>Tamworth</v>
      </c>
      <c r="D93" s="379"/>
      <c r="E93" s="378"/>
      <c r="F93" s="363" t="str">
        <f>VLOOKUP($B86,IF($H86="F",TeamSheetFemale,TeamSheetMale),$Y93-1,FALSE)</f>
        <v>F</v>
      </c>
      <c r="G93" s="380" t="str">
        <f>VLOOKUP($B86,IF($H86="F",TeamSheetFemale,TeamSheetMale),$Y93,FALSE)</f>
        <v>Arjun Singh Hira</v>
      </c>
      <c r="H93" s="363" t="str">
        <f>VLOOKUP($B86,IF($H86="F",TeamSheetFemale,TeamSheetMale),$Y93+1,FALSE)</f>
        <v>FF</v>
      </c>
      <c r="I93" s="364">
        <f>VLOOKUP($B86,IF($H86="F",TeamSheetFemale,TeamSheetMale),$Y93+2,FALSE)</f>
        <v>0</v>
      </c>
      <c r="K93" s="341" t="s">
        <v>277</v>
      </c>
      <c r="L93" s="16" t="str">
        <f t="shared" si="60"/>
        <v>R</v>
      </c>
      <c r="M93" s="931" t="s">
        <v>819</v>
      </c>
      <c r="N93" s="927">
        <v>4.3099999999999996</v>
      </c>
      <c r="O93" s="354" t="str">
        <f>IF(LEN($M93)=1,VLOOKUP(LEFT($M93,1),B87:I94,5,FALSE),IF(LEN($M93)=2,VLOOKUP(LEFT($M93,1),B87:I94,7,FALSE),""))</f>
        <v>RR</v>
      </c>
      <c r="P93" s="410" t="str">
        <f>IF(LEN($M93)=1,VLOOKUP(LEFT($M93,1),B87:I94,6,FALSE),IF(LEN($M93)=2,VLOOKUP(LEFT($M93,1),B87:I94,8,FALSE),""))</f>
        <v>Gigi Okere</v>
      </c>
      <c r="Q93" s="371" t="s">
        <v>277</v>
      </c>
      <c r="R93" s="146" t="str">
        <f t="shared" si="61"/>
        <v/>
      </c>
      <c r="S93" s="931"/>
      <c r="T93" s="927"/>
      <c r="U93" s="354" t="str">
        <f>IF(LEN($S93)=1,VLOOKUP(LEFT($S93,1),B87:I94,5,FALSE),IF(LEN($S93)=2,VLOOKUP(LEFT($S93,1),B87:I94,7,FALSE),""))</f>
        <v/>
      </c>
      <c r="V93" s="410" t="str">
        <f>IF(LEN($S93)=1,VLOOKUP(LEFT($S93,1),B87:I94,6,FALSE),IF(LEN($S93)=2,VLOOKUP(LEFT($S93,1),B87:I94,8,FALSE),""))</f>
        <v/>
      </c>
      <c r="W93" s="417">
        <f t="shared" si="68"/>
        <v>2</v>
      </c>
      <c r="Y93" s="16">
        <v>37</v>
      </c>
      <c r="Z93" s="16" t="str">
        <f t="shared" si="62"/>
        <v>Rugby</v>
      </c>
      <c r="AA93" s="146">
        <f t="shared" si="63"/>
        <v>0</v>
      </c>
      <c r="AC93" s="16" t="str">
        <f t="shared" si="64"/>
        <v>F</v>
      </c>
      <c r="AD93" s="419" t="str">
        <f t="shared" si="64"/>
        <v>Tamworth</v>
      </c>
      <c r="AE93" s="419">
        <f>IF(ISNA(MATCH(AC93,N85:N94,0)),0,VLOOKUP(AC93,N85:S94,5,FALSE))</f>
        <v>0</v>
      </c>
      <c r="AF93" s="419" t="str">
        <f>IF(ISNA(MATCH(AC93,T85:T94,0))," ",VLOOKUP(AC93,T85:Y94,5,FALSE))</f>
        <v xml:space="preserve"> </v>
      </c>
      <c r="AG93" s="419">
        <f>IF(ISNA(MATCH(AC93,L87:L94,0)),0,VLOOKUP(AC93,L87:N94,3,FALSE))</f>
        <v>2.98</v>
      </c>
      <c r="AH93" s="419">
        <f>IF(ISNA(MATCH(AC93,R87:R94,0)),0,VLOOKUP(AC93,R87:T94,3,FALSE))</f>
        <v>0</v>
      </c>
      <c r="AI93" s="419" t="str">
        <f>IF(ISNA(MATCH(AC93,L87:L94,0)),0,VLOOKUP(AC93,L87:P94,4,FALSE))</f>
        <v>F</v>
      </c>
      <c r="AJ93" s="419">
        <f>IF(ISNA(MATCH(AC93,R87:R94,0)),0,VLOOKUP(AC93,R87:U94,4,FALSE))</f>
        <v>0</v>
      </c>
      <c r="AK93" s="32">
        <f t="shared" si="65"/>
        <v>8</v>
      </c>
      <c r="AL93" s="32">
        <f t="shared" si="66"/>
        <v>0</v>
      </c>
      <c r="AM93" s="32">
        <f>IF(ISNA(MATCH(AC93,L87:L94,0)),0,VLOOKUP(AC93,L87:W94,AM$1,FALSE))</f>
        <v>1</v>
      </c>
      <c r="AN93" s="146">
        <f>IF(ISNA(MATCH(AC93,R87:R94,0)),0,VLOOKUP(AC93,R87:W94,AN$1,FALSE))</f>
        <v>0</v>
      </c>
      <c r="AP93" s="931"/>
      <c r="AQ93" s="927"/>
    </row>
    <row r="94" spans="1:47" ht="16.2" thickBot="1" x14ac:dyDescent="0.35">
      <c r="A94" s="418">
        <f t="shared" si="67"/>
        <v>78</v>
      </c>
      <c r="B94" s="365" t="str">
        <f>'Event Details'!D$29</f>
        <v>Y</v>
      </c>
      <c r="C94" s="366" t="str">
        <f>'Event Details'!E$29</f>
        <v>Worcester</v>
      </c>
      <c r="D94" s="361"/>
      <c r="E94" s="370"/>
      <c r="F94" s="367" t="str">
        <f>VLOOKUP($B86,IF($H86="F",TeamSheetFemale,TeamSheetMale),$Y94-1,FALSE)</f>
        <v>Y</v>
      </c>
      <c r="G94" s="368" t="str">
        <f>VLOOKUP($B86,IF($H86="F",TeamSheetFemale,TeamSheetMale),$Y94,FALSE)</f>
        <v>Hayden Helme</v>
      </c>
      <c r="H94" s="367" t="str">
        <f>VLOOKUP($B86,IF($H86="F",TeamSheetFemale,TeamSheetMale),$Y94+1,FALSE)</f>
        <v>YY</v>
      </c>
      <c r="I94" s="369" t="str">
        <f>VLOOKUP($B86,IF($H86="F",TeamSheetFemale,TeamSheetMale),$Y94+2,FALSE)</f>
        <v>Oscar Farmer</v>
      </c>
      <c r="K94" s="346" t="s">
        <v>278</v>
      </c>
      <c r="L94" s="25" t="str">
        <f t="shared" si="60"/>
        <v>F</v>
      </c>
      <c r="M94" s="928" t="s">
        <v>142</v>
      </c>
      <c r="N94" s="932">
        <v>2.98</v>
      </c>
      <c r="O94" s="374" t="str">
        <f>IF(LEN($M94)=1,VLOOKUP(LEFT($M94,1),B87:I94,5,FALSE),IF(LEN($M94)=2,VLOOKUP(LEFT($M94,1),B87:I94,7,FALSE),""))</f>
        <v>F</v>
      </c>
      <c r="P94" s="411" t="str">
        <f>IF(LEN($M94)=1,VLOOKUP(LEFT($M94,1),B87:I94,6,FALSE),IF(LEN($M94)=2,VLOOKUP(LEFT($M94,1),B87:I94,8,FALSE),""))</f>
        <v>Arjun Singh Hira</v>
      </c>
      <c r="Q94" s="407" t="s">
        <v>278</v>
      </c>
      <c r="R94" s="523" t="str">
        <f t="shared" si="61"/>
        <v/>
      </c>
      <c r="S94" s="928" t="s">
        <v>148</v>
      </c>
      <c r="T94" s="932"/>
      <c r="U94" s="374" t="str">
        <f>IF(LEN($S94)=1,VLOOKUP(LEFT($S94,1),B87:I94,5,FALSE),IF(LEN($S94)=2,VLOOKUP(LEFT($S94,1),B87:I94,7,FALSE),""))</f>
        <v/>
      </c>
      <c r="V94" s="411" t="str">
        <f>IF(LEN($S94)=1,VLOOKUP(LEFT($S94,1),B87:I94,6,FALSE),IF(LEN($S94)=2,VLOOKUP(LEFT($S94,1),B87:I94,8,FALSE),""))</f>
        <v/>
      </c>
      <c r="W94" s="418">
        <f t="shared" si="68"/>
        <v>1</v>
      </c>
      <c r="Y94" s="25">
        <v>42</v>
      </c>
      <c r="Z94" s="25" t="str">
        <f t="shared" si="62"/>
        <v>Tam</v>
      </c>
      <c r="AA94" s="523">
        <f t="shared" si="63"/>
        <v>0</v>
      </c>
      <c r="AC94" s="25" t="str">
        <f t="shared" si="64"/>
        <v>Y</v>
      </c>
      <c r="AD94" s="624" t="str">
        <f t="shared" si="64"/>
        <v>Worcester</v>
      </c>
      <c r="AE94" s="624">
        <f>IF(ISNA(MATCH(AC94,N86:N95,0)),0,VLOOKUP(AC94,N86:S95,5,FALSE))</f>
        <v>0</v>
      </c>
      <c r="AF94" s="624" t="str">
        <f t="shared" ref="AF94" si="69">IF(ISNA(MATCH(AC94,T86:T95,0))," ",VLOOKUP(AC94,T86:Y95,5,FALSE))</f>
        <v xml:space="preserve"> </v>
      </c>
      <c r="AG94" s="624">
        <f>IF(ISNA(MATCH(AC94,L87:L94,0)),0,VLOOKUP(AC94,L87:N94,3,FALSE))</f>
        <v>5.17</v>
      </c>
      <c r="AH94" s="624">
        <f>IF(ISNA(MATCH(AC94,R87:R94,0)),0,VLOOKUP(AC94,R87:T94,3,FALSE))</f>
        <v>4.84</v>
      </c>
      <c r="AI94" s="624" t="str">
        <f>IF(ISNA(MATCH(AC94,L87:L94,0)),0,VLOOKUP(AC94,L87:P94,4,FALSE))</f>
        <v>YY</v>
      </c>
      <c r="AJ94" s="624" t="str">
        <f>IF(ISNA(MATCH(AC94,R87:R94,0)),0,VLOOKUP(AC94,R87:U94,4,FALSE))</f>
        <v>Y</v>
      </c>
      <c r="AK94" s="116">
        <f t="shared" si="65"/>
        <v>3</v>
      </c>
      <c r="AL94" s="116">
        <f t="shared" si="66"/>
        <v>3</v>
      </c>
      <c r="AM94" s="116">
        <f>IF(ISNA(MATCH(AC94,L87:L94,0)),0,VLOOKUP(AC94,L87:W94,AM$1,FALSE))</f>
        <v>6</v>
      </c>
      <c r="AN94" s="523">
        <f>IF(ISNA(MATCH(AC94,R87:R94,0)),0,VLOOKUP(AC94,R87:W94,AN$1,FALSE))</f>
        <v>6</v>
      </c>
      <c r="AP94" s="928" t="s">
        <v>148</v>
      </c>
      <c r="AQ94" s="932"/>
    </row>
    <row r="95" spans="1:47" ht="15" thickBot="1" x14ac:dyDescent="0.35">
      <c r="M95" s="276"/>
      <c r="N95" s="307"/>
      <c r="S95" s="276"/>
      <c r="T95" s="307"/>
      <c r="AP95" s="276"/>
      <c r="AQ95" s="307"/>
    </row>
    <row r="96" spans="1:47" x14ac:dyDescent="0.3">
      <c r="B96" s="400" t="s">
        <v>258</v>
      </c>
      <c r="C96" s="398"/>
      <c r="D96" s="401" t="s">
        <v>165</v>
      </c>
      <c r="E96" s="398"/>
      <c r="F96" s="398"/>
      <c r="G96" s="402" t="s">
        <v>259</v>
      </c>
      <c r="H96" s="403" t="s">
        <v>249</v>
      </c>
      <c r="I96" s="404" t="s">
        <v>168</v>
      </c>
      <c r="K96" s="360"/>
      <c r="L96" s="661"/>
      <c r="M96" s="387" t="s">
        <v>260</v>
      </c>
      <c r="N96" s="387" t="s">
        <v>261</v>
      </c>
      <c r="O96" s="387" t="s">
        <v>262</v>
      </c>
      <c r="P96" s="388" t="s">
        <v>75</v>
      </c>
      <c r="Q96" s="389"/>
      <c r="R96" s="657"/>
      <c r="S96" s="387" t="s">
        <v>260</v>
      </c>
      <c r="T96" s="387" t="s">
        <v>261</v>
      </c>
      <c r="U96" s="387" t="s">
        <v>262</v>
      </c>
      <c r="V96" s="388" t="s">
        <v>75</v>
      </c>
      <c r="W96" s="672" t="s">
        <v>76</v>
      </c>
      <c r="Y96" s="414" t="s">
        <v>263</v>
      </c>
      <c r="Z96" s="656" t="s">
        <v>74</v>
      </c>
      <c r="AA96" s="657" t="s">
        <v>75</v>
      </c>
      <c r="AC96" s="665" t="s">
        <v>71</v>
      </c>
      <c r="AD96" s="657" t="s">
        <v>86</v>
      </c>
      <c r="AE96" s="661" t="s">
        <v>149</v>
      </c>
      <c r="AF96" s="661" t="s">
        <v>94</v>
      </c>
      <c r="AG96" s="661" t="s">
        <v>149</v>
      </c>
      <c r="AH96" s="661" t="s">
        <v>94</v>
      </c>
      <c r="AI96" s="661" t="s">
        <v>149</v>
      </c>
      <c r="AJ96" s="661" t="s">
        <v>94</v>
      </c>
      <c r="AK96" s="1332" t="s">
        <v>149</v>
      </c>
      <c r="AL96" s="661" t="s">
        <v>94</v>
      </c>
      <c r="AM96" s="1406" t="s">
        <v>76</v>
      </c>
      <c r="AN96" s="1407"/>
      <c r="AP96" s="387" t="s">
        <v>260</v>
      </c>
      <c r="AQ96" s="387" t="s">
        <v>261</v>
      </c>
      <c r="AS96" s="1218" t="s">
        <v>165</v>
      </c>
      <c r="AT96" s="1219" t="s">
        <v>79</v>
      </c>
      <c r="AU96" s="1220" t="s">
        <v>80</v>
      </c>
    </row>
    <row r="97" spans="1:47" ht="15" thickBot="1" x14ac:dyDescent="0.35">
      <c r="B97" s="405">
        <v>8</v>
      </c>
      <c r="C97" s="399"/>
      <c r="D97" s="385" t="str">
        <f>VLOOKUP($B97,EventOrder,6,FALSE)</f>
        <v xml:space="preserve">75m hurdles </v>
      </c>
      <c r="E97" s="399"/>
      <c r="F97" s="385"/>
      <c r="G97" s="386" t="str">
        <f>VLOOKUP($B97,EventOrder,4,FALSE)</f>
        <v>U14 Female</v>
      </c>
      <c r="H97" s="396" t="str">
        <f>IF(MID(G97,5,1)="F","F","M")</f>
        <v>F</v>
      </c>
      <c r="I97" s="397">
        <f>VLOOKUP($B97,EventOrder,2,FALSE)</f>
        <v>11.3</v>
      </c>
      <c r="K97" s="377"/>
      <c r="L97" s="667" t="s">
        <v>149</v>
      </c>
      <c r="M97" s="409" t="s">
        <v>264</v>
      </c>
      <c r="N97" s="409" t="s">
        <v>265</v>
      </c>
      <c r="O97" s="390" t="s">
        <v>266</v>
      </c>
      <c r="P97" s="391"/>
      <c r="Q97" s="392"/>
      <c r="R97" s="659" t="s">
        <v>94</v>
      </c>
      <c r="S97" s="409" t="s">
        <v>264</v>
      </c>
      <c r="T97" s="409" t="s">
        <v>265</v>
      </c>
      <c r="U97" s="390" t="s">
        <v>266</v>
      </c>
      <c r="V97" s="391"/>
      <c r="W97" s="671"/>
      <c r="Y97" s="415" t="s">
        <v>167</v>
      </c>
      <c r="Z97" s="658" t="s">
        <v>149</v>
      </c>
      <c r="AA97" s="659" t="s">
        <v>94</v>
      </c>
      <c r="AC97" s="666"/>
      <c r="AD97" s="668"/>
      <c r="AE97" s="768" t="s">
        <v>75</v>
      </c>
      <c r="AF97" s="768" t="s">
        <v>75</v>
      </c>
      <c r="AG97" s="768" t="s">
        <v>267</v>
      </c>
      <c r="AH97" s="768" t="s">
        <v>267</v>
      </c>
      <c r="AI97" s="768" t="s">
        <v>268</v>
      </c>
      <c r="AJ97" s="768" t="s">
        <v>268</v>
      </c>
      <c r="AK97" s="770" t="s">
        <v>269</v>
      </c>
      <c r="AL97" s="768" t="s">
        <v>269</v>
      </c>
      <c r="AM97" s="667" t="s">
        <v>149</v>
      </c>
      <c r="AN97" s="659" t="s">
        <v>94</v>
      </c>
      <c r="AP97" s="409" t="s">
        <v>264</v>
      </c>
      <c r="AQ97" s="409" t="s">
        <v>265</v>
      </c>
      <c r="AS97" s="1221" t="s">
        <v>270</v>
      </c>
      <c r="AT97" s="1222" t="s">
        <v>270</v>
      </c>
      <c r="AU97" s="1223" t="s">
        <v>270</v>
      </c>
    </row>
    <row r="98" spans="1:47" ht="15.6" x14ac:dyDescent="0.3">
      <c r="A98" s="416">
        <f>(B97*10)+1</f>
        <v>81</v>
      </c>
      <c r="B98" s="362" t="str">
        <f>'Event Details'!D$22</f>
        <v>S</v>
      </c>
      <c r="C98" s="381" t="str">
        <f>'Event Details'!E$22</f>
        <v>BRAT</v>
      </c>
      <c r="D98" s="379"/>
      <c r="E98" s="378"/>
      <c r="F98" s="363" t="str">
        <f>VLOOKUP($B97,IF($H97="F",TeamSheetFemale,TeamSheetMale),$Y98-1,FALSE)</f>
        <v>S</v>
      </c>
      <c r="G98" s="380" t="str">
        <f>VLOOKUP($B97,IF($H97="F",TeamSheetFemale,TeamSheetMale),$Y98,FALSE)</f>
        <v>Darcy mcdaid</v>
      </c>
      <c r="H98" s="363" t="str">
        <f>VLOOKUP($B97,IF($H97="F",TeamSheetFemale,TeamSheetMale),$Y98+1,FALSE)</f>
        <v>SS</v>
      </c>
      <c r="I98" s="364" t="str">
        <f>VLOOKUP($B97,IF($H97="F",TeamSheetFemale,TeamSheetMale),$Y98+2,FALSE)</f>
        <v>Agnes thomson</v>
      </c>
      <c r="K98" s="393" t="s">
        <v>271</v>
      </c>
      <c r="L98" s="16" t="str">
        <f t="shared" ref="L98:L105" si="70">LEFT(M98,1)</f>
        <v>R</v>
      </c>
      <c r="M98" s="926" t="s">
        <v>118</v>
      </c>
      <c r="N98" s="926">
        <v>12.4</v>
      </c>
      <c r="O98" s="394" t="str">
        <f>IF(LEN($M98)=1,VLOOKUP(LEFT($M98,1),B98:I105,5,FALSE),IF(LEN($M98)=2,VLOOKUP(LEFT($M98,1),B98:I105,7,FALSE),""))</f>
        <v>R</v>
      </c>
      <c r="P98" s="395" t="str">
        <f>IF(LEN($M98)=1,VLOOKUP(LEFT($M98,1),B98:I105,6,FALSE),IF(LEN($M98)=2,VLOOKUP(LEFT($M98,1),B98:I105,8,FALSE),""))</f>
        <v>Taya Young</v>
      </c>
      <c r="Q98" s="393" t="s">
        <v>271</v>
      </c>
      <c r="R98" s="146" t="str">
        <f t="shared" ref="R98:R105" si="71">LEFT(S98,1)</f>
        <v>S</v>
      </c>
      <c r="S98" s="926" t="s">
        <v>818</v>
      </c>
      <c r="T98" s="926">
        <v>12.9</v>
      </c>
      <c r="U98" s="394" t="str">
        <f>IF(LEN($S98)=1,VLOOKUP(LEFT($S98,1),B98:I105,5,FALSE),IF(LEN($S98)=2,VLOOKUP(LEFT($S98,1),B98:I105,7,FALSE),""))</f>
        <v>SS</v>
      </c>
      <c r="V98" s="395" t="str">
        <f>IF(LEN($S98)=1,VLOOKUP(LEFT($S98,1),B98:I105,6,FALSE),IF(LEN($S98)=2,VLOOKUP(LEFT($S98,1),B98:I105,8,FALSE),""))</f>
        <v>Agnes thomson</v>
      </c>
      <c r="W98" s="417">
        <f>AN$6</f>
        <v>8</v>
      </c>
      <c r="Y98" s="416">
        <v>7</v>
      </c>
      <c r="Z98" s="653" t="str">
        <f t="shared" ref="Z98:Z105" si="72">IF(LEN(M98)&gt;0,VLOOKUP(LEFT(M98,1),ShortName,5,FALSE),0)</f>
        <v>Rugby</v>
      </c>
      <c r="AA98" s="138" t="str">
        <f t="shared" ref="AA98:AA105" si="73">IF(LEN(S98)&gt;0,VLOOKUP(LEFT(S98,1),ShortName,5,FALSE),0)</f>
        <v>BRAT</v>
      </c>
      <c r="AC98" s="16" t="str">
        <f t="shared" ref="AC98:AD105" si="74">B98</f>
        <v>S</v>
      </c>
      <c r="AD98" s="419" t="str">
        <f t="shared" si="74"/>
        <v>BRAT</v>
      </c>
      <c r="AE98" s="635">
        <f>IF(ISNA(MATCH(AC98,N98:N107,0)),0,VLOOKUP(AC98,N98:S107,5,FALSE))</f>
        <v>0</v>
      </c>
      <c r="AF98" s="635" t="str">
        <f>IF(ISNA(MATCH(AC98,T98:T107,0))," ",VLOOKUP(AC98,T98:Y107,5,FALSE))</f>
        <v xml:space="preserve"> </v>
      </c>
      <c r="AG98" s="635">
        <f>IF(ISNA(MATCH(AC98,L98:L105,0)),0,VLOOKUP(AC98,L98:N105,3,FALSE))</f>
        <v>13.2</v>
      </c>
      <c r="AH98" s="635">
        <f>IF(ISNA(MATCH(AC98,R98:R105,0)),0,VLOOKUP(AC98,R98:T105,3,FALSE))</f>
        <v>12.9</v>
      </c>
      <c r="AI98" s="635" t="str">
        <f>IF(ISNA(MATCH(AC98,L98:L105,0)),0,VLOOKUP(AC98,L98:P105,4,FALSE))</f>
        <v>S</v>
      </c>
      <c r="AJ98" s="635" t="str">
        <f>IF(ISNA(MATCH(AC98,R98:R105,0)),0,VLOOKUP(AC98,R98:U105,4,FALSE))</f>
        <v>SS</v>
      </c>
      <c r="AK98" s="49">
        <f t="shared" ref="AK98:AK105" si="75">IF(AM98=0,0,AN$6-(AM98-1))</f>
        <v>2</v>
      </c>
      <c r="AL98" s="49">
        <f t="shared" ref="AL98:AL105" si="76">IF(AN98=0,0,AN$6-(AN98-1))</f>
        <v>1</v>
      </c>
      <c r="AM98" s="49">
        <f>IF(ISNA(MATCH(AC98,L98:L105,0)),0,VLOOKUP(AC98,L98:W105,AM$1,FALSE))</f>
        <v>7</v>
      </c>
      <c r="AN98" s="138">
        <f>IF(ISNA(MATCH(AC98,R98:R105,0)),0,VLOOKUP(AC98,R98:W105,AN$1,FALSE))</f>
        <v>8</v>
      </c>
      <c r="AP98" s="926"/>
      <c r="AQ98" s="926"/>
      <c r="AS98" s="32">
        <f>IF(LEN(N98)&gt;0,1,0)</f>
        <v>1</v>
      </c>
      <c r="AT98" s="32">
        <f>IF(AND(AS98=1,H97="M"),1,0)</f>
        <v>0</v>
      </c>
      <c r="AU98" s="32">
        <f>IF(AND(AS98=1,H97="F"),1,0)</f>
        <v>1</v>
      </c>
    </row>
    <row r="99" spans="1:47" ht="15.6" x14ac:dyDescent="0.3">
      <c r="A99" s="417">
        <f>A98+1</f>
        <v>82</v>
      </c>
      <c r="B99" s="362" t="str">
        <f>'Event Details'!D$23</f>
        <v>U</v>
      </c>
      <c r="C99" s="381" t="str">
        <f>'Event Details'!E$23</f>
        <v>Kidder &amp; Stourport</v>
      </c>
      <c r="D99" s="379"/>
      <c r="E99" s="378"/>
      <c r="F99" s="363" t="str">
        <f>VLOOKUP($B97,IF($H97="F",TeamSheetFemale,TeamSheetMale),$Y99-1,FALSE)</f>
        <v>U</v>
      </c>
      <c r="G99" s="380" t="str">
        <f>VLOOKUP($B97,IF($H97="F",TeamSheetFemale,TeamSheetMale),$Y99,FALSE)</f>
        <v>Matilda Kiernan</v>
      </c>
      <c r="H99" s="363" t="str">
        <f>VLOOKUP($B97,IF($H97="F",TeamSheetFemale,TeamSheetMale),$Y99+1,FALSE)</f>
        <v>UU</v>
      </c>
      <c r="I99" s="364" t="str">
        <f>VLOOKUP($B97,IF($H97="F",TeamSheetFemale,TeamSheetMale),$Y99+2,FALSE)</f>
        <v>Isabelle McCann</v>
      </c>
      <c r="K99" s="341" t="s">
        <v>272</v>
      </c>
      <c r="L99" s="16" t="str">
        <f t="shared" si="70"/>
        <v>S</v>
      </c>
      <c r="M99" s="927" t="s">
        <v>100</v>
      </c>
      <c r="N99" s="927">
        <v>13.2</v>
      </c>
      <c r="O99" s="353" t="str">
        <f>IF(LEN($M99)=1,VLOOKUP(LEFT($M99,1),B98:I105,5,FALSE),IF(LEN($M99)=2,VLOOKUP(LEFT($M99,1),B98:I105,7,FALSE),""))</f>
        <v>S</v>
      </c>
      <c r="P99" s="373" t="str">
        <f>IF(LEN($M99)=1,VLOOKUP(LEFT($M99,1),B98:I105,6,FALSE),IF(LEN($M99)=2,VLOOKUP(LEFT($M99,1),B98:I105,8,FALSE),""))</f>
        <v>Darcy mcdaid</v>
      </c>
      <c r="Q99" s="341" t="s">
        <v>272</v>
      </c>
      <c r="R99" s="146" t="str">
        <f t="shared" si="71"/>
        <v>D</v>
      </c>
      <c r="S99" s="927" t="s">
        <v>513</v>
      </c>
      <c r="T99" s="927">
        <v>14.4</v>
      </c>
      <c r="U99" s="353" t="str">
        <f>IF(LEN($S99)=1,VLOOKUP(LEFT($S99,1),B98:I105,5,FALSE),IF(LEN($S99)=2,VLOOKUP(LEFT($S99,1),B98:I105,7,FALSE),""))</f>
        <v>DD</v>
      </c>
      <c r="V99" s="373" t="str">
        <f>IF(LEN($S99)=1,VLOOKUP(LEFT($S99,1),B98:I105,6,FALSE),IF(LEN($S99)=2,VLOOKUP(LEFT($S99,1),B98:I105,8,FALSE),""))</f>
        <v>Lara Ryan-Gill</v>
      </c>
      <c r="W99" s="417">
        <f>W98-1</f>
        <v>7</v>
      </c>
      <c r="Y99" s="417">
        <v>12</v>
      </c>
      <c r="Z99" s="16" t="str">
        <f t="shared" si="72"/>
        <v>BRAT</v>
      </c>
      <c r="AA99" s="146" t="str">
        <f t="shared" si="73"/>
        <v>Strat</v>
      </c>
      <c r="AC99" s="16" t="str">
        <f t="shared" si="74"/>
        <v>U</v>
      </c>
      <c r="AD99" s="419" t="str">
        <f t="shared" si="74"/>
        <v>Kidder &amp; Stourport</v>
      </c>
      <c r="AE99" s="419">
        <f>IF(ISNA(MATCH(AC99,N98:N107,0)),0,VLOOKUP(AC99,N98:S107,5,FALSE))</f>
        <v>0</v>
      </c>
      <c r="AF99" s="419" t="str">
        <f>IF(ISNA(MATCH(AC99,T98:T107,0))," ",VLOOKUP(AC99,T98:Y107,5,FALSE))</f>
        <v xml:space="preserve"> </v>
      </c>
      <c r="AG99" s="419">
        <f>IF(ISNA(MATCH(AC99,L98:L105,0)),0,VLOOKUP(AC99,L98:N105,3,FALSE))</f>
        <v>15.3</v>
      </c>
      <c r="AH99" s="419">
        <f>IF(ISNA(MATCH(AC99,R98:R105,0)),0,VLOOKUP(AC99,R98:T105,3,FALSE))</f>
        <v>18.600000000000001</v>
      </c>
      <c r="AI99" s="419" t="str">
        <f>IF(ISNA(MATCH(AC99,L98:L105,0)),0,VLOOKUP(AC99,L98:P105,4,FALSE))</f>
        <v>U</v>
      </c>
      <c r="AJ99" s="419" t="str">
        <f>IF(ISNA(MATCH(AC99,R98:R105,0)),0,VLOOKUP(AC99,R98:U105,4,FALSE))</f>
        <v>UU</v>
      </c>
      <c r="AK99" s="32">
        <f t="shared" si="75"/>
        <v>4</v>
      </c>
      <c r="AL99" s="32">
        <f t="shared" si="76"/>
        <v>6</v>
      </c>
      <c r="AM99" s="32">
        <f>IF(ISNA(MATCH(AC99,L98:L105,0)),0,VLOOKUP(AC99,L98:W105,AM$1,FALSE))</f>
        <v>5</v>
      </c>
      <c r="AN99" s="146">
        <f>IF(ISNA(MATCH(AC99,R98:R105,0)),0,VLOOKUP(AC99,R98:W105,AN$1,FALSE))</f>
        <v>3</v>
      </c>
      <c r="AP99" s="927"/>
      <c r="AQ99" s="927"/>
    </row>
    <row r="100" spans="1:47" ht="15.6" x14ac:dyDescent="0.3">
      <c r="A100" s="417">
        <f t="shared" ref="A100:A105" si="77">A99+1</f>
        <v>83</v>
      </c>
      <c r="B100" s="362" t="str">
        <f>'Event Details'!D$24</f>
        <v>G</v>
      </c>
      <c r="C100" s="381" t="str">
        <f>'Event Details'!E$24</f>
        <v>Royal Sutton</v>
      </c>
      <c r="D100" s="379"/>
      <c r="E100" s="378"/>
      <c r="F100" s="363" t="str">
        <f>VLOOKUP($B97,IF($H97="F",TeamSheetFemale,TeamSheetMale),$Y100-1,FALSE)</f>
        <v>G</v>
      </c>
      <c r="G100" s="380" t="str">
        <f>VLOOKUP($B97,IF($H97="F",TeamSheetFemale,TeamSheetMale),$Y100,FALSE)</f>
        <v>Mabel Edgerton</v>
      </c>
      <c r="H100" s="363" t="str">
        <f>VLOOKUP($B97,IF($H97="F",TeamSheetFemale,TeamSheetMale),$Y100+1,FALSE)</f>
        <v>GG</v>
      </c>
      <c r="I100" s="364">
        <f>VLOOKUP($B97,IF($H97="F",TeamSheetFemale,TeamSheetMale),$Y100+2,FALSE)</f>
        <v>0</v>
      </c>
      <c r="K100" s="341" t="s">
        <v>273</v>
      </c>
      <c r="L100" s="16" t="str">
        <f t="shared" si="70"/>
        <v>Y</v>
      </c>
      <c r="M100" s="927" t="s">
        <v>151</v>
      </c>
      <c r="N100" s="927">
        <v>14.6</v>
      </c>
      <c r="O100" s="353" t="str">
        <f>IF(LEN($M100)=1,VLOOKUP(LEFT($M100,1),B98:I105,5,FALSE),IF(LEN($M100)=2,VLOOKUP(LEFT($M100,1),B98:I105,7,FALSE),""))</f>
        <v>Y</v>
      </c>
      <c r="P100" s="373" t="str">
        <f>IF(LEN($M100)=1,VLOOKUP(LEFT($M100,1),B98:I105,6,FALSE),IF(LEN($M100)=2,VLOOKUP(LEFT($M100,1),B98:I105,8,FALSE),""))</f>
        <v>Isla Porter</v>
      </c>
      <c r="Q100" s="341" t="s">
        <v>273</v>
      </c>
      <c r="R100" s="146" t="str">
        <f t="shared" si="71"/>
        <v>Y</v>
      </c>
      <c r="S100" s="927" t="s">
        <v>822</v>
      </c>
      <c r="T100" s="927">
        <v>15.7</v>
      </c>
      <c r="U100" s="353" t="str">
        <f>IF(LEN($S100)=1,VLOOKUP(LEFT($S100,1),B98:I105,5,FALSE),IF(LEN($S100)=2,VLOOKUP(LEFT($S100,1),B98:I105,7,FALSE),""))</f>
        <v>YY</v>
      </c>
      <c r="V100" s="373" t="str">
        <f>IF(LEN($S100)=1,VLOOKUP(LEFT($S100,1),B98:I105,6,FALSE),IF(LEN($S100)=2,VLOOKUP(LEFT($S100,1),B98:I105,8,FALSE),""))</f>
        <v>Esme Dyer</v>
      </c>
      <c r="W100" s="417">
        <f t="shared" ref="W100:W105" si="78">W99-1</f>
        <v>6</v>
      </c>
      <c r="Y100" s="417">
        <v>17</v>
      </c>
      <c r="Z100" s="16" t="str">
        <f t="shared" si="72"/>
        <v>Worc</v>
      </c>
      <c r="AA100" s="146" t="str">
        <f t="shared" si="73"/>
        <v>Worc</v>
      </c>
      <c r="AB100" s="32"/>
      <c r="AC100" s="16" t="str">
        <f t="shared" si="74"/>
        <v>G</v>
      </c>
      <c r="AD100" s="419" t="str">
        <f t="shared" si="74"/>
        <v>Royal Sutton</v>
      </c>
      <c r="AE100" s="419">
        <f>IF(ISNA(MATCH(AC100,N98:N107,0)),0,VLOOKUP(AC100,N98:S107,5,FALSE))</f>
        <v>0</v>
      </c>
      <c r="AF100" s="419" t="str">
        <f>IF(ISNA(MATCH(AC100,T98:T107,0))," ",VLOOKUP(AC100,T98:Y107,5,FALSE))</f>
        <v xml:space="preserve"> </v>
      </c>
      <c r="AG100" s="419">
        <f>IF(ISNA(MATCH(AC100,L98:L105,0)),0,VLOOKUP(AC100,L98:N105,3,FALSE))</f>
        <v>15.4</v>
      </c>
      <c r="AH100" s="419">
        <f>IF(ISNA(MATCH(AC100,R98:R105,0)),0,VLOOKUP(AC100,R98:T105,3,FALSE))</f>
        <v>0</v>
      </c>
      <c r="AI100" s="419" t="str">
        <f>IF(ISNA(MATCH(AC100,L98:L105,0)),0,VLOOKUP(AC100,L98:P105,4,FALSE))</f>
        <v>G</v>
      </c>
      <c r="AJ100" s="419">
        <f>IF(ISNA(MATCH(AC100,R98:R105,0)),0,VLOOKUP(AC100,R98:U105,4,FALSE))</f>
        <v>0</v>
      </c>
      <c r="AK100" s="32">
        <f t="shared" si="75"/>
        <v>5</v>
      </c>
      <c r="AL100" s="32">
        <f t="shared" si="76"/>
        <v>0</v>
      </c>
      <c r="AM100" s="32">
        <f>IF(ISNA(MATCH(AC100,L98:L105,0)),0,VLOOKUP(AC100,L98:W105,AM$1,FALSE))</f>
        <v>4</v>
      </c>
      <c r="AN100" s="146">
        <f>IF(ISNA(MATCH(AC100,R98:R105,0)),0,VLOOKUP(AC100,R98:W105,AN$1,FALSE))</f>
        <v>0</v>
      </c>
      <c r="AP100" s="927"/>
      <c r="AQ100" s="927"/>
    </row>
    <row r="101" spans="1:47" ht="15.6" x14ac:dyDescent="0.3">
      <c r="A101" s="417">
        <f t="shared" si="77"/>
        <v>84</v>
      </c>
      <c r="B101" s="362" t="str">
        <f>'Event Details'!D$25</f>
        <v>R</v>
      </c>
      <c r="C101" s="381" t="str">
        <f>'Event Details'!E$25</f>
        <v>Rugby &amp; N'hampton</v>
      </c>
      <c r="D101" s="379"/>
      <c r="E101" s="378"/>
      <c r="F101" s="363" t="str">
        <f>VLOOKUP($B97,IF($H97="F",TeamSheetFemale,TeamSheetMale),$Y101-1,FALSE)</f>
        <v>R</v>
      </c>
      <c r="G101" s="380" t="str">
        <f>VLOOKUP($B97,IF($H97="F",TeamSheetFemale,TeamSheetMale),$Y101,FALSE)</f>
        <v>Taya Young</v>
      </c>
      <c r="H101" s="363" t="str">
        <f>VLOOKUP($B97,IF($H97="F",TeamSheetFemale,TeamSheetMale),$Y101+1,FALSE)</f>
        <v>RR</v>
      </c>
      <c r="I101" s="364" t="str">
        <f>VLOOKUP($B97,IF($H97="F",TeamSheetFemale,TeamSheetMale),$Y101+2,FALSE)</f>
        <v>Betsy Houltby</v>
      </c>
      <c r="K101" s="341" t="s">
        <v>274</v>
      </c>
      <c r="L101" s="16" t="str">
        <f t="shared" si="70"/>
        <v>U</v>
      </c>
      <c r="M101" s="927" t="s">
        <v>130</v>
      </c>
      <c r="N101" s="927">
        <v>15.3</v>
      </c>
      <c r="O101" s="353" t="str">
        <f>IF(LEN($M101)=1,VLOOKUP(LEFT($M101,1),B98:I105,5,FALSE),IF(LEN($M101)=2,VLOOKUP(LEFT($M101,1),B98:I105,7,FALSE),""))</f>
        <v>U</v>
      </c>
      <c r="P101" s="373" t="str">
        <f>IF(LEN($M101)=1,VLOOKUP(LEFT($M101,1),B98:I105,6,FALSE),IF(LEN($M101)=2,VLOOKUP(LEFT($M101,1),B98:I105,8,FALSE),""))</f>
        <v>Matilda Kiernan</v>
      </c>
      <c r="Q101" s="341" t="s">
        <v>274</v>
      </c>
      <c r="R101" s="146" t="str">
        <f t="shared" si="71"/>
        <v>F</v>
      </c>
      <c r="S101" s="927" t="s">
        <v>576</v>
      </c>
      <c r="T101" s="927">
        <v>16.5</v>
      </c>
      <c r="U101" s="353" t="str">
        <f>IF(LEN($S101)=1,VLOOKUP(LEFT($S101,1),B98:I105,5,FALSE),IF(LEN($S101)=2,VLOOKUP(LEFT($S101,1),B98:I105,7,FALSE),""))</f>
        <v>FF</v>
      </c>
      <c r="V101" s="373" t="str">
        <f>IF(LEN($S101)=1,VLOOKUP(LEFT($S101,1),B98:I105,6,FALSE),IF(LEN($S101)=2,VLOOKUP(LEFT($S101,1),B98:I105,8,FALSE),""))</f>
        <v>Jessica Husselbee</v>
      </c>
      <c r="W101" s="417">
        <f t="shared" si="78"/>
        <v>5</v>
      </c>
      <c r="Y101" s="417">
        <v>22</v>
      </c>
      <c r="Z101" s="16" t="str">
        <f t="shared" si="72"/>
        <v>K&amp;S</v>
      </c>
      <c r="AA101" s="146" t="str">
        <f t="shared" si="73"/>
        <v>Tam</v>
      </c>
      <c r="AB101" s="32"/>
      <c r="AC101" s="16" t="str">
        <f t="shared" si="74"/>
        <v>R</v>
      </c>
      <c r="AD101" s="419" t="str">
        <f t="shared" si="74"/>
        <v>Rugby &amp; N'hampton</v>
      </c>
      <c r="AE101" s="419">
        <f>IF(ISNA(MATCH(AC101,N98:N107,0)),0,VLOOKUP(AC101,N98:S107,5,FALSE))</f>
        <v>0</v>
      </c>
      <c r="AF101" s="419" t="str">
        <f>IF(ISNA(MATCH(AC101,T98:T107,0))," ",VLOOKUP(AC101,T98:Y107,5,FALSE))</f>
        <v xml:space="preserve"> </v>
      </c>
      <c r="AG101" s="419">
        <f>IF(ISNA(MATCH(AC101,L98:L105,0)),0,VLOOKUP(AC101,L98:N105,3,FALSE))</f>
        <v>12.4</v>
      </c>
      <c r="AH101" s="419">
        <f>IF(ISNA(MATCH(AC101,R98:R105,0)),0,VLOOKUP(AC101,R98:T105,3,FALSE))</f>
        <v>17.7</v>
      </c>
      <c r="AI101" s="419" t="str">
        <f>IF(ISNA(MATCH(AC101,L98:L105,0)),0,VLOOKUP(AC101,L98:P105,4,FALSE))</f>
        <v>R</v>
      </c>
      <c r="AJ101" s="419" t="str">
        <f>IF(ISNA(MATCH(AC101,R98:R105,0)),0,VLOOKUP(AC101,R98:U105,4,FALSE))</f>
        <v>RR</v>
      </c>
      <c r="AK101" s="32">
        <f t="shared" si="75"/>
        <v>1</v>
      </c>
      <c r="AL101" s="32">
        <f t="shared" si="76"/>
        <v>5</v>
      </c>
      <c r="AM101" s="32">
        <f>IF(ISNA(MATCH(AC101,L98:L105,0)),0,VLOOKUP(AC101,L98:W105,AM$1,FALSE))</f>
        <v>8</v>
      </c>
      <c r="AN101" s="146">
        <f>IF(ISNA(MATCH(AC101,R98:R105,0)),0,VLOOKUP(AC101,R98:W105,AN$1,FALSE))</f>
        <v>4</v>
      </c>
      <c r="AP101" s="927"/>
      <c r="AQ101" s="927"/>
    </row>
    <row r="102" spans="1:47" ht="15.6" x14ac:dyDescent="0.3">
      <c r="A102" s="417">
        <f t="shared" si="77"/>
        <v>85</v>
      </c>
      <c r="B102" s="362" t="str">
        <f>'Event Details'!D$26</f>
        <v>M</v>
      </c>
      <c r="C102" s="381" t="str">
        <f>'Event Details'!E$26</f>
        <v>Solihull &amp; S.Heath</v>
      </c>
      <c r="D102" s="379"/>
      <c r="E102" s="378"/>
      <c r="F102" s="363" t="str">
        <f>VLOOKUP($B97,IF($H97="F",TeamSheetFemale,TeamSheetMale),$Y102-1,FALSE)</f>
        <v>M</v>
      </c>
      <c r="G102" s="380" t="str">
        <f>VLOOKUP($B97,IF($H97="F",TeamSheetFemale,TeamSheetMale),$Y102,FALSE)</f>
        <v>Betsy Gilmore</v>
      </c>
      <c r="H102" s="363">
        <f>VLOOKUP($B97,IF($H97="F",TeamSheetFemale,TeamSheetMale),$Y102+1,FALSE)</f>
        <v>0</v>
      </c>
      <c r="I102" s="364">
        <f>VLOOKUP($B97,IF($H97="F",TeamSheetFemale,TeamSheetMale),$Y102+2,FALSE)</f>
        <v>0</v>
      </c>
      <c r="K102" s="341" t="s">
        <v>275</v>
      </c>
      <c r="L102" s="16" t="str">
        <f t="shared" si="70"/>
        <v>G</v>
      </c>
      <c r="M102" s="927" t="s">
        <v>110</v>
      </c>
      <c r="N102" s="927">
        <v>15.4</v>
      </c>
      <c r="O102" s="353" t="str">
        <f>IF(LEN($M102)=1,VLOOKUP(LEFT($M102,1),B98:I105,5,FALSE),IF(LEN($M102)=2,VLOOKUP(LEFT($M102,1),B98:I105,7,FALSE),""))</f>
        <v>G</v>
      </c>
      <c r="P102" s="373" t="str">
        <f>IF(LEN($M102)=1,VLOOKUP(LEFT($M102,1),B98:I105,6,FALSE),IF(LEN($M102)=2,VLOOKUP(LEFT($M102,1),B98:I105,8,FALSE),""))</f>
        <v>Mabel Edgerton</v>
      </c>
      <c r="Q102" s="341" t="s">
        <v>275</v>
      </c>
      <c r="R102" s="146" t="str">
        <f t="shared" si="71"/>
        <v>R</v>
      </c>
      <c r="S102" s="927" t="s">
        <v>819</v>
      </c>
      <c r="T102" s="927">
        <v>17.7</v>
      </c>
      <c r="U102" s="353" t="str">
        <f>IF(LEN($S102)=1,VLOOKUP(LEFT($S102,1),B98:I105,5,FALSE),IF(LEN($S102)=2,VLOOKUP(LEFT($S102,1),B98:I105,7,FALSE),""))</f>
        <v>RR</v>
      </c>
      <c r="V102" s="373" t="str">
        <f>IF(LEN($S102)=1,VLOOKUP(LEFT($S102,1),B98:I105,6,FALSE),IF(LEN($S102)=2,VLOOKUP(LEFT($S102,1),B98:I105,8,FALSE),""))</f>
        <v>Betsy Houltby</v>
      </c>
      <c r="W102" s="417">
        <f t="shared" si="78"/>
        <v>4</v>
      </c>
      <c r="Y102" s="417">
        <v>27</v>
      </c>
      <c r="Z102" s="16" t="str">
        <f t="shared" si="72"/>
        <v>Royal</v>
      </c>
      <c r="AA102" s="146" t="str">
        <f t="shared" si="73"/>
        <v>Rugby</v>
      </c>
      <c r="AB102" s="32"/>
      <c r="AC102" s="16" t="str">
        <f t="shared" si="74"/>
        <v>M</v>
      </c>
      <c r="AD102" s="419" t="str">
        <f t="shared" si="74"/>
        <v>Solihull &amp; S.Heath</v>
      </c>
      <c r="AE102" s="419">
        <f>IF(ISNA(MATCH(AC102,N98:N107,0)),0,VLOOKUP(AC102,N98:S107,5,FALSE))</f>
        <v>0</v>
      </c>
      <c r="AF102" s="419" t="str">
        <f>IF(ISNA(MATCH(AC102,T98:T107,0))," ",VLOOKUP(AC102,T98:Y107,5,FALSE))</f>
        <v xml:space="preserve"> </v>
      </c>
      <c r="AG102" s="419">
        <f>IF(ISNA(MATCH(AC102,L98:L105,0)),0,VLOOKUP(AC102,L98:N105,3,FALSE))</f>
        <v>0</v>
      </c>
      <c r="AH102" s="419">
        <f>IF(ISNA(MATCH(AC102,R98:R105,0)),0,VLOOKUP(AC102,R98:T105,3,FALSE))</f>
        <v>0</v>
      </c>
      <c r="AI102" s="419">
        <f>IF(ISNA(MATCH(AC102,L98:L105,0)),0,VLOOKUP(AC102,L98:P105,4,FALSE))</f>
        <v>0</v>
      </c>
      <c r="AJ102" s="419">
        <f>IF(ISNA(MATCH(AC102,R98:R105,0)),0,VLOOKUP(AC102,R98:U105,4,FALSE))</f>
        <v>0</v>
      </c>
      <c r="AK102" s="32">
        <f t="shared" si="75"/>
        <v>0</v>
      </c>
      <c r="AL102" s="32">
        <f t="shared" si="76"/>
        <v>0</v>
      </c>
      <c r="AM102" s="32">
        <f>IF(ISNA(MATCH(AC102,L98:L105,0)),0,VLOOKUP(AC102,L98:W105,AM$1,FALSE))</f>
        <v>0</v>
      </c>
      <c r="AN102" s="146">
        <f>IF(ISNA(MATCH(AC102,R98:R105,0)),0,VLOOKUP(AC102,R98:W105,AN$1,FALSE))</f>
        <v>0</v>
      </c>
      <c r="AP102" s="927"/>
      <c r="AQ102" s="927"/>
    </row>
    <row r="103" spans="1:47" ht="15.6" x14ac:dyDescent="0.3">
      <c r="A103" s="417">
        <f t="shared" si="77"/>
        <v>86</v>
      </c>
      <c r="B103" s="362" t="str">
        <f>'Event Details'!D$27</f>
        <v>D</v>
      </c>
      <c r="C103" s="381" t="str">
        <f>'Event Details'!E$27</f>
        <v>Stratford</v>
      </c>
      <c r="D103" s="379"/>
      <c r="E103" s="378"/>
      <c r="F103" s="363" t="str">
        <f>VLOOKUP($B97,IF($H97="F",TeamSheetFemale,TeamSheetMale),$Y103-1,FALSE)</f>
        <v>D</v>
      </c>
      <c r="G103" s="380" t="str">
        <f>VLOOKUP($B97,IF($H97="F",TeamSheetFemale,TeamSheetMale),$Y103,FALSE)</f>
        <v>Sara Clewer</v>
      </c>
      <c r="H103" s="363" t="str">
        <f>VLOOKUP($B97,IF($H97="F",TeamSheetFemale,TeamSheetMale),$Y103+1,FALSE)</f>
        <v>DD</v>
      </c>
      <c r="I103" s="364" t="str">
        <f>VLOOKUP($B97,IF($H97="F",TeamSheetFemale,TeamSheetMale),$Y103+2,FALSE)</f>
        <v>Lara Ryan-Gill</v>
      </c>
      <c r="K103" s="341" t="s">
        <v>276</v>
      </c>
      <c r="L103" s="16" t="str">
        <f t="shared" si="70"/>
        <v>D</v>
      </c>
      <c r="M103" s="927" t="s">
        <v>136</v>
      </c>
      <c r="N103" s="927">
        <v>15.5</v>
      </c>
      <c r="O103" s="353" t="str">
        <f>IF(LEN($M103)=1,VLOOKUP(LEFT($M103,1),B98:I105,5,FALSE),IF(LEN($M103)=2,VLOOKUP(LEFT($M103,1),B98:I105,7,FALSE),""))</f>
        <v>D</v>
      </c>
      <c r="P103" s="373" t="str">
        <f>IF(LEN($M103)=1,VLOOKUP(LEFT($M103,1),B98:I105,6,FALSE),IF(LEN($M103)=2,VLOOKUP(LEFT($M103,1),B98:I105,8,FALSE),""))</f>
        <v>Sara Clewer</v>
      </c>
      <c r="Q103" s="341" t="s">
        <v>276</v>
      </c>
      <c r="R103" s="146" t="str">
        <f t="shared" si="71"/>
        <v>U</v>
      </c>
      <c r="S103" s="927" t="s">
        <v>726</v>
      </c>
      <c r="T103" s="927">
        <v>18.600000000000001</v>
      </c>
      <c r="U103" s="353" t="str">
        <f>IF(LEN($S103)=1,VLOOKUP(LEFT($S103,1),B98:I105,5,FALSE),IF(LEN($S103)=2,VLOOKUP(LEFT($S103,1),B98:I105,7,FALSE),""))</f>
        <v>UU</v>
      </c>
      <c r="V103" s="373" t="str">
        <f>IF(LEN($S103)=1,VLOOKUP(LEFT($S103,1),B98:I105,6,FALSE),IF(LEN($S103)=2,VLOOKUP(LEFT($S103,1),B98:I105,8,FALSE),""))</f>
        <v>Isabelle McCann</v>
      </c>
      <c r="W103" s="417">
        <f t="shared" si="78"/>
        <v>3</v>
      </c>
      <c r="Y103" s="417">
        <v>32</v>
      </c>
      <c r="Z103" s="16" t="str">
        <f t="shared" si="72"/>
        <v>Strat</v>
      </c>
      <c r="AA103" s="146" t="str">
        <f t="shared" si="73"/>
        <v>K&amp;S</v>
      </c>
      <c r="AB103" s="32"/>
      <c r="AC103" s="16" t="str">
        <f t="shared" si="74"/>
        <v>D</v>
      </c>
      <c r="AD103" s="419" t="str">
        <f t="shared" si="74"/>
        <v>Stratford</v>
      </c>
      <c r="AE103" s="419">
        <f>IF(ISNA(MATCH(AC103,N98:N107,0)),0,VLOOKUP(AC103,N98:S107,5,FALSE))</f>
        <v>0</v>
      </c>
      <c r="AF103" s="419" t="str">
        <f>IF(ISNA(MATCH(AC103,T98:T107,0))," ",VLOOKUP(AC103,T98:Y107,5,FALSE))</f>
        <v xml:space="preserve"> </v>
      </c>
      <c r="AG103" s="419">
        <f>IF(ISNA(MATCH(AC103,L98:L105,0)),0,VLOOKUP(AC103,L98:N105,3,FALSE))</f>
        <v>15.5</v>
      </c>
      <c r="AH103" s="419">
        <f>IF(ISNA(MATCH(AC103,R98:R105,0)),0,VLOOKUP(AC103,R98:T105,3,FALSE))</f>
        <v>14.4</v>
      </c>
      <c r="AI103" s="419" t="str">
        <f>IF(ISNA(MATCH(AC103,L98:L105,0)),0,VLOOKUP(AC103,L98:P105,4,FALSE))</f>
        <v>D</v>
      </c>
      <c r="AJ103" s="419" t="str">
        <f>IF(ISNA(MATCH(AC103,R98:R105,0)),0,VLOOKUP(AC103,R98:U105,4,FALSE))</f>
        <v>DD</v>
      </c>
      <c r="AK103" s="32">
        <f t="shared" si="75"/>
        <v>6</v>
      </c>
      <c r="AL103" s="32">
        <f t="shared" si="76"/>
        <v>2</v>
      </c>
      <c r="AM103" s="32">
        <f>IF(ISNA(MATCH(AC103,L98:L105,0)),0,VLOOKUP(AC103,L98:W105,AM$1,FALSE))</f>
        <v>3</v>
      </c>
      <c r="AN103" s="146">
        <f>IF(ISNA(MATCH(AC103,R98:R105,0)),0,VLOOKUP(AC103,R98:W105,AN$1,FALSE))</f>
        <v>7</v>
      </c>
      <c r="AP103" s="927"/>
      <c r="AQ103" s="927"/>
    </row>
    <row r="104" spans="1:47" ht="15.6" x14ac:dyDescent="0.3">
      <c r="A104" s="417">
        <f t="shared" si="77"/>
        <v>87</v>
      </c>
      <c r="B104" s="362" t="str">
        <f>'Event Details'!D$28</f>
        <v>F</v>
      </c>
      <c r="C104" s="381" t="str">
        <f>'Event Details'!E$28</f>
        <v>Tamworth</v>
      </c>
      <c r="D104" s="379"/>
      <c r="E104" s="378"/>
      <c r="F104" s="363" t="str">
        <f>VLOOKUP($B97,IF($H97="F",TeamSheetFemale,TeamSheetMale),$Y104-1,FALSE)</f>
        <v>F</v>
      </c>
      <c r="G104" s="380" t="str">
        <f>VLOOKUP($B97,IF($H97="F",TeamSheetFemale,TeamSheetMale),$Y104,FALSE)</f>
        <v>Alice Smith</v>
      </c>
      <c r="H104" s="363" t="str">
        <f>VLOOKUP($B97,IF($H97="F",TeamSheetFemale,TeamSheetMale),$Y104+1,FALSE)</f>
        <v>FF</v>
      </c>
      <c r="I104" s="364" t="str">
        <f>VLOOKUP($B97,IF($H97="F",TeamSheetFemale,TeamSheetMale),$Y104+2,FALSE)</f>
        <v>Jessica Husselbee</v>
      </c>
      <c r="K104" s="341" t="s">
        <v>277</v>
      </c>
      <c r="L104" s="16" t="str">
        <f t="shared" si="70"/>
        <v>F</v>
      </c>
      <c r="M104" s="931" t="s">
        <v>142</v>
      </c>
      <c r="N104" s="927">
        <v>15.6</v>
      </c>
      <c r="O104" s="353" t="str">
        <f>IF(LEN($M104)=1,VLOOKUP(LEFT($M104,1),B98:I105,5,FALSE),IF(LEN($M104)=2,VLOOKUP(LEFT($M104,1),B98:I105,7,FALSE),""))</f>
        <v>F</v>
      </c>
      <c r="P104" s="373" t="str">
        <f>IF(LEN($M104)=1,VLOOKUP(LEFT($M104,1),B98:I105,6,FALSE),IF(LEN($M104)=2,VLOOKUP(LEFT($M104,1),B98:I105,8,FALSE),""))</f>
        <v>Alice Smith</v>
      </c>
      <c r="Q104" s="341" t="s">
        <v>277</v>
      </c>
      <c r="R104" s="146" t="str">
        <f t="shared" si="71"/>
        <v/>
      </c>
      <c r="S104" s="931"/>
      <c r="T104" s="927"/>
      <c r="U104" s="353" t="str">
        <f>IF(LEN($S104)=1,VLOOKUP(LEFT($S104,1),B98:I105,5,FALSE),IF(LEN($S104)=2,VLOOKUP(LEFT($S104,1),B98:I105,7,FALSE),""))</f>
        <v/>
      </c>
      <c r="V104" s="373" t="str">
        <f>IF(LEN($S104)=1,VLOOKUP(LEFT($S104,1),B98:I105,6,FALSE),IF(LEN($S104)=2,VLOOKUP(LEFT($S104,1),B98:I105,8,FALSE),""))</f>
        <v/>
      </c>
      <c r="W104" s="417">
        <f t="shared" si="78"/>
        <v>2</v>
      </c>
      <c r="Y104" s="417">
        <v>37</v>
      </c>
      <c r="Z104" s="16" t="str">
        <f t="shared" si="72"/>
        <v>Tam</v>
      </c>
      <c r="AA104" s="146">
        <f t="shared" si="73"/>
        <v>0</v>
      </c>
      <c r="AB104" s="32"/>
      <c r="AC104" s="16" t="str">
        <f t="shared" si="74"/>
        <v>F</v>
      </c>
      <c r="AD104" s="419" t="str">
        <f t="shared" si="74"/>
        <v>Tamworth</v>
      </c>
      <c r="AE104" s="419">
        <f>IF(ISNA(MATCH(AC104,N96:N105,0)),0,VLOOKUP(AC104,N96:S105,5,FALSE))</f>
        <v>0</v>
      </c>
      <c r="AF104" s="419" t="str">
        <f>IF(ISNA(MATCH(AC104,T96:T105,0))," ",VLOOKUP(AC104,T96:Y105,5,FALSE))</f>
        <v xml:space="preserve"> </v>
      </c>
      <c r="AG104" s="419">
        <f>IF(ISNA(MATCH(AC104,L98:L105,0)),0,VLOOKUP(AC104,L98:N105,3,FALSE))</f>
        <v>15.6</v>
      </c>
      <c r="AH104" s="419">
        <f>IF(ISNA(MATCH(AC104,R98:R105,0)),0,VLOOKUP(AC104,R98:T105,3,FALSE))</f>
        <v>16.5</v>
      </c>
      <c r="AI104" s="419" t="str">
        <f>IF(ISNA(MATCH(AC104,L98:L105,0)),0,VLOOKUP(AC104,L98:P105,4,FALSE))</f>
        <v>F</v>
      </c>
      <c r="AJ104" s="419" t="str">
        <f>IF(ISNA(MATCH(AC104,R98:R105,0)),0,VLOOKUP(AC104,R98:U105,4,FALSE))</f>
        <v>FF</v>
      </c>
      <c r="AK104" s="32">
        <f t="shared" si="75"/>
        <v>7</v>
      </c>
      <c r="AL104" s="32">
        <f t="shared" si="76"/>
        <v>4</v>
      </c>
      <c r="AM104" s="32">
        <f>IF(ISNA(MATCH(AC104,L98:L105,0)),0,VLOOKUP(AC104,L98:W105,AM$1,FALSE))</f>
        <v>2</v>
      </c>
      <c r="AN104" s="146">
        <f>IF(ISNA(MATCH(AC104,R98:R105,0)),0,VLOOKUP(AC104,R98:W105,AN$1,FALSE))</f>
        <v>5</v>
      </c>
      <c r="AP104" s="931"/>
      <c r="AQ104" s="927"/>
    </row>
    <row r="105" spans="1:47" ht="16.2" thickBot="1" x14ac:dyDescent="0.35">
      <c r="A105" s="418">
        <f t="shared" si="77"/>
        <v>88</v>
      </c>
      <c r="B105" s="365" t="str">
        <f>'Event Details'!D$29</f>
        <v>Y</v>
      </c>
      <c r="C105" s="366" t="str">
        <f>'Event Details'!E$29</f>
        <v>Worcester</v>
      </c>
      <c r="D105" s="361"/>
      <c r="E105" s="370"/>
      <c r="F105" s="367" t="str">
        <f>VLOOKUP($B97,IF($H97="F",TeamSheetFemale,TeamSheetMale),$Y105-1,FALSE)</f>
        <v>Y</v>
      </c>
      <c r="G105" s="368" t="str">
        <f>VLOOKUP($B97,IF($H97="F",TeamSheetFemale,TeamSheetMale),$Y105,FALSE)</f>
        <v>Isla Porter</v>
      </c>
      <c r="H105" s="367" t="str">
        <f>VLOOKUP($B97,IF($H97="F",TeamSheetFemale,TeamSheetMale),$Y105+1,FALSE)</f>
        <v>YY</v>
      </c>
      <c r="I105" s="369" t="str">
        <f>VLOOKUP($B97,IF($H97="F",TeamSheetFemale,TeamSheetMale),$Y105+2,FALSE)</f>
        <v>Esme Dyer</v>
      </c>
      <c r="K105" s="346" t="s">
        <v>278</v>
      </c>
      <c r="L105" s="25" t="str">
        <f t="shared" si="70"/>
        <v/>
      </c>
      <c r="M105" s="928"/>
      <c r="N105" s="932"/>
      <c r="O105" s="375" t="str">
        <f>IF(LEN($M105)=1,VLOOKUP(LEFT($M105,1),B98:I105,5,FALSE),IF(LEN($M105)=2,VLOOKUP(LEFT($M105,1),B98:I105,7,FALSE),""))</f>
        <v/>
      </c>
      <c r="P105" s="376" t="str">
        <f>IF(LEN($M105)=1,VLOOKUP(LEFT($M105,1),B98:I105,6,FALSE),IF(LEN($M105)=2,VLOOKUP(LEFT($M105,1),B98:I105,8,FALSE),""))</f>
        <v/>
      </c>
      <c r="Q105" s="346" t="s">
        <v>278</v>
      </c>
      <c r="R105" s="523" t="str">
        <f t="shared" si="71"/>
        <v/>
      </c>
      <c r="S105" s="928"/>
      <c r="T105" s="932"/>
      <c r="U105" s="375" t="str">
        <f>IF(LEN($S105)=1,VLOOKUP(LEFT($S105,1),B98:I105,5,FALSE),IF(LEN($S105)=2,VLOOKUP(LEFT($S105,1),B98:I105,7,FALSE),""))</f>
        <v/>
      </c>
      <c r="V105" s="376" t="str">
        <f>IF(LEN($S105)=1,VLOOKUP(LEFT($S105,1),B98:I105,6,FALSE),IF(LEN($S105)=2,VLOOKUP(LEFT($S105,1),B98:I105,8,FALSE),""))</f>
        <v/>
      </c>
      <c r="W105" s="418">
        <f t="shared" si="78"/>
        <v>1</v>
      </c>
      <c r="Y105" s="418">
        <v>42</v>
      </c>
      <c r="Z105" s="25">
        <f t="shared" si="72"/>
        <v>0</v>
      </c>
      <c r="AA105" s="523">
        <f t="shared" si="73"/>
        <v>0</v>
      </c>
      <c r="AB105" s="32"/>
      <c r="AC105" s="25" t="str">
        <f t="shared" si="74"/>
        <v>Y</v>
      </c>
      <c r="AD105" s="624" t="str">
        <f t="shared" si="74"/>
        <v>Worcester</v>
      </c>
      <c r="AE105" s="624">
        <f>IF(ISNA(MATCH(AC105,N97:N106,0)),0,VLOOKUP(AC105,N97:S106,5,FALSE))</f>
        <v>0</v>
      </c>
      <c r="AF105" s="624" t="str">
        <f t="shared" ref="AF105" si="79">IF(ISNA(MATCH(AC105,T97:T106,0))," ",VLOOKUP(AC105,T97:Y106,5,FALSE))</f>
        <v xml:space="preserve"> </v>
      </c>
      <c r="AG105" s="624">
        <f>IF(ISNA(MATCH(AC105,L98:L105,0)),0,VLOOKUP(AC105,L98:N105,3,FALSE))</f>
        <v>14.6</v>
      </c>
      <c r="AH105" s="624">
        <f>IF(ISNA(MATCH(AC105,R98:R105,0)),0,VLOOKUP(AC105,R98:T105,3,FALSE))</f>
        <v>15.7</v>
      </c>
      <c r="AI105" s="624" t="str">
        <f>IF(ISNA(MATCH(AC105,L98:L105,0)),0,VLOOKUP(AC105,L98:P105,4,FALSE))</f>
        <v>Y</v>
      </c>
      <c r="AJ105" s="624" t="str">
        <f>IF(ISNA(MATCH(AC105,R98:R105,0)),0,VLOOKUP(AC105,R98:U105,4,FALSE))</f>
        <v>YY</v>
      </c>
      <c r="AK105" s="116">
        <f t="shared" si="75"/>
        <v>3</v>
      </c>
      <c r="AL105" s="116">
        <f t="shared" si="76"/>
        <v>3</v>
      </c>
      <c r="AM105" s="116">
        <f>IF(ISNA(MATCH(AC105,L98:L105,0)),0,VLOOKUP(AC105,L98:W105,AM$1,FALSE))</f>
        <v>6</v>
      </c>
      <c r="AN105" s="523">
        <f>IF(ISNA(MATCH(AC105,R98:R105,0)),0,VLOOKUP(AC105,R98:W105,AN$1,FALSE))</f>
        <v>6</v>
      </c>
      <c r="AP105" s="928"/>
      <c r="AQ105" s="932"/>
    </row>
    <row r="106" spans="1:47" ht="15" thickBot="1" x14ac:dyDescent="0.35">
      <c r="K106" s="1207" t="s">
        <v>280</v>
      </c>
      <c r="M106" s="276"/>
      <c r="N106" s="307"/>
      <c r="S106" s="276"/>
      <c r="T106" s="307"/>
      <c r="AP106" s="276"/>
      <c r="AQ106" s="307"/>
    </row>
    <row r="107" spans="1:47" x14ac:dyDescent="0.3">
      <c r="B107" s="400" t="s">
        <v>258</v>
      </c>
      <c r="C107" s="398"/>
      <c r="D107" s="401" t="s">
        <v>165</v>
      </c>
      <c r="E107" s="398"/>
      <c r="F107" s="398"/>
      <c r="G107" s="402" t="s">
        <v>259</v>
      </c>
      <c r="H107" s="403" t="s">
        <v>249</v>
      </c>
      <c r="I107" s="404" t="s">
        <v>168</v>
      </c>
      <c r="K107" s="360"/>
      <c r="L107" s="661"/>
      <c r="M107" s="387" t="s">
        <v>260</v>
      </c>
      <c r="N107" s="387" t="s">
        <v>261</v>
      </c>
      <c r="O107" s="387" t="s">
        <v>262</v>
      </c>
      <c r="P107" s="388" t="s">
        <v>75</v>
      </c>
      <c r="Q107" s="412"/>
      <c r="R107" s="657"/>
      <c r="S107" s="387" t="s">
        <v>260</v>
      </c>
      <c r="T107" s="387" t="s">
        <v>261</v>
      </c>
      <c r="U107" s="387" t="s">
        <v>262</v>
      </c>
      <c r="V107" s="388" t="s">
        <v>75</v>
      </c>
      <c r="W107" s="672" t="s">
        <v>76</v>
      </c>
      <c r="Y107" s="654" t="s">
        <v>263</v>
      </c>
      <c r="Z107" s="656" t="s">
        <v>74</v>
      </c>
      <c r="AA107" s="657" t="s">
        <v>75</v>
      </c>
      <c r="AC107" s="665" t="s">
        <v>71</v>
      </c>
      <c r="AD107" s="657" t="s">
        <v>86</v>
      </c>
      <c r="AE107" s="661" t="s">
        <v>149</v>
      </c>
      <c r="AF107" s="661" t="s">
        <v>94</v>
      </c>
      <c r="AG107" s="661" t="s">
        <v>149</v>
      </c>
      <c r="AH107" s="661" t="s">
        <v>94</v>
      </c>
      <c r="AI107" s="661" t="s">
        <v>149</v>
      </c>
      <c r="AJ107" s="661" t="s">
        <v>94</v>
      </c>
      <c r="AK107" s="1332" t="s">
        <v>149</v>
      </c>
      <c r="AL107" s="661" t="s">
        <v>94</v>
      </c>
      <c r="AM107" s="1406" t="s">
        <v>76</v>
      </c>
      <c r="AN107" s="1407"/>
      <c r="AP107" s="387" t="s">
        <v>260</v>
      </c>
      <c r="AQ107" s="387" t="s">
        <v>261</v>
      </c>
      <c r="AS107" s="1218" t="s">
        <v>165</v>
      </c>
      <c r="AT107" s="1219" t="s">
        <v>79</v>
      </c>
      <c r="AU107" s="1220" t="s">
        <v>80</v>
      </c>
    </row>
    <row r="108" spans="1:47" ht="15" thickBot="1" x14ac:dyDescent="0.35">
      <c r="B108" s="405">
        <v>9</v>
      </c>
      <c r="C108" s="399"/>
      <c r="D108" s="385" t="str">
        <f>VLOOKUP($B108,EventOrder,6,FALSE)</f>
        <v xml:space="preserve">800m </v>
      </c>
      <c r="E108" s="399"/>
      <c r="F108" s="385"/>
      <c r="G108" s="386" t="str">
        <f>VLOOKUP($B108,EventOrder,4,FALSE)</f>
        <v>U14 Male</v>
      </c>
      <c r="H108" s="396" t="str">
        <f>IF(MID(G108,5,1)="F","F","M")</f>
        <v>M</v>
      </c>
      <c r="I108" s="397">
        <f>VLOOKUP($B108,EventOrder,2,FALSE)</f>
        <v>11.4</v>
      </c>
      <c r="K108" s="372"/>
      <c r="L108" s="667" t="s">
        <v>149</v>
      </c>
      <c r="M108" s="409" t="s">
        <v>264</v>
      </c>
      <c r="N108" s="409" t="s">
        <v>265</v>
      </c>
      <c r="O108" s="409" t="s">
        <v>266</v>
      </c>
      <c r="P108" s="408"/>
      <c r="Q108" s="413"/>
      <c r="R108" s="659" t="s">
        <v>94</v>
      </c>
      <c r="S108" s="409" t="s">
        <v>264</v>
      </c>
      <c r="T108" s="409" t="s">
        <v>265</v>
      </c>
      <c r="U108" s="409" t="s">
        <v>266</v>
      </c>
      <c r="V108" s="408"/>
      <c r="W108" s="671"/>
      <c r="Y108" s="655" t="s">
        <v>167</v>
      </c>
      <c r="Z108" s="658" t="s">
        <v>149</v>
      </c>
      <c r="AA108" s="659" t="s">
        <v>94</v>
      </c>
      <c r="AC108" s="666"/>
      <c r="AD108" s="668"/>
      <c r="AE108" s="768" t="s">
        <v>75</v>
      </c>
      <c r="AF108" s="768" t="s">
        <v>75</v>
      </c>
      <c r="AG108" s="768" t="s">
        <v>267</v>
      </c>
      <c r="AH108" s="768" t="s">
        <v>267</v>
      </c>
      <c r="AI108" s="768" t="s">
        <v>268</v>
      </c>
      <c r="AJ108" s="768" t="s">
        <v>268</v>
      </c>
      <c r="AK108" s="770" t="s">
        <v>269</v>
      </c>
      <c r="AL108" s="768" t="s">
        <v>269</v>
      </c>
      <c r="AM108" s="667" t="s">
        <v>149</v>
      </c>
      <c r="AN108" s="659" t="s">
        <v>94</v>
      </c>
      <c r="AP108" s="409" t="s">
        <v>264</v>
      </c>
      <c r="AQ108" s="409" t="s">
        <v>265</v>
      </c>
      <c r="AS108" s="1221" t="s">
        <v>270</v>
      </c>
      <c r="AT108" s="1222" t="s">
        <v>270</v>
      </c>
      <c r="AU108" s="1223" t="s">
        <v>270</v>
      </c>
    </row>
    <row r="109" spans="1:47" ht="15.6" x14ac:dyDescent="0.3">
      <c r="A109" s="416">
        <f>(B108*10)+1</f>
        <v>91</v>
      </c>
      <c r="B109" s="362" t="str">
        <f>'Event Details'!D$22</f>
        <v>S</v>
      </c>
      <c r="C109" s="381" t="str">
        <f>'Event Details'!E$22</f>
        <v>BRAT</v>
      </c>
      <c r="D109" s="379"/>
      <c r="E109" s="378"/>
      <c r="F109" s="363" t="str">
        <f>VLOOKUP($B108,IF($H108="F",TeamSheetFemale,TeamSheetMale),$Y109-1,FALSE)</f>
        <v>S</v>
      </c>
      <c r="G109" s="380" t="str">
        <f>VLOOKUP($B108,IF($H108="F",TeamSheetFemale,TeamSheetMale),$Y109,FALSE)</f>
        <v>Sebastien Emerey</v>
      </c>
      <c r="H109" s="363" t="str">
        <f>VLOOKUP($B108,IF($H108="F",TeamSheetFemale,TeamSheetMale),$Y109+1,FALSE)</f>
        <v>SS</v>
      </c>
      <c r="I109" s="364" t="str">
        <f>VLOOKUP($B108,IF($H108="F",TeamSheetFemale,TeamSheetMale),$Y109+2,FALSE)</f>
        <v>Jacob Fung</v>
      </c>
      <c r="K109" s="393" t="s">
        <v>271</v>
      </c>
      <c r="L109" s="16" t="str">
        <f t="shared" ref="L109:L116" si="80">LEFT(M109,1)</f>
        <v>M</v>
      </c>
      <c r="M109" s="926" t="s">
        <v>127</v>
      </c>
      <c r="N109" s="926" t="s">
        <v>985</v>
      </c>
      <c r="O109" s="394" t="str">
        <f>IF(LEN($M109)=1,VLOOKUP(LEFT($M109,1),B109:I116,5,FALSE),IF(LEN($M109)=2,VLOOKUP(LEFT($M109,1),B109:I116,7,FALSE),""))</f>
        <v>M</v>
      </c>
      <c r="P109" s="395" t="str">
        <f>IF(LEN($M109)=1,VLOOKUP(LEFT($M109,1),B109:I116,6,FALSE),IF(LEN($M109)=2,VLOOKUP(LEFT($M109,1),B109:I116,8,FALSE),""))</f>
        <v>Joshua Baylis</v>
      </c>
      <c r="Q109" s="406" t="s">
        <v>271</v>
      </c>
      <c r="R109" s="146" t="str">
        <f t="shared" ref="R109:R116" si="81">LEFT(S109,1)</f>
        <v>M</v>
      </c>
      <c r="S109" s="926" t="s">
        <v>821</v>
      </c>
      <c r="T109" s="926" t="s">
        <v>986</v>
      </c>
      <c r="U109" s="394" t="str">
        <f>IF(LEN($S109)=1,VLOOKUP(LEFT($S109,1),B109:I116,5,FALSE),IF(LEN($S109)=2,VLOOKUP(LEFT($S109,1),B109:I116,7,FALSE),""))</f>
        <v>MM</v>
      </c>
      <c r="V109" s="395" t="str">
        <f>IF(LEN($S109)=1,VLOOKUP(LEFT($S109,1),B109:I116,6,FALSE),IF(LEN($S109)=2,VLOOKUP(LEFT($S109,1),B109:I116,8,FALSE),""))</f>
        <v>Andre Albarel</v>
      </c>
      <c r="W109" s="417">
        <f>AN$6</f>
        <v>8</v>
      </c>
      <c r="Y109" s="653">
        <v>7</v>
      </c>
      <c r="Z109" s="653" t="str">
        <f t="shared" ref="Z109:Z116" si="82">IF(LEN(M109)&gt;0,VLOOKUP(LEFT(M109,1),ShortName,5,FALSE),0)</f>
        <v>Sol</v>
      </c>
      <c r="AA109" s="138" t="str">
        <f t="shared" ref="AA109:AA116" si="83">IF(LEN(S109)&gt;0,VLOOKUP(LEFT(S109,1),ShortName,5,FALSE),0)</f>
        <v>Sol</v>
      </c>
      <c r="AC109" s="16" t="str">
        <f t="shared" ref="AC109:AD116" si="84">B109</f>
        <v>S</v>
      </c>
      <c r="AD109" s="419" t="str">
        <f t="shared" si="84"/>
        <v>BRAT</v>
      </c>
      <c r="AE109" s="635">
        <f>IF(ISNA(MATCH(AC109,N109:N118,0)),0,VLOOKUP(AC109,N109:S118,5,FALSE))</f>
        <v>0</v>
      </c>
      <c r="AF109" s="635" t="str">
        <f>IF(ISNA(MATCH(AC109,T109:T118,0))," ",VLOOKUP(AC109,T109:Y118,5,FALSE))</f>
        <v xml:space="preserve"> </v>
      </c>
      <c r="AG109" s="635" t="str">
        <f>IF(ISNA(MATCH(AC109,L109:L116,0)),0,VLOOKUP(AC109,L109:N116,3,FALSE))</f>
        <v>2.36.8</v>
      </c>
      <c r="AH109" s="635" t="str">
        <f>IF(ISNA(MATCH(AC109,R109:R116,0)),0,VLOOKUP(AC109,R109:T116,3,FALSE))</f>
        <v>2.29.1</v>
      </c>
      <c r="AI109" s="635" t="str">
        <f>IF(ISNA(MATCH(AC109,L109:L116,0)),0,VLOOKUP(AC109,L109:P116,4,FALSE))</f>
        <v>S</v>
      </c>
      <c r="AJ109" s="635" t="str">
        <f>IF(ISNA(MATCH(AC109,R109:R116,0)),0,VLOOKUP(AC109,R109:U116,4,FALSE))</f>
        <v>SS</v>
      </c>
      <c r="AK109" s="49">
        <f t="shared" ref="AK109:AK116" si="85">IF(AM109=0,0,AN$6-(AM109-1))</f>
        <v>6</v>
      </c>
      <c r="AL109" s="49">
        <f t="shared" ref="AL109:AL116" si="86">IF(AN109=0,0,AN$6-(AN109-1))</f>
        <v>2</v>
      </c>
      <c r="AM109" s="49">
        <f>IF(ISNA(MATCH(AC109,L109:L116,0)),0,VLOOKUP(AC109,L109:W116,AM$1,FALSE))</f>
        <v>3</v>
      </c>
      <c r="AN109" s="138">
        <f>IF(ISNA(MATCH(AC109,R109:R116,0)),0,VLOOKUP(AC109,R109:W116,AN$1,FALSE))</f>
        <v>7</v>
      </c>
      <c r="AP109" s="926"/>
      <c r="AQ109" s="926"/>
      <c r="AS109" s="32">
        <f>IF(LEN(N109)&gt;0,1,0)</f>
        <v>1</v>
      </c>
      <c r="AT109" s="32">
        <f>IF(AND(AS109=1,H108="M"),1,0)</f>
        <v>1</v>
      </c>
      <c r="AU109" s="32">
        <f>IF(AND(AS109=1,H108="F"),1,0)</f>
        <v>0</v>
      </c>
    </row>
    <row r="110" spans="1:47" ht="15.6" x14ac:dyDescent="0.3">
      <c r="A110" s="417">
        <f>A109+1</f>
        <v>92</v>
      </c>
      <c r="B110" s="362" t="str">
        <f>'Event Details'!D$23</f>
        <v>U</v>
      </c>
      <c r="C110" s="381" t="str">
        <f>'Event Details'!E$23</f>
        <v>Kidder &amp; Stourport</v>
      </c>
      <c r="D110" s="379"/>
      <c r="E110" s="378"/>
      <c r="F110" s="363" t="str">
        <f>VLOOKUP($B108,IF($H108="F",TeamSheetFemale,TeamSheetMale),$Y110-1,FALSE)</f>
        <v>U</v>
      </c>
      <c r="G110" s="380" t="str">
        <f>VLOOKUP($B108,IF($H108="F",TeamSheetFemale,TeamSheetMale),$Y110,FALSE)</f>
        <v>Alexander Bird</v>
      </c>
      <c r="H110" s="363">
        <f>VLOOKUP($B108,IF($H108="F",TeamSheetFemale,TeamSheetMale),$Y110+1,FALSE)</f>
        <v>0</v>
      </c>
      <c r="I110" s="364">
        <f>VLOOKUP($B108,IF($H108="F",TeamSheetFemale,TeamSheetMale),$Y110+2,FALSE)</f>
        <v>0</v>
      </c>
      <c r="K110" s="341" t="s">
        <v>272</v>
      </c>
      <c r="L110" s="16" t="str">
        <f t="shared" si="80"/>
        <v>G</v>
      </c>
      <c r="M110" s="927" t="s">
        <v>110</v>
      </c>
      <c r="N110" s="927" t="s">
        <v>987</v>
      </c>
      <c r="O110" s="354" t="str">
        <f>IF(LEN($M110)=1,VLOOKUP(LEFT($M110,1),B109:I116,5,FALSE),IF(LEN($M110)=2,VLOOKUP(LEFT($M110,1),B109:I116,7,FALSE),""))</f>
        <v>G</v>
      </c>
      <c r="P110" s="410" t="str">
        <f>IF(LEN($M110)=1,VLOOKUP(LEFT($M110,1),B109:I116,6,FALSE),IF(LEN($M110)=2,VLOOKUP(LEFT($M110,1),B109:I116,8,FALSE),""))</f>
        <v>Sebastian Lees</v>
      </c>
      <c r="Q110" s="371" t="s">
        <v>272</v>
      </c>
      <c r="R110" s="146" t="str">
        <f t="shared" si="81"/>
        <v>S</v>
      </c>
      <c r="S110" s="927" t="s">
        <v>818</v>
      </c>
      <c r="T110" s="927" t="s">
        <v>994</v>
      </c>
      <c r="U110" s="354" t="str">
        <f>IF(LEN($S110)=1,VLOOKUP(LEFT($S110,1),B109:I116,5,FALSE),IF(LEN($S110)=2,VLOOKUP(LEFT($S110,1),B109:I116,7,FALSE),""))</f>
        <v>SS</v>
      </c>
      <c r="V110" s="410" t="str">
        <f>IF(LEN($S110)=1,VLOOKUP(LEFT($S110,1),B109:I116,6,FALSE),IF(LEN($S110)=2,VLOOKUP(LEFT($S110,1),B109:I116,8,FALSE),""))</f>
        <v>Jacob Fung</v>
      </c>
      <c r="W110" s="417">
        <f>W109-1</f>
        <v>7</v>
      </c>
      <c r="Y110" s="16">
        <v>12</v>
      </c>
      <c r="Z110" s="16" t="str">
        <f t="shared" si="82"/>
        <v>Royal</v>
      </c>
      <c r="AA110" s="146" t="str">
        <f t="shared" si="83"/>
        <v>BRAT</v>
      </c>
      <c r="AC110" s="16" t="str">
        <f t="shared" si="84"/>
        <v>U</v>
      </c>
      <c r="AD110" s="419" t="str">
        <f t="shared" si="84"/>
        <v>Kidder &amp; Stourport</v>
      </c>
      <c r="AE110" s="419">
        <f>IF(ISNA(MATCH(AC110,N109:N118,0)),0,VLOOKUP(AC110,N109:S118,5,FALSE))</f>
        <v>0</v>
      </c>
      <c r="AF110" s="419" t="str">
        <f>IF(ISNA(MATCH(AC110,T109:T118,0))," ",VLOOKUP(AC110,T109:Y118,5,FALSE))</f>
        <v xml:space="preserve"> </v>
      </c>
      <c r="AG110" s="419" t="str">
        <f>IF(ISNA(MATCH(AC110,L109:L116,0)),0,VLOOKUP(AC110,L109:N116,3,FALSE))</f>
        <v>2.37.3</v>
      </c>
      <c r="AH110" s="419">
        <f>IF(ISNA(MATCH(AC110,R109:R116,0)),0,VLOOKUP(AC110,R109:T116,3,FALSE))</f>
        <v>0</v>
      </c>
      <c r="AI110" s="419" t="str">
        <f>IF(ISNA(MATCH(AC110,L109:L116,0)),0,VLOOKUP(AC110,L109:P116,4,FALSE))</f>
        <v>U</v>
      </c>
      <c r="AJ110" s="419">
        <f>IF(ISNA(MATCH(AC110,R109:R116,0)),0,VLOOKUP(AC110,R109:U116,4,FALSE))</f>
        <v>0</v>
      </c>
      <c r="AK110" s="32">
        <f t="shared" si="85"/>
        <v>7</v>
      </c>
      <c r="AL110" s="32">
        <f t="shared" si="86"/>
        <v>0</v>
      </c>
      <c r="AM110" s="32">
        <f>IF(ISNA(MATCH(AC110,L109:L116,0)),0,VLOOKUP(AC110,L109:W116,AM$1,FALSE))</f>
        <v>2</v>
      </c>
      <c r="AN110" s="146">
        <f>IF(ISNA(MATCH(AC110,R109:R116,0)),0,VLOOKUP(AC110,R109:W116,AN$1,FALSE))</f>
        <v>0</v>
      </c>
      <c r="AP110" s="927"/>
      <c r="AQ110" s="927"/>
    </row>
    <row r="111" spans="1:47" ht="15.6" x14ac:dyDescent="0.3">
      <c r="A111" s="417">
        <f t="shared" ref="A111:A116" si="87">A110+1</f>
        <v>93</v>
      </c>
      <c r="B111" s="362" t="str">
        <f>'Event Details'!D$24</f>
        <v>G</v>
      </c>
      <c r="C111" s="381" t="str">
        <f>'Event Details'!E$24</f>
        <v>Royal Sutton</v>
      </c>
      <c r="D111" s="379"/>
      <c r="E111" s="378"/>
      <c r="F111" s="363" t="str">
        <f>VLOOKUP($B108,IF($H108="F",TeamSheetFemale,TeamSheetMale),$Y111-1,FALSE)</f>
        <v>G</v>
      </c>
      <c r="G111" s="380" t="str">
        <f>VLOOKUP($B108,IF($H108="F",TeamSheetFemale,TeamSheetMale),$Y111,FALSE)</f>
        <v>Sebastian Lees</v>
      </c>
      <c r="H111" s="363" t="str">
        <f>VLOOKUP($B108,IF($H108="F",TeamSheetFemale,TeamSheetMale),$Y111+1,FALSE)</f>
        <v>GG</v>
      </c>
      <c r="I111" s="364" t="str">
        <f>VLOOKUP($B108,IF($H108="F",TeamSheetFemale,TeamSheetMale),$Y111+2,FALSE)</f>
        <v>Micah Hakata</v>
      </c>
      <c r="K111" s="341" t="s">
        <v>273</v>
      </c>
      <c r="L111" s="16" t="str">
        <f t="shared" si="80"/>
        <v>Y</v>
      </c>
      <c r="M111" s="927" t="s">
        <v>151</v>
      </c>
      <c r="N111" s="927" t="s">
        <v>988</v>
      </c>
      <c r="O111" s="354" t="str">
        <f>IF(LEN($M111)=1,VLOOKUP(LEFT($M111,1),B109:I116,5,FALSE),IF(LEN($M111)=2,VLOOKUP(LEFT($M111,1),B109:I116,7,FALSE),""))</f>
        <v>Y</v>
      </c>
      <c r="P111" s="410" t="str">
        <f>IF(LEN($M111)=1,VLOOKUP(LEFT($M111,1),B109:I116,6,FALSE),IF(LEN($M111)=2,VLOOKUP(LEFT($M111,1),B109:I116,8,FALSE),""))</f>
        <v>Rayan Faci</v>
      </c>
      <c r="Q111" s="371" t="s">
        <v>273</v>
      </c>
      <c r="R111" s="146" t="str">
        <f t="shared" si="81"/>
        <v>G</v>
      </c>
      <c r="S111" s="927" t="s">
        <v>820</v>
      </c>
      <c r="T111" s="927" t="s">
        <v>995</v>
      </c>
      <c r="U111" s="354" t="str">
        <f>IF(LEN($S111)=1,VLOOKUP(LEFT($S111,1),B109:I116,5,FALSE),IF(LEN($S111)=2,VLOOKUP(LEFT($S111,1),B109:I116,7,FALSE),""))</f>
        <v>GG</v>
      </c>
      <c r="V111" s="410" t="str">
        <f>IF(LEN($S111)=1,VLOOKUP(LEFT($S111,1),B109:I116,6,FALSE),IF(LEN($S111)=2,VLOOKUP(LEFT($S111,1),B109:I116,8,FALSE),""))</f>
        <v>Micah Hakata</v>
      </c>
      <c r="W111" s="417">
        <f t="shared" ref="W111:W116" si="88">W110-1</f>
        <v>6</v>
      </c>
      <c r="Y111" s="16">
        <v>17</v>
      </c>
      <c r="Z111" s="16" t="str">
        <f t="shared" si="82"/>
        <v>Worc</v>
      </c>
      <c r="AA111" s="146" t="str">
        <f t="shared" si="83"/>
        <v>Royal</v>
      </c>
      <c r="AC111" s="16" t="str">
        <f t="shared" si="84"/>
        <v>G</v>
      </c>
      <c r="AD111" s="419" t="str">
        <f t="shared" si="84"/>
        <v>Royal Sutton</v>
      </c>
      <c r="AE111" s="419">
        <f>IF(ISNA(MATCH(AC111,N109:N118,0)),0,VLOOKUP(AC111,N109:S118,5,FALSE))</f>
        <v>0</v>
      </c>
      <c r="AF111" s="419" t="str">
        <f>IF(ISNA(MATCH(AC111,T109:T118,0))," ",VLOOKUP(AC111,T109:Y118,5,FALSE))</f>
        <v xml:space="preserve"> </v>
      </c>
      <c r="AG111" s="419" t="str">
        <f>IF(ISNA(MATCH(AC111,L109:L116,0)),0,VLOOKUP(AC111,L109:N116,3,FALSE))</f>
        <v>2.26.6</v>
      </c>
      <c r="AH111" s="419" t="str">
        <f>IF(ISNA(MATCH(AC111,R109:R116,0)),0,VLOOKUP(AC111,R109:T116,3,FALSE))</f>
        <v>2.32.2</v>
      </c>
      <c r="AI111" s="419" t="str">
        <f>IF(ISNA(MATCH(AC111,L109:L116,0)),0,VLOOKUP(AC111,L109:P116,4,FALSE))</f>
        <v>G</v>
      </c>
      <c r="AJ111" s="419" t="str">
        <f>IF(ISNA(MATCH(AC111,R109:R116,0)),0,VLOOKUP(AC111,R109:U116,4,FALSE))</f>
        <v>GG</v>
      </c>
      <c r="AK111" s="32">
        <f t="shared" si="85"/>
        <v>2</v>
      </c>
      <c r="AL111" s="32">
        <f t="shared" si="86"/>
        <v>3</v>
      </c>
      <c r="AM111" s="32">
        <f>IF(ISNA(MATCH(AC111,L109:L116,0)),0,VLOOKUP(AC111,L109:W116,AM$1,FALSE))</f>
        <v>7</v>
      </c>
      <c r="AN111" s="146">
        <f>IF(ISNA(MATCH(AC111,R109:R116,0)),0,VLOOKUP(AC111,R109:W116,AN$1,FALSE))</f>
        <v>6</v>
      </c>
      <c r="AP111" s="927"/>
      <c r="AQ111" s="927"/>
    </row>
    <row r="112" spans="1:47" ht="15.6" x14ac:dyDescent="0.3">
      <c r="A112" s="417">
        <f t="shared" si="87"/>
        <v>94</v>
      </c>
      <c r="B112" s="362" t="str">
        <f>'Event Details'!D$25</f>
        <v>R</v>
      </c>
      <c r="C112" s="381" t="str">
        <f>'Event Details'!E$25</f>
        <v>Rugby &amp; N'hampton</v>
      </c>
      <c r="D112" s="379"/>
      <c r="E112" s="378"/>
      <c r="F112" s="363" t="str">
        <f>VLOOKUP($B108,IF($H108="F",TeamSheetFemale,TeamSheetMale),$Y112-1,FALSE)</f>
        <v>R</v>
      </c>
      <c r="G112" s="380" t="str">
        <f>VLOOKUP($B108,IF($H108="F",TeamSheetFemale,TeamSheetMale),$Y112,FALSE)</f>
        <v>Lenny Harris</v>
      </c>
      <c r="H112" s="363" t="str">
        <f>VLOOKUP($B108,IF($H108="F",TeamSheetFemale,TeamSheetMale),$Y112+1,FALSE)</f>
        <v>RR</v>
      </c>
      <c r="I112" s="364" t="str">
        <f>VLOOKUP($B108,IF($H108="F",TeamSheetFemale,TeamSheetMale),$Y112+2,FALSE)</f>
        <v>Rohan Tummala</v>
      </c>
      <c r="K112" s="341" t="s">
        <v>274</v>
      </c>
      <c r="L112" s="16" t="str">
        <f t="shared" si="80"/>
        <v>D</v>
      </c>
      <c r="M112" s="927" t="s">
        <v>136</v>
      </c>
      <c r="N112" s="927" t="s">
        <v>989</v>
      </c>
      <c r="O112" s="354" t="str">
        <f>IF(LEN($M112)=1,VLOOKUP(LEFT($M112,1),B109:I116,5,FALSE),IF(LEN($M112)=2,VLOOKUP(LEFT($M112,1),B109:I116,7,FALSE),""))</f>
        <v>D</v>
      </c>
      <c r="P112" s="410" t="str">
        <f>IF(LEN($M112)=1,VLOOKUP(LEFT($M112,1),B109:I116,6,FALSE),IF(LEN($M112)=2,VLOOKUP(LEFT($M112,1),B109:I116,8,FALSE),""))</f>
        <v>Albert Moore</v>
      </c>
      <c r="Q112" s="371" t="s">
        <v>274</v>
      </c>
      <c r="R112" s="146" t="str">
        <f t="shared" si="81"/>
        <v>D</v>
      </c>
      <c r="S112" s="927" t="s">
        <v>513</v>
      </c>
      <c r="T112" s="927" t="s">
        <v>996</v>
      </c>
      <c r="U112" s="354" t="str">
        <f>IF(LEN($S112)=1,VLOOKUP(LEFT($S112,1),B109:I116,5,FALSE),IF(LEN($S112)=2,VLOOKUP(LEFT($S112,1),B109:I116,7,FALSE),""))</f>
        <v>DD</v>
      </c>
      <c r="V112" s="410" t="str">
        <f>IF(LEN($S112)=1,VLOOKUP(LEFT($S112,1),B109:I116,6,FALSE),IF(LEN($S112)=2,VLOOKUP(LEFT($S112,1),B109:I116,8,FALSE),""))</f>
        <v xml:space="preserve">Henry Stacey Harper </v>
      </c>
      <c r="W112" s="417">
        <f t="shared" si="88"/>
        <v>5</v>
      </c>
      <c r="Y112" s="16">
        <v>22</v>
      </c>
      <c r="Z112" s="16" t="str">
        <f t="shared" si="82"/>
        <v>Strat</v>
      </c>
      <c r="AA112" s="146" t="str">
        <f t="shared" si="83"/>
        <v>Strat</v>
      </c>
      <c r="AC112" s="16" t="str">
        <f t="shared" si="84"/>
        <v>R</v>
      </c>
      <c r="AD112" s="419" t="str">
        <f t="shared" si="84"/>
        <v>Rugby &amp; N'hampton</v>
      </c>
      <c r="AE112" s="419">
        <f>IF(ISNA(MATCH(AC112,N109:N118,0)),0,VLOOKUP(AC112,N109:S118,5,FALSE))</f>
        <v>0</v>
      </c>
      <c r="AF112" s="419" t="str">
        <f>IF(ISNA(MATCH(AC112,T109:T118,0))," ",VLOOKUP(AC112,T109:Y118,5,FALSE))</f>
        <v xml:space="preserve"> </v>
      </c>
      <c r="AG112" s="419" t="str">
        <f>IF(ISNA(MATCH(AC112,L109:L116,0)),0,VLOOKUP(AC112,L109:N116,3,FALSE))</f>
        <v>2.36.3</v>
      </c>
      <c r="AH112" s="419" t="str">
        <f>IF(ISNA(MATCH(AC112,R109:R116,0)),0,VLOOKUP(AC112,R109:T116,3,FALSE))</f>
        <v>2.45.3</v>
      </c>
      <c r="AI112" s="419" t="str">
        <f>IF(ISNA(MATCH(AC112,L109:L116,0)),0,VLOOKUP(AC112,L109:P116,4,FALSE))</f>
        <v>R</v>
      </c>
      <c r="AJ112" s="419" t="str">
        <f>IF(ISNA(MATCH(AC112,R109:R116,0)),0,VLOOKUP(AC112,R109:U116,4,FALSE))</f>
        <v>RR</v>
      </c>
      <c r="AK112" s="32">
        <f t="shared" si="85"/>
        <v>5</v>
      </c>
      <c r="AL112" s="32">
        <f t="shared" si="86"/>
        <v>5</v>
      </c>
      <c r="AM112" s="32">
        <f>IF(ISNA(MATCH(AC112,L109:L116,0)),0,VLOOKUP(AC112,L109:W116,AM$1,FALSE))</f>
        <v>4</v>
      </c>
      <c r="AN112" s="146">
        <f>IF(ISNA(MATCH(AC112,R109:R116,0)),0,VLOOKUP(AC112,R109:W116,AN$1,FALSE))</f>
        <v>4</v>
      </c>
      <c r="AP112" s="927"/>
      <c r="AQ112" s="927"/>
    </row>
    <row r="113" spans="1:47" ht="15.6" x14ac:dyDescent="0.3">
      <c r="A113" s="417">
        <f t="shared" si="87"/>
        <v>95</v>
      </c>
      <c r="B113" s="362" t="str">
        <f>'Event Details'!D$26</f>
        <v>M</v>
      </c>
      <c r="C113" s="381" t="str">
        <f>'Event Details'!E$26</f>
        <v>Solihull &amp; S.Heath</v>
      </c>
      <c r="D113" s="379"/>
      <c r="E113" s="378"/>
      <c r="F113" s="363" t="str">
        <f>VLOOKUP($B108,IF($H108="F",TeamSheetFemale,TeamSheetMale),$Y113-1,FALSE)</f>
        <v>M</v>
      </c>
      <c r="G113" s="380" t="str">
        <f>VLOOKUP($B108,IF($H108="F",TeamSheetFemale,TeamSheetMale),$Y113,FALSE)</f>
        <v>Joshua Baylis</v>
      </c>
      <c r="H113" s="363" t="str">
        <f>VLOOKUP($B108,IF($H108="F",TeamSheetFemale,TeamSheetMale),$Y113+1,FALSE)</f>
        <v>MM</v>
      </c>
      <c r="I113" s="364" t="str">
        <f>VLOOKUP($B108,IF($H108="F",TeamSheetFemale,TeamSheetMale),$Y113+2,FALSE)</f>
        <v>Andre Albarel</v>
      </c>
      <c r="K113" s="341" t="s">
        <v>275</v>
      </c>
      <c r="L113" s="16" t="str">
        <f t="shared" si="80"/>
        <v>R</v>
      </c>
      <c r="M113" s="927" t="s">
        <v>118</v>
      </c>
      <c r="N113" s="927" t="s">
        <v>990</v>
      </c>
      <c r="O113" s="354" t="str">
        <f>IF(LEN($M113)=1,VLOOKUP(LEFT($M113,1),B109:I116,5,FALSE),IF(LEN($M113)=2,VLOOKUP(LEFT($M113,1),B109:I116,7,FALSE),""))</f>
        <v>R</v>
      </c>
      <c r="P113" s="410" t="str">
        <f>IF(LEN($M113)=1,VLOOKUP(LEFT($M113,1),B109:I116,6,FALSE),IF(LEN($M113)=2,VLOOKUP(LEFT($M113,1),B109:I116,8,FALSE),""))</f>
        <v>Lenny Harris</v>
      </c>
      <c r="Q113" s="371" t="s">
        <v>275</v>
      </c>
      <c r="R113" s="146" t="str">
        <f t="shared" si="81"/>
        <v>R</v>
      </c>
      <c r="S113" s="927" t="s">
        <v>819</v>
      </c>
      <c r="T113" s="927" t="s">
        <v>997</v>
      </c>
      <c r="U113" s="354" t="str">
        <f>IF(LEN($S113)=1,VLOOKUP(LEFT($S113,1),B109:I116,5,FALSE),IF(LEN($S113)=2,VLOOKUP(LEFT($S113,1),B109:I116,7,FALSE),""))</f>
        <v>RR</v>
      </c>
      <c r="V113" s="410" t="str">
        <f>IF(LEN($S113)=1,VLOOKUP(LEFT($S113,1),B109:I116,6,FALSE),IF(LEN($S113)=2,VLOOKUP(LEFT($S113,1),B109:I116,8,FALSE),""))</f>
        <v>Rohan Tummala</v>
      </c>
      <c r="W113" s="417">
        <f t="shared" si="88"/>
        <v>4</v>
      </c>
      <c r="Y113" s="16">
        <v>27</v>
      </c>
      <c r="Z113" s="16" t="str">
        <f t="shared" si="82"/>
        <v>Rugby</v>
      </c>
      <c r="AA113" s="146" t="str">
        <f t="shared" si="83"/>
        <v>Rugby</v>
      </c>
      <c r="AC113" s="16" t="str">
        <f t="shared" si="84"/>
        <v>M</v>
      </c>
      <c r="AD113" s="419" t="str">
        <f t="shared" si="84"/>
        <v>Solihull &amp; S.Heath</v>
      </c>
      <c r="AE113" s="419">
        <f>IF(ISNA(MATCH(AC113,N109:N118,0)),0,VLOOKUP(AC113,N109:S118,5,FALSE))</f>
        <v>0</v>
      </c>
      <c r="AF113" s="419" t="str">
        <f>IF(ISNA(MATCH(AC113,T109:T118,0))," ",VLOOKUP(AC113,T109:Y118,5,FALSE))</f>
        <v xml:space="preserve"> </v>
      </c>
      <c r="AG113" s="419" t="str">
        <f>IF(ISNA(MATCH(AC113,L109:L116,0)),0,VLOOKUP(AC113,L109:N116,3,FALSE))</f>
        <v>2.22.0</v>
      </c>
      <c r="AH113" s="419" t="str">
        <f>IF(ISNA(MATCH(AC113,R109:R116,0)),0,VLOOKUP(AC113,R109:T116,3,FALSE))</f>
        <v>2.23.8</v>
      </c>
      <c r="AI113" s="419" t="str">
        <f>IF(ISNA(MATCH(AC113,L109:L116,0)),0,VLOOKUP(AC113,L109:P116,4,FALSE))</f>
        <v>M</v>
      </c>
      <c r="AJ113" s="419" t="str">
        <f>IF(ISNA(MATCH(AC113,R109:R116,0)),0,VLOOKUP(AC113,R109:U116,4,FALSE))</f>
        <v>MM</v>
      </c>
      <c r="AK113" s="32">
        <f t="shared" si="85"/>
        <v>1</v>
      </c>
      <c r="AL113" s="32">
        <f t="shared" si="86"/>
        <v>1</v>
      </c>
      <c r="AM113" s="32">
        <f>IF(ISNA(MATCH(AC113,L109:L116,0)),0,VLOOKUP(AC113,L109:W116,AM$1,FALSE))</f>
        <v>8</v>
      </c>
      <c r="AN113" s="146">
        <f>IF(ISNA(MATCH(AC113,R109:R116,0)),0,VLOOKUP(AC113,R109:W116,AN$1,FALSE))</f>
        <v>8</v>
      </c>
      <c r="AP113" s="927"/>
      <c r="AQ113" s="927"/>
    </row>
    <row r="114" spans="1:47" ht="15.6" x14ac:dyDescent="0.3">
      <c r="A114" s="417">
        <f t="shared" si="87"/>
        <v>96</v>
      </c>
      <c r="B114" s="362" t="str">
        <f>'Event Details'!D$27</f>
        <v>D</v>
      </c>
      <c r="C114" s="381" t="str">
        <f>'Event Details'!E$27</f>
        <v>Stratford</v>
      </c>
      <c r="D114" s="379"/>
      <c r="E114" s="378"/>
      <c r="F114" s="363" t="str">
        <f>VLOOKUP($B108,IF($H108="F",TeamSheetFemale,TeamSheetMale),$Y114-1,FALSE)</f>
        <v>D</v>
      </c>
      <c r="G114" s="380" t="str">
        <f>VLOOKUP($B108,IF($H108="F",TeamSheetFemale,TeamSheetMale),$Y114,FALSE)</f>
        <v>Albert Moore</v>
      </c>
      <c r="H114" s="363" t="str">
        <f>VLOOKUP($B108,IF($H108="F",TeamSheetFemale,TeamSheetMale),$Y114+1,FALSE)</f>
        <v>DD</v>
      </c>
      <c r="I114" s="364" t="str">
        <f>VLOOKUP($B108,IF($H108="F",TeamSheetFemale,TeamSheetMale),$Y114+2,FALSE)</f>
        <v xml:space="preserve">Henry Stacey Harper </v>
      </c>
      <c r="K114" s="341" t="s">
        <v>276</v>
      </c>
      <c r="L114" s="16" t="str">
        <f t="shared" si="80"/>
        <v>S</v>
      </c>
      <c r="M114" s="927" t="s">
        <v>100</v>
      </c>
      <c r="N114" s="927" t="s">
        <v>991</v>
      </c>
      <c r="O114" s="354" t="str">
        <f>IF(LEN($M114)=1,VLOOKUP(LEFT($M114,1),B109:I116,5,FALSE),IF(LEN($M114)=2,VLOOKUP(LEFT($M114,1),B109:I116,7,FALSE),""))</f>
        <v>S</v>
      </c>
      <c r="P114" s="410" t="str">
        <f>IF(LEN($M114)=1,VLOOKUP(LEFT($M114,1),B109:I116,6,FALSE),IF(LEN($M114)=2,VLOOKUP(LEFT($M114,1),B109:I116,8,FALSE),""))</f>
        <v>Sebastien Emerey</v>
      </c>
      <c r="Q114" s="371" t="s">
        <v>276</v>
      </c>
      <c r="R114" s="146" t="str">
        <f t="shared" si="81"/>
        <v/>
      </c>
      <c r="S114" s="927"/>
      <c r="T114" s="927"/>
      <c r="U114" s="354" t="str">
        <f>IF(LEN($S114)=1,VLOOKUP(LEFT($S114,1),B109:I116,5,FALSE),IF(LEN($S114)=2,VLOOKUP(LEFT($S114,1),B109:I116,7,FALSE),""))</f>
        <v/>
      </c>
      <c r="V114" s="410" t="str">
        <f>IF(LEN($S114)=1,VLOOKUP(LEFT($S114,1),B109:I116,6,FALSE),IF(LEN($S114)=2,VLOOKUP(LEFT($S114,1),B109:I116,8,FALSE),""))</f>
        <v/>
      </c>
      <c r="W114" s="417">
        <f t="shared" si="88"/>
        <v>3</v>
      </c>
      <c r="Y114" s="16">
        <v>32</v>
      </c>
      <c r="Z114" s="16" t="str">
        <f t="shared" si="82"/>
        <v>BRAT</v>
      </c>
      <c r="AA114" s="146">
        <f t="shared" si="83"/>
        <v>0</v>
      </c>
      <c r="AC114" s="16" t="str">
        <f t="shared" si="84"/>
        <v>D</v>
      </c>
      <c r="AD114" s="419" t="str">
        <f t="shared" si="84"/>
        <v>Stratford</v>
      </c>
      <c r="AE114" s="419">
        <f>IF(ISNA(MATCH(AC114,N109:N118,0)),0,VLOOKUP(AC114,N109:S118,5,FALSE))</f>
        <v>0</v>
      </c>
      <c r="AF114" s="419" t="str">
        <f>IF(ISNA(MATCH(AC114,T109:T118,0))," ",VLOOKUP(AC114,T109:Y118,5,FALSE))</f>
        <v xml:space="preserve"> </v>
      </c>
      <c r="AG114" s="419" t="str">
        <f>IF(ISNA(MATCH(AC114,L109:L116,0)),0,VLOOKUP(AC114,L109:N116,3,FALSE))</f>
        <v>2.30.6</v>
      </c>
      <c r="AH114" s="419" t="str">
        <f>IF(ISNA(MATCH(AC114,R109:R116,0)),0,VLOOKUP(AC114,R109:T116,3,FALSE))</f>
        <v>2.44.7</v>
      </c>
      <c r="AI114" s="419" t="str">
        <f>IF(ISNA(MATCH(AC114,L109:L116,0)),0,VLOOKUP(AC114,L109:P116,4,FALSE))</f>
        <v>D</v>
      </c>
      <c r="AJ114" s="419" t="str">
        <f>IF(ISNA(MATCH(AC114,R109:R116,0)),0,VLOOKUP(AC114,R109:U116,4,FALSE))</f>
        <v>DD</v>
      </c>
      <c r="AK114" s="32">
        <f t="shared" si="85"/>
        <v>4</v>
      </c>
      <c r="AL114" s="32">
        <f t="shared" si="86"/>
        <v>4</v>
      </c>
      <c r="AM114" s="32">
        <f>IF(ISNA(MATCH(AC114,L109:L116,0)),0,VLOOKUP(AC114,L109:W116,AM$1,FALSE))</f>
        <v>5</v>
      </c>
      <c r="AN114" s="146">
        <f>IF(ISNA(MATCH(AC114,R109:R116,0)),0,VLOOKUP(AC114,R109:W116,AN$1,FALSE))</f>
        <v>5</v>
      </c>
      <c r="AP114" s="927"/>
      <c r="AQ114" s="927"/>
    </row>
    <row r="115" spans="1:47" ht="15.6" x14ac:dyDescent="0.3">
      <c r="A115" s="417">
        <f t="shared" si="87"/>
        <v>97</v>
      </c>
      <c r="B115" s="362" t="str">
        <f>'Event Details'!D$28</f>
        <v>F</v>
      </c>
      <c r="C115" s="381" t="str">
        <f>'Event Details'!E$28</f>
        <v>Tamworth</v>
      </c>
      <c r="D115" s="379"/>
      <c r="E115" s="378"/>
      <c r="F115" s="363" t="str">
        <f>VLOOKUP($B108,IF($H108="F",TeamSheetFemale,TeamSheetMale),$Y115-1,FALSE)</f>
        <v>F</v>
      </c>
      <c r="G115" s="380" t="str">
        <f>VLOOKUP($B108,IF($H108="F",TeamSheetFemale,TeamSheetMale),$Y115,FALSE)</f>
        <v>Felix Hickman</v>
      </c>
      <c r="H115" s="363" t="str">
        <f>VLOOKUP($B108,IF($H108="F",TeamSheetFemale,TeamSheetMale),$Y115+1,FALSE)</f>
        <v>FF</v>
      </c>
      <c r="I115" s="364">
        <f>VLOOKUP($B108,IF($H108="F",TeamSheetFemale,TeamSheetMale),$Y115+2,FALSE)</f>
        <v>0</v>
      </c>
      <c r="K115" s="341" t="s">
        <v>277</v>
      </c>
      <c r="L115" s="16" t="str">
        <f t="shared" si="80"/>
        <v>U</v>
      </c>
      <c r="M115" s="927" t="s">
        <v>130</v>
      </c>
      <c r="N115" s="927" t="s">
        <v>992</v>
      </c>
      <c r="O115" s="354" t="str">
        <f>IF(LEN($M115)=1,VLOOKUP(LEFT($M115,1),B109:I116,5,FALSE),IF(LEN($M115)=2,VLOOKUP(LEFT($M115,1),B109:I116,7,FALSE),""))</f>
        <v>U</v>
      </c>
      <c r="P115" s="410" t="str">
        <f>IF(LEN($M115)=1,VLOOKUP(LEFT($M115,1),B109:I116,6,FALSE),IF(LEN($M115)=2,VLOOKUP(LEFT($M115,1),B109:I116,8,FALSE),""))</f>
        <v>Alexander Bird</v>
      </c>
      <c r="Q115" s="371" t="s">
        <v>277</v>
      </c>
      <c r="R115" s="146" t="str">
        <f t="shared" si="81"/>
        <v/>
      </c>
      <c r="S115" s="927"/>
      <c r="T115" s="927"/>
      <c r="U115" s="354" t="str">
        <f>IF(LEN($S115)=1,VLOOKUP(LEFT($S115,1),B109:I116,5,FALSE),IF(LEN($S115)=2,VLOOKUP(LEFT($S115,1),B109:I116,7,FALSE),""))</f>
        <v/>
      </c>
      <c r="V115" s="410" t="str">
        <f>IF(LEN($S115)=1,VLOOKUP(LEFT($S115,1),B109:I116,6,FALSE),IF(LEN($S115)=2,VLOOKUP(LEFT($S115,1),B109:I116,8,FALSE),""))</f>
        <v/>
      </c>
      <c r="W115" s="417">
        <f t="shared" si="88"/>
        <v>2</v>
      </c>
      <c r="Y115" s="16">
        <v>37</v>
      </c>
      <c r="Z115" s="16" t="str">
        <f t="shared" si="82"/>
        <v>K&amp;S</v>
      </c>
      <c r="AA115" s="146">
        <f t="shared" si="83"/>
        <v>0</v>
      </c>
      <c r="AC115" s="16" t="str">
        <f t="shared" si="84"/>
        <v>F</v>
      </c>
      <c r="AD115" s="419" t="str">
        <f t="shared" si="84"/>
        <v>Tamworth</v>
      </c>
      <c r="AE115" s="419">
        <f>IF(ISNA(MATCH(AC115,N107:N116,0)),0,VLOOKUP(AC115,N107:S116,5,FALSE))</f>
        <v>0</v>
      </c>
      <c r="AF115" s="419" t="str">
        <f>IF(ISNA(MATCH(AC115,T107:T116,0))," ",VLOOKUP(AC115,T107:Y116,5,FALSE))</f>
        <v xml:space="preserve"> </v>
      </c>
      <c r="AG115" s="419">
        <f>IF(ISNA(MATCH(AC115,L109:L116,0)),0,VLOOKUP(AC115,L109:N116,3,FALSE))</f>
        <v>0</v>
      </c>
      <c r="AH115" s="419">
        <f>IF(ISNA(MATCH(AC115,R109:R116,0)),0,VLOOKUP(AC115,R109:T116,3,FALSE))</f>
        <v>0</v>
      </c>
      <c r="AI115" s="419">
        <f>IF(ISNA(MATCH(AC115,L109:L116,0)),0,VLOOKUP(AC115,L109:P116,4,FALSE))</f>
        <v>0</v>
      </c>
      <c r="AJ115" s="419">
        <f>IF(ISNA(MATCH(AC115,R109:R116,0)),0,VLOOKUP(AC115,R109:U116,4,FALSE))</f>
        <v>0</v>
      </c>
      <c r="AK115" s="32">
        <f t="shared" si="85"/>
        <v>0</v>
      </c>
      <c r="AL115" s="32">
        <f t="shared" si="86"/>
        <v>0</v>
      </c>
      <c r="AM115" s="32">
        <f>IF(ISNA(MATCH(AC115,L109:L116,0)),0,VLOOKUP(AC115,L109:W116,AM$1,FALSE))</f>
        <v>0</v>
      </c>
      <c r="AN115" s="146">
        <f>IF(ISNA(MATCH(AC115,R109:R116,0)),0,VLOOKUP(AC115,R109:W116,AN$1,FALSE))</f>
        <v>0</v>
      </c>
      <c r="AP115" s="927"/>
      <c r="AQ115" s="927"/>
    </row>
    <row r="116" spans="1:47" ht="16.2" thickBot="1" x14ac:dyDescent="0.35">
      <c r="A116" s="418">
        <f t="shared" si="87"/>
        <v>98</v>
      </c>
      <c r="B116" s="365" t="str">
        <f>'Event Details'!D$29</f>
        <v>Y</v>
      </c>
      <c r="C116" s="366" t="str">
        <f>'Event Details'!E$29</f>
        <v>Worcester</v>
      </c>
      <c r="D116" s="361"/>
      <c r="E116" s="370"/>
      <c r="F116" s="367" t="str">
        <f>VLOOKUP($B108,IF($H108="F",TeamSheetFemale,TeamSheetMale),$Y116-1,FALSE)</f>
        <v>Y</v>
      </c>
      <c r="G116" s="368" t="str">
        <f>VLOOKUP($B108,IF($H108="F",TeamSheetFemale,TeamSheetMale),$Y116,FALSE)</f>
        <v>Rayan Faci</v>
      </c>
      <c r="H116" s="367">
        <f>VLOOKUP($B108,IF($H108="F",TeamSheetFemale,TeamSheetMale),$Y116+1,FALSE)</f>
        <v>0</v>
      </c>
      <c r="I116" s="369">
        <f>VLOOKUP($B108,IF($H108="F",TeamSheetFemale,TeamSheetMale),$Y116+2,FALSE)</f>
        <v>0</v>
      </c>
      <c r="K116" s="346" t="s">
        <v>278</v>
      </c>
      <c r="L116" s="25" t="str">
        <f t="shared" si="80"/>
        <v/>
      </c>
      <c r="M116" s="932"/>
      <c r="N116" s="932"/>
      <c r="O116" s="374" t="str">
        <f>IF(LEN($M116)=1,VLOOKUP(LEFT($M116,1),B109:I116,5,FALSE),IF(LEN($M116)=2,VLOOKUP(LEFT($M116,1),B109:I116,7,FALSE),""))</f>
        <v/>
      </c>
      <c r="P116" s="411" t="str">
        <f>IF(LEN($M116)=1,VLOOKUP(LEFT($M116,1),B109:I116,6,FALSE),IF(LEN($M116)=2,VLOOKUP(LEFT($M116,1),B109:I116,8,FALSE),""))</f>
        <v/>
      </c>
      <c r="Q116" s="407" t="s">
        <v>278</v>
      </c>
      <c r="R116" s="523" t="str">
        <f t="shared" si="81"/>
        <v/>
      </c>
      <c r="S116" s="932"/>
      <c r="T116" s="932"/>
      <c r="U116" s="374" t="str">
        <f>IF(LEN($S116)=1,VLOOKUP(LEFT($S116,1),B109:I116,5,FALSE),IF(LEN($S116)=2,VLOOKUP(LEFT($S116,1),B109:I116,7,FALSE),""))</f>
        <v/>
      </c>
      <c r="V116" s="411" t="str">
        <f>IF(LEN($S116)=1,VLOOKUP(LEFT($S116,1),B109:I116,6,FALSE),IF(LEN($S116)=2,VLOOKUP(LEFT($S116,1),B109:I116,8,FALSE),""))</f>
        <v/>
      </c>
      <c r="W116" s="418">
        <f t="shared" si="88"/>
        <v>1</v>
      </c>
      <c r="Y116" s="25">
        <v>42</v>
      </c>
      <c r="Z116" s="25">
        <f t="shared" si="82"/>
        <v>0</v>
      </c>
      <c r="AA116" s="523">
        <f t="shared" si="83"/>
        <v>0</v>
      </c>
      <c r="AC116" s="25" t="str">
        <f t="shared" si="84"/>
        <v>Y</v>
      </c>
      <c r="AD116" s="624" t="str">
        <f t="shared" si="84"/>
        <v>Worcester</v>
      </c>
      <c r="AE116" s="624">
        <f>IF(ISNA(MATCH(AC116,N108:N117,0)),0,VLOOKUP(AC116,N108:S117,5,FALSE))</f>
        <v>0</v>
      </c>
      <c r="AF116" s="624" t="str">
        <f t="shared" ref="AF116" si="89">IF(ISNA(MATCH(AC116,T108:T117,0))," ",VLOOKUP(AC116,T108:Y117,5,FALSE))</f>
        <v xml:space="preserve"> </v>
      </c>
      <c r="AG116" s="624" t="str">
        <f>IF(ISNA(MATCH(AC116,L109:L116,0)),0,VLOOKUP(AC116,L109:N116,3,FALSE))</f>
        <v>2.28.6</v>
      </c>
      <c r="AH116" s="624">
        <f>IF(ISNA(MATCH(AC116,R109:R116,0)),0,VLOOKUP(AC116,R109:T116,3,FALSE))</f>
        <v>0</v>
      </c>
      <c r="AI116" s="624" t="str">
        <f>IF(ISNA(MATCH(AC116,L109:L116,0)),0,VLOOKUP(AC116,L109:P116,4,FALSE))</f>
        <v>Y</v>
      </c>
      <c r="AJ116" s="624">
        <f>IF(ISNA(MATCH(AC116,R109:R116,0)),0,VLOOKUP(AC116,R109:U116,4,FALSE))</f>
        <v>0</v>
      </c>
      <c r="AK116" s="116">
        <f t="shared" si="85"/>
        <v>3</v>
      </c>
      <c r="AL116" s="116">
        <f t="shared" si="86"/>
        <v>0</v>
      </c>
      <c r="AM116" s="116">
        <f>IF(ISNA(MATCH(AC116,L109:L116,0)),0,VLOOKUP(AC116,L109:W116,AM$1,FALSE))</f>
        <v>6</v>
      </c>
      <c r="AN116" s="523">
        <f>IF(ISNA(MATCH(AC116,R109:R116,0)),0,VLOOKUP(AC116,R109:W116,AN$1,FALSE))</f>
        <v>0</v>
      </c>
      <c r="AP116" s="932"/>
      <c r="AQ116" s="932"/>
    </row>
    <row r="117" spans="1:47" ht="15" thickBot="1" x14ac:dyDescent="0.35">
      <c r="M117" s="276"/>
      <c r="N117" s="307"/>
      <c r="S117" s="276"/>
      <c r="T117" s="307"/>
      <c r="AP117" s="276"/>
      <c r="AQ117" s="307"/>
    </row>
    <row r="118" spans="1:47" x14ac:dyDescent="0.3">
      <c r="B118" s="400" t="s">
        <v>258</v>
      </c>
      <c r="C118" s="398"/>
      <c r="D118" s="401" t="s">
        <v>165</v>
      </c>
      <c r="E118" s="398"/>
      <c r="F118" s="398"/>
      <c r="G118" s="402" t="s">
        <v>259</v>
      </c>
      <c r="H118" s="403" t="s">
        <v>249</v>
      </c>
      <c r="I118" s="404" t="s">
        <v>168</v>
      </c>
      <c r="K118" s="360"/>
      <c r="L118" s="661"/>
      <c r="M118" s="387" t="s">
        <v>260</v>
      </c>
      <c r="N118" s="387" t="s">
        <v>261</v>
      </c>
      <c r="O118" s="387" t="s">
        <v>262</v>
      </c>
      <c r="P118" s="388" t="s">
        <v>75</v>
      </c>
      <c r="Q118" s="389"/>
      <c r="R118" s="657"/>
      <c r="S118" s="387" t="s">
        <v>260</v>
      </c>
      <c r="T118" s="387" t="s">
        <v>261</v>
      </c>
      <c r="U118" s="387" t="s">
        <v>262</v>
      </c>
      <c r="V118" s="388" t="s">
        <v>75</v>
      </c>
      <c r="W118" s="672" t="s">
        <v>76</v>
      </c>
      <c r="Y118" s="414" t="s">
        <v>263</v>
      </c>
      <c r="Z118" s="656" t="s">
        <v>74</v>
      </c>
      <c r="AA118" s="657" t="s">
        <v>75</v>
      </c>
      <c r="AC118" s="665" t="s">
        <v>71</v>
      </c>
      <c r="AD118" s="657" t="s">
        <v>86</v>
      </c>
      <c r="AE118" s="661" t="s">
        <v>149</v>
      </c>
      <c r="AF118" s="661" t="s">
        <v>94</v>
      </c>
      <c r="AG118" s="661" t="s">
        <v>149</v>
      </c>
      <c r="AH118" s="661" t="s">
        <v>94</v>
      </c>
      <c r="AI118" s="661" t="s">
        <v>149</v>
      </c>
      <c r="AJ118" s="661" t="s">
        <v>94</v>
      </c>
      <c r="AK118" s="1332" t="s">
        <v>149</v>
      </c>
      <c r="AL118" s="661" t="s">
        <v>94</v>
      </c>
      <c r="AM118" s="1406" t="s">
        <v>76</v>
      </c>
      <c r="AN118" s="1407"/>
      <c r="AP118" s="387" t="s">
        <v>260</v>
      </c>
      <c r="AQ118" s="387" t="s">
        <v>261</v>
      </c>
      <c r="AS118" s="1218" t="s">
        <v>165</v>
      </c>
      <c r="AT118" s="1219" t="s">
        <v>79</v>
      </c>
      <c r="AU118" s="1220" t="s">
        <v>80</v>
      </c>
    </row>
    <row r="119" spans="1:47" ht="15" thickBot="1" x14ac:dyDescent="0.35">
      <c r="B119" s="405">
        <v>10</v>
      </c>
      <c r="C119" s="399"/>
      <c r="D119" s="385" t="str">
        <f>VLOOKUP($B119,EventOrder,6,FALSE)</f>
        <v xml:space="preserve">80m hurdles </v>
      </c>
      <c r="E119" s="399"/>
      <c r="F119" s="385"/>
      <c r="G119" s="386" t="str">
        <f>VLOOKUP($B119,EventOrder,4,FALSE)</f>
        <v>U16 Female</v>
      </c>
      <c r="H119" s="396" t="str">
        <f>IF(MID(G119,5,1)="F","F","M")</f>
        <v>F</v>
      </c>
      <c r="I119" s="397">
        <f>VLOOKUP($B119,EventOrder,2,FALSE)</f>
        <v>11.5</v>
      </c>
      <c r="K119" s="377"/>
      <c r="L119" s="667" t="s">
        <v>149</v>
      </c>
      <c r="M119" s="409" t="s">
        <v>264</v>
      </c>
      <c r="N119" s="409" t="s">
        <v>265</v>
      </c>
      <c r="O119" s="390" t="s">
        <v>266</v>
      </c>
      <c r="P119" s="391"/>
      <c r="Q119" s="392"/>
      <c r="R119" s="659" t="s">
        <v>94</v>
      </c>
      <c r="S119" s="409" t="s">
        <v>264</v>
      </c>
      <c r="T119" s="409" t="s">
        <v>265</v>
      </c>
      <c r="U119" s="390" t="s">
        <v>266</v>
      </c>
      <c r="V119" s="391"/>
      <c r="W119" s="671"/>
      <c r="Y119" s="415" t="s">
        <v>167</v>
      </c>
      <c r="Z119" s="658" t="s">
        <v>149</v>
      </c>
      <c r="AA119" s="659" t="s">
        <v>94</v>
      </c>
      <c r="AC119" s="666"/>
      <c r="AD119" s="668"/>
      <c r="AE119" s="768" t="s">
        <v>75</v>
      </c>
      <c r="AF119" s="768" t="s">
        <v>75</v>
      </c>
      <c r="AG119" s="768" t="s">
        <v>267</v>
      </c>
      <c r="AH119" s="768" t="s">
        <v>267</v>
      </c>
      <c r="AI119" s="768" t="s">
        <v>268</v>
      </c>
      <c r="AJ119" s="768" t="s">
        <v>268</v>
      </c>
      <c r="AK119" s="770" t="s">
        <v>269</v>
      </c>
      <c r="AL119" s="768" t="s">
        <v>269</v>
      </c>
      <c r="AM119" s="667" t="s">
        <v>149</v>
      </c>
      <c r="AN119" s="659" t="s">
        <v>94</v>
      </c>
      <c r="AP119" s="409" t="s">
        <v>264</v>
      </c>
      <c r="AQ119" s="409" t="s">
        <v>265</v>
      </c>
      <c r="AS119" s="1221" t="s">
        <v>270</v>
      </c>
      <c r="AT119" s="1222" t="s">
        <v>270</v>
      </c>
      <c r="AU119" s="1223" t="s">
        <v>270</v>
      </c>
    </row>
    <row r="120" spans="1:47" ht="15.6" x14ac:dyDescent="0.3">
      <c r="A120" s="416">
        <f>(B119*10)+1</f>
        <v>101</v>
      </c>
      <c r="B120" s="362" t="str">
        <f>'Event Details'!D$22</f>
        <v>S</v>
      </c>
      <c r="C120" s="381" t="str">
        <f>'Event Details'!E$22</f>
        <v>BRAT</v>
      </c>
      <c r="D120" s="379"/>
      <c r="E120" s="378"/>
      <c r="F120" s="363" t="str">
        <f>VLOOKUP($B119,IF($H119="F",TeamSheetFemale,TeamSheetMale),$Y120-1,FALSE)</f>
        <v>S</v>
      </c>
      <c r="G120" s="380" t="str">
        <f>VLOOKUP($B119,IF($H119="F",TeamSheetFemale,TeamSheetMale),$Y120,FALSE)</f>
        <v>Alisia Scarlett-Thomas</v>
      </c>
      <c r="H120" s="363" t="str">
        <f>VLOOKUP($B119,IF($H119="F",TeamSheetFemale,TeamSheetMale),$Y120+1,FALSE)</f>
        <v>SS</v>
      </c>
      <c r="I120" s="364" t="str">
        <f>VLOOKUP($B119,IF($H119="F",TeamSheetFemale,TeamSheetMale),$Y120+2,FALSE)</f>
        <v>Amber Stevens</v>
      </c>
      <c r="K120" s="393" t="s">
        <v>271</v>
      </c>
      <c r="L120" s="16" t="str">
        <f t="shared" ref="L120:L127" si="90">LEFT(M120,1)</f>
        <v>Y</v>
      </c>
      <c r="M120" s="926" t="s">
        <v>151</v>
      </c>
      <c r="N120" s="926">
        <v>12.5</v>
      </c>
      <c r="O120" s="394" t="str">
        <f>IF(LEN($M120)=1,VLOOKUP(LEFT($M120,1),B120:I127,5,FALSE),IF(LEN($M120)=2,VLOOKUP(LEFT($M120,1),B120:I127,7,FALSE),""))</f>
        <v>Y</v>
      </c>
      <c r="P120" s="395" t="str">
        <f>IF(LEN($M120)=1,VLOOKUP(LEFT($M120,1),B120:I127,6,FALSE),IF(LEN($M120)=2,VLOOKUP(LEFT($M120,1),B120:I127,8,FALSE),""))</f>
        <v>Harriett Carey</v>
      </c>
      <c r="Q120" s="393" t="s">
        <v>271</v>
      </c>
      <c r="R120" s="146" t="str">
        <f t="shared" ref="R120:R127" si="91">LEFT(S120,1)</f>
        <v>G</v>
      </c>
      <c r="S120" s="926" t="s">
        <v>820</v>
      </c>
      <c r="T120" s="926">
        <v>13.9</v>
      </c>
      <c r="U120" s="394" t="str">
        <f>IF(LEN($S120)=1,VLOOKUP(LEFT($S120,1),B120:I127,5,FALSE),IF(LEN($S120)=2,VLOOKUP(LEFT($S120,1),B120:I127,7,FALSE),""))</f>
        <v>GG</v>
      </c>
      <c r="V120" s="395" t="str">
        <f>IF(LEN($S120)=1,VLOOKUP(LEFT($S120,1),B120:I127,6,FALSE),IF(LEN($S120)=2,VLOOKUP(LEFT($S120,1),B120:I127,8,FALSE),""))</f>
        <v>Gracie Young</v>
      </c>
      <c r="W120" s="417">
        <f>AN$6</f>
        <v>8</v>
      </c>
      <c r="Y120" s="416">
        <v>7</v>
      </c>
      <c r="Z120" s="653" t="str">
        <f t="shared" ref="Z120:Z127" si="92">IF(LEN(M120)&gt;0,VLOOKUP(LEFT(M120,1),ShortName,5,FALSE),0)</f>
        <v>Worc</v>
      </c>
      <c r="AA120" s="138" t="str">
        <f t="shared" ref="AA120:AA127" si="93">IF(LEN(S120)&gt;0,VLOOKUP(LEFT(S120,1),ShortName,5,FALSE),0)</f>
        <v>Royal</v>
      </c>
      <c r="AC120" s="16" t="str">
        <f t="shared" ref="AC120:AD127" si="94">B120</f>
        <v>S</v>
      </c>
      <c r="AD120" s="419" t="str">
        <f t="shared" si="94"/>
        <v>BRAT</v>
      </c>
      <c r="AE120" s="635">
        <f>IF(ISNA(MATCH(AC120,N120:N129,0)),0,VLOOKUP(AC120,N120:S129,5,FALSE))</f>
        <v>0</v>
      </c>
      <c r="AF120" s="635" t="str">
        <f>IF(ISNA(MATCH(AC120,T120:T129,0))," ",VLOOKUP(AC120,T120:Y129,5,FALSE))</f>
        <v xml:space="preserve"> </v>
      </c>
      <c r="AG120" s="635">
        <f>IF(ISNA(MATCH(AC120,L120:L127,0)),0,VLOOKUP(AC120,L120:N127,3,FALSE))</f>
        <v>12.8</v>
      </c>
      <c r="AH120" s="635">
        <f>IF(ISNA(MATCH(AC120,R120:R127,0)),0,VLOOKUP(AC120,R120:T127,3,FALSE))</f>
        <v>14.4</v>
      </c>
      <c r="AI120" s="635" t="str">
        <f>IF(ISNA(MATCH(AC120,L120:L127,0)),0,VLOOKUP(AC120,L120:P127,4,FALSE))</f>
        <v>S</v>
      </c>
      <c r="AJ120" s="635" t="str">
        <f>IF(ISNA(MATCH(AC120,R120:R127,0)),0,VLOOKUP(AC120,R120:U127,4,FALSE))</f>
        <v>SS</v>
      </c>
      <c r="AK120" s="49">
        <f t="shared" ref="AK120:AK127" si="95">IF(AM120=0,0,AN$6-(AM120-1))</f>
        <v>2</v>
      </c>
      <c r="AL120" s="49">
        <f t="shared" ref="AL120:AL127" si="96">IF(AN120=0,0,AN$6-(AN120-1))</f>
        <v>2</v>
      </c>
      <c r="AM120" s="49">
        <f>IF(ISNA(MATCH(AC120,L120:L127,0)),0,VLOOKUP(AC120,L120:W127,AM$1,FALSE))</f>
        <v>7</v>
      </c>
      <c r="AN120" s="138">
        <f>IF(ISNA(MATCH(AC120,R120:R127,0)),0,VLOOKUP(AC120,R120:W127,AN$1,FALSE))</f>
        <v>7</v>
      </c>
      <c r="AP120" s="926"/>
      <c r="AQ120" s="926"/>
      <c r="AS120" s="32">
        <f>IF(LEN(N120)&gt;0,1,0)</f>
        <v>1</v>
      </c>
      <c r="AT120" s="32">
        <f>IF(AND(AS120=1,H119="M"),1,0)</f>
        <v>0</v>
      </c>
      <c r="AU120" s="32">
        <f>IF(AND(AS120=1,H119="F"),1,0)</f>
        <v>1</v>
      </c>
    </row>
    <row r="121" spans="1:47" ht="15.6" x14ac:dyDescent="0.3">
      <c r="A121" s="417">
        <f>A120+1</f>
        <v>102</v>
      </c>
      <c r="B121" s="362" t="str">
        <f>'Event Details'!D$23</f>
        <v>U</v>
      </c>
      <c r="C121" s="381" t="str">
        <f>'Event Details'!E$23</f>
        <v>Kidder &amp; Stourport</v>
      </c>
      <c r="D121" s="379"/>
      <c r="E121" s="378"/>
      <c r="F121" s="363" t="str">
        <f>VLOOKUP($B119,IF($H119="F",TeamSheetFemale,TeamSheetMale),$Y121-1,FALSE)</f>
        <v>U</v>
      </c>
      <c r="G121" s="380" t="str">
        <f>VLOOKUP($B119,IF($H119="F",TeamSheetFemale,TeamSheetMale),$Y121,FALSE)</f>
        <v>Sophia Llewellyn</v>
      </c>
      <c r="H121" s="363">
        <f>VLOOKUP($B119,IF($H119="F",TeamSheetFemale,TeamSheetMale),$Y121+1,FALSE)</f>
        <v>0</v>
      </c>
      <c r="I121" s="364">
        <f>VLOOKUP($B119,IF($H119="F",TeamSheetFemale,TeamSheetMale),$Y121+2,FALSE)</f>
        <v>0</v>
      </c>
      <c r="K121" s="341" t="s">
        <v>272</v>
      </c>
      <c r="L121" s="16" t="str">
        <f t="shared" si="90"/>
        <v>S</v>
      </c>
      <c r="M121" s="927" t="s">
        <v>100</v>
      </c>
      <c r="N121" s="927">
        <v>12.8</v>
      </c>
      <c r="O121" s="353" t="str">
        <f>IF(LEN($M121)=1,VLOOKUP(LEFT($M121,1),B120:I127,5,FALSE),IF(LEN($M121)=2,VLOOKUP(LEFT($M121,1),B120:I127,7,FALSE),""))</f>
        <v>S</v>
      </c>
      <c r="P121" s="373" t="str">
        <f>IF(LEN($M121)=1,VLOOKUP(LEFT($M121,1),B120:I127,6,FALSE),IF(LEN($M121)=2,VLOOKUP(LEFT($M121,1),B120:I127,8,FALSE),""))</f>
        <v>Alisia Scarlett-Thomas</v>
      </c>
      <c r="Q121" s="341" t="s">
        <v>272</v>
      </c>
      <c r="R121" s="146" t="str">
        <f t="shared" si="91"/>
        <v>S</v>
      </c>
      <c r="S121" s="927" t="s">
        <v>818</v>
      </c>
      <c r="T121" s="927">
        <v>14.4</v>
      </c>
      <c r="U121" s="353" t="str">
        <f>IF(LEN($S121)=1,VLOOKUP(LEFT($S121,1),B120:I127,5,FALSE),IF(LEN($S121)=2,VLOOKUP(LEFT($S121,1),B120:I127,7,FALSE),""))</f>
        <v>SS</v>
      </c>
      <c r="V121" s="373" t="str">
        <f>IF(LEN($S121)=1,VLOOKUP(LEFT($S121,1),B120:I127,6,FALSE),IF(LEN($S121)=2,VLOOKUP(LEFT($S121,1),B120:I127,8,FALSE),""))</f>
        <v>Amber Stevens</v>
      </c>
      <c r="W121" s="417">
        <f>W120-1</f>
        <v>7</v>
      </c>
      <c r="Y121" s="417">
        <v>12</v>
      </c>
      <c r="Z121" s="16" t="str">
        <f t="shared" si="92"/>
        <v>BRAT</v>
      </c>
      <c r="AA121" s="146" t="str">
        <f t="shared" si="93"/>
        <v>BRAT</v>
      </c>
      <c r="AC121" s="16" t="str">
        <f t="shared" si="94"/>
        <v>U</v>
      </c>
      <c r="AD121" s="419" t="str">
        <f t="shared" si="94"/>
        <v>Kidder &amp; Stourport</v>
      </c>
      <c r="AE121" s="419">
        <f>IF(ISNA(MATCH(AC121,N120:N129,0)),0,VLOOKUP(AC121,N120:S129,5,FALSE))</f>
        <v>0</v>
      </c>
      <c r="AF121" s="419" t="str">
        <f>IF(ISNA(MATCH(AC121,T120:T129,0))," ",VLOOKUP(AC121,T120:Y129,5,FALSE))</f>
        <v xml:space="preserve"> </v>
      </c>
      <c r="AG121" s="419">
        <f>IF(ISNA(MATCH(AC121,L120:L127,0)),0,VLOOKUP(AC121,L120:N127,3,FALSE))</f>
        <v>13.5</v>
      </c>
      <c r="AH121" s="419">
        <f>IF(ISNA(MATCH(AC121,R120:R127,0)),0,VLOOKUP(AC121,R120:T127,3,FALSE))</f>
        <v>0</v>
      </c>
      <c r="AI121" s="419" t="str">
        <f>IF(ISNA(MATCH(AC121,L120:L127,0)),0,VLOOKUP(AC121,L120:P127,4,FALSE))</f>
        <v>U</v>
      </c>
      <c r="AJ121" s="419">
        <f>IF(ISNA(MATCH(AC121,R120:R127,0)),0,VLOOKUP(AC121,R120:U127,4,FALSE))</f>
        <v>0</v>
      </c>
      <c r="AK121" s="32">
        <f t="shared" si="95"/>
        <v>4</v>
      </c>
      <c r="AL121" s="32">
        <f t="shared" si="96"/>
        <v>0</v>
      </c>
      <c r="AM121" s="32">
        <f>IF(ISNA(MATCH(AC121,L120:L127,0)),0,VLOOKUP(AC121,L120:W127,AM$1,FALSE))</f>
        <v>5</v>
      </c>
      <c r="AN121" s="146">
        <f>IF(ISNA(MATCH(AC121,R120:R127,0)),0,VLOOKUP(AC121,R120:W127,AN$1,FALSE))</f>
        <v>0</v>
      </c>
      <c r="AP121" s="927"/>
      <c r="AQ121" s="927"/>
    </row>
    <row r="122" spans="1:47" ht="15.6" x14ac:dyDescent="0.3">
      <c r="A122" s="417">
        <f t="shared" ref="A122:A127" si="97">A121+1</f>
        <v>103</v>
      </c>
      <c r="B122" s="362" t="str">
        <f>'Event Details'!D$24</f>
        <v>G</v>
      </c>
      <c r="C122" s="381" t="str">
        <f>'Event Details'!E$24</f>
        <v>Royal Sutton</v>
      </c>
      <c r="D122" s="379"/>
      <c r="E122" s="378"/>
      <c r="F122" s="363" t="str">
        <f>VLOOKUP($B119,IF($H119="F",TeamSheetFemale,TeamSheetMale),$Y122-1,FALSE)</f>
        <v>G</v>
      </c>
      <c r="G122" s="380" t="str">
        <f>VLOOKUP($B119,IF($H119="F",TeamSheetFemale,TeamSheetMale),$Y122,FALSE)</f>
        <v>Aiza Ulhaq</v>
      </c>
      <c r="H122" s="363" t="str">
        <f>VLOOKUP($B119,IF($H119="F",TeamSheetFemale,TeamSheetMale),$Y122+1,FALSE)</f>
        <v>GG</v>
      </c>
      <c r="I122" s="364" t="str">
        <f>VLOOKUP($B119,IF($H119="F",TeamSheetFemale,TeamSheetMale),$Y122+2,FALSE)</f>
        <v>Gracie Young</v>
      </c>
      <c r="K122" s="341" t="s">
        <v>273</v>
      </c>
      <c r="L122" s="16" t="str">
        <f t="shared" si="90"/>
        <v>R</v>
      </c>
      <c r="M122" s="927" t="s">
        <v>118</v>
      </c>
      <c r="N122" s="927">
        <v>13</v>
      </c>
      <c r="O122" s="353" t="str">
        <f>IF(LEN($M122)=1,VLOOKUP(LEFT($M122,1),B120:I127,5,FALSE),IF(LEN($M122)=2,VLOOKUP(LEFT($M122,1),B120:I127,7,FALSE),""))</f>
        <v>R</v>
      </c>
      <c r="P122" s="373" t="str">
        <f>IF(LEN($M122)=1,VLOOKUP(LEFT($M122,1),B120:I127,6,FALSE),IF(LEN($M122)=2,VLOOKUP(LEFT($M122,1),B120:I127,8,FALSE),""))</f>
        <v>Emelia Butler</v>
      </c>
      <c r="Q122" s="341" t="s">
        <v>273</v>
      </c>
      <c r="R122" s="146" t="str">
        <f t="shared" si="91"/>
        <v>R</v>
      </c>
      <c r="S122" s="927" t="s">
        <v>819</v>
      </c>
      <c r="T122" s="927">
        <v>15.3</v>
      </c>
      <c r="U122" s="353" t="str">
        <f>IF(LEN($S122)=1,VLOOKUP(LEFT($S122,1),B120:I127,5,FALSE),IF(LEN($S122)=2,VLOOKUP(LEFT($S122,1),B120:I127,7,FALSE),""))</f>
        <v>RR</v>
      </c>
      <c r="V122" s="373" t="str">
        <f>IF(LEN($S122)=1,VLOOKUP(LEFT($S122,1),B120:I127,6,FALSE),IF(LEN($S122)=2,VLOOKUP(LEFT($S122,1),B120:I127,8,FALSE),""))</f>
        <v>Anya Haresign</v>
      </c>
      <c r="W122" s="417">
        <f t="shared" ref="W122:W127" si="98">W121-1</f>
        <v>6</v>
      </c>
      <c r="Y122" s="417">
        <v>17</v>
      </c>
      <c r="Z122" s="16" t="str">
        <f t="shared" si="92"/>
        <v>Rugby</v>
      </c>
      <c r="AA122" s="146" t="str">
        <f t="shared" si="93"/>
        <v>Rugby</v>
      </c>
      <c r="AB122" s="32"/>
      <c r="AC122" s="16" t="str">
        <f t="shared" si="94"/>
        <v>G</v>
      </c>
      <c r="AD122" s="419" t="str">
        <f t="shared" si="94"/>
        <v>Royal Sutton</v>
      </c>
      <c r="AE122" s="419">
        <f>IF(ISNA(MATCH(AC122,N120:N129,0)),0,VLOOKUP(AC122,N120:S129,5,FALSE))</f>
        <v>0</v>
      </c>
      <c r="AF122" s="419" t="str">
        <f>IF(ISNA(MATCH(AC122,T120:T129,0))," ",VLOOKUP(AC122,T120:Y129,5,FALSE))</f>
        <v xml:space="preserve"> </v>
      </c>
      <c r="AG122" s="419">
        <f>IF(ISNA(MATCH(AC122,L120:L127,0)),0,VLOOKUP(AC122,L120:N127,3,FALSE))</f>
        <v>16.8</v>
      </c>
      <c r="AH122" s="419">
        <f>IF(ISNA(MATCH(AC122,R120:R127,0)),0,VLOOKUP(AC122,R120:T127,3,FALSE))</f>
        <v>13.9</v>
      </c>
      <c r="AI122" s="419" t="str">
        <f>IF(ISNA(MATCH(AC122,L120:L127,0)),0,VLOOKUP(AC122,L120:P127,4,FALSE))</f>
        <v>G</v>
      </c>
      <c r="AJ122" s="419" t="str">
        <f>IF(ISNA(MATCH(AC122,R120:R127,0)),0,VLOOKUP(AC122,R120:U127,4,FALSE))</f>
        <v>GG</v>
      </c>
      <c r="AK122" s="32">
        <f t="shared" si="95"/>
        <v>8</v>
      </c>
      <c r="AL122" s="32">
        <f t="shared" si="96"/>
        <v>1</v>
      </c>
      <c r="AM122" s="32">
        <f>IF(ISNA(MATCH(AC122,L120:L127,0)),0,VLOOKUP(AC122,L120:W127,AM$1,FALSE))</f>
        <v>1</v>
      </c>
      <c r="AN122" s="146">
        <f>IF(ISNA(MATCH(AC122,R120:R127,0)),0,VLOOKUP(AC122,R120:W127,AN$1,FALSE))</f>
        <v>8</v>
      </c>
      <c r="AP122" s="927"/>
      <c r="AQ122" s="927"/>
    </row>
    <row r="123" spans="1:47" ht="15.6" x14ac:dyDescent="0.3">
      <c r="A123" s="417">
        <f t="shared" si="97"/>
        <v>104</v>
      </c>
      <c r="B123" s="362" t="str">
        <f>'Event Details'!D$25</f>
        <v>R</v>
      </c>
      <c r="C123" s="381" t="str">
        <f>'Event Details'!E$25</f>
        <v>Rugby &amp; N'hampton</v>
      </c>
      <c r="D123" s="379"/>
      <c r="E123" s="378"/>
      <c r="F123" s="363" t="str">
        <f>VLOOKUP($B119,IF($H119="F",TeamSheetFemale,TeamSheetMale),$Y123-1,FALSE)</f>
        <v>R</v>
      </c>
      <c r="G123" s="380" t="str">
        <f>VLOOKUP($B119,IF($H119="F",TeamSheetFemale,TeamSheetMale),$Y123,FALSE)</f>
        <v>Emelia Butler</v>
      </c>
      <c r="H123" s="363" t="str">
        <f>VLOOKUP($B119,IF($H119="F",TeamSheetFemale,TeamSheetMale),$Y123+1,FALSE)</f>
        <v>RR</v>
      </c>
      <c r="I123" s="364" t="str">
        <f>VLOOKUP($B119,IF($H119="F",TeamSheetFemale,TeamSheetMale),$Y123+2,FALSE)</f>
        <v>Anya Haresign</v>
      </c>
      <c r="K123" s="341" t="s">
        <v>274</v>
      </c>
      <c r="L123" s="16" t="str">
        <f t="shared" si="90"/>
        <v>U</v>
      </c>
      <c r="M123" s="927" t="s">
        <v>130</v>
      </c>
      <c r="N123" s="927">
        <v>13.5</v>
      </c>
      <c r="O123" s="353" t="str">
        <f>IF(LEN($M123)=1,VLOOKUP(LEFT($M123,1),B120:I127,5,FALSE),IF(LEN($M123)=2,VLOOKUP(LEFT($M123,1),B120:I127,7,FALSE),""))</f>
        <v>U</v>
      </c>
      <c r="P123" s="373" t="str">
        <f>IF(LEN($M123)=1,VLOOKUP(LEFT($M123,1),B120:I127,6,FALSE),IF(LEN($M123)=2,VLOOKUP(LEFT($M123,1),B120:I127,8,FALSE),""))</f>
        <v>Sophia Llewellyn</v>
      </c>
      <c r="Q123" s="341" t="s">
        <v>274</v>
      </c>
      <c r="R123" s="146" t="str">
        <f t="shared" si="91"/>
        <v>D</v>
      </c>
      <c r="S123" s="927" t="s">
        <v>513</v>
      </c>
      <c r="T123" s="927">
        <v>16.2</v>
      </c>
      <c r="U123" s="353" t="str">
        <f>IF(LEN($S123)=1,VLOOKUP(LEFT($S123,1),B120:I127,5,FALSE),IF(LEN($S123)=2,VLOOKUP(LEFT($S123,1),B120:I127,7,FALSE),""))</f>
        <v>DD</v>
      </c>
      <c r="V123" s="373" t="str">
        <f>IF(LEN($S123)=1,VLOOKUP(LEFT($S123,1),B120:I127,6,FALSE),IF(LEN($S123)=2,VLOOKUP(LEFT($S123,1),B120:I127,8,FALSE),""))</f>
        <v>Emily White</v>
      </c>
      <c r="W123" s="417">
        <f t="shared" si="98"/>
        <v>5</v>
      </c>
      <c r="Y123" s="417">
        <v>22</v>
      </c>
      <c r="Z123" s="16" t="str">
        <f t="shared" si="92"/>
        <v>K&amp;S</v>
      </c>
      <c r="AA123" s="146" t="str">
        <f t="shared" si="93"/>
        <v>Strat</v>
      </c>
      <c r="AB123" s="32"/>
      <c r="AC123" s="16" t="str">
        <f t="shared" si="94"/>
        <v>R</v>
      </c>
      <c r="AD123" s="419" t="str">
        <f t="shared" si="94"/>
        <v>Rugby &amp; N'hampton</v>
      </c>
      <c r="AE123" s="419">
        <f>IF(ISNA(MATCH(AC123,N120:N129,0)),0,VLOOKUP(AC123,N120:S129,5,FALSE))</f>
        <v>0</v>
      </c>
      <c r="AF123" s="419" t="str">
        <f>IF(ISNA(MATCH(AC123,T120:T129,0))," ",VLOOKUP(AC123,T120:Y129,5,FALSE))</f>
        <v xml:space="preserve"> </v>
      </c>
      <c r="AG123" s="419">
        <f>IF(ISNA(MATCH(AC123,L120:L127,0)),0,VLOOKUP(AC123,L120:N127,3,FALSE))</f>
        <v>13</v>
      </c>
      <c r="AH123" s="419">
        <f>IF(ISNA(MATCH(AC123,R120:R127,0)),0,VLOOKUP(AC123,R120:T127,3,FALSE))</f>
        <v>15.3</v>
      </c>
      <c r="AI123" s="419" t="str">
        <f>IF(ISNA(MATCH(AC123,L120:L127,0)),0,VLOOKUP(AC123,L120:P127,4,FALSE))</f>
        <v>R</v>
      </c>
      <c r="AJ123" s="419" t="str">
        <f>IF(ISNA(MATCH(AC123,R120:R127,0)),0,VLOOKUP(AC123,R120:U127,4,FALSE))</f>
        <v>RR</v>
      </c>
      <c r="AK123" s="32">
        <f t="shared" si="95"/>
        <v>3</v>
      </c>
      <c r="AL123" s="32">
        <f t="shared" si="96"/>
        <v>3</v>
      </c>
      <c r="AM123" s="32">
        <f>IF(ISNA(MATCH(AC123,L120:L127,0)),0,VLOOKUP(AC123,L120:W127,AM$1,FALSE))</f>
        <v>6</v>
      </c>
      <c r="AN123" s="146">
        <f>IF(ISNA(MATCH(AC123,R120:R127,0)),0,VLOOKUP(AC123,R120:W127,AN$1,FALSE))</f>
        <v>6</v>
      </c>
      <c r="AP123" s="927"/>
      <c r="AQ123" s="927"/>
    </row>
    <row r="124" spans="1:47" ht="15.6" x14ac:dyDescent="0.3">
      <c r="A124" s="417">
        <f t="shared" si="97"/>
        <v>105</v>
      </c>
      <c r="B124" s="362" t="str">
        <f>'Event Details'!D$26</f>
        <v>M</v>
      </c>
      <c r="C124" s="381" t="str">
        <f>'Event Details'!E$26</f>
        <v>Solihull &amp; S.Heath</v>
      </c>
      <c r="D124" s="379"/>
      <c r="E124" s="378"/>
      <c r="F124" s="363" t="str">
        <f>VLOOKUP($B119,IF($H119="F",TeamSheetFemale,TeamSheetMale),$Y124-1,FALSE)</f>
        <v>M</v>
      </c>
      <c r="G124" s="380" t="str">
        <f>VLOOKUP($B119,IF($H119="F",TeamSheetFemale,TeamSheetMale),$Y124,FALSE)</f>
        <v>Ava Thompson</v>
      </c>
      <c r="H124" s="363">
        <f>VLOOKUP($B119,IF($H119="F",TeamSheetFemale,TeamSheetMale),$Y124+1,FALSE)</f>
        <v>0</v>
      </c>
      <c r="I124" s="364">
        <f>VLOOKUP($B119,IF($H119="F",TeamSheetFemale,TeamSheetMale),$Y124+2,FALSE)</f>
        <v>0</v>
      </c>
      <c r="K124" s="341" t="s">
        <v>275</v>
      </c>
      <c r="L124" s="16" t="str">
        <f t="shared" si="90"/>
        <v>D</v>
      </c>
      <c r="M124" s="927" t="s">
        <v>136</v>
      </c>
      <c r="N124" s="927">
        <v>14.2</v>
      </c>
      <c r="O124" s="353" t="str">
        <f>IF(LEN($M124)=1,VLOOKUP(LEFT($M124,1),B120:I127,5,FALSE),IF(LEN($M124)=2,VLOOKUP(LEFT($M124,1),B120:I127,7,FALSE),""))</f>
        <v>D</v>
      </c>
      <c r="P124" s="373" t="str">
        <f>IF(LEN($M124)=1,VLOOKUP(LEFT($M124,1),B120:I127,6,FALSE),IF(LEN($M124)=2,VLOOKUP(LEFT($M124,1),B120:I127,8,FALSE),""))</f>
        <v>Isabella Marriot</v>
      </c>
      <c r="Q124" s="341" t="s">
        <v>275</v>
      </c>
      <c r="R124" s="146" t="str">
        <f t="shared" si="91"/>
        <v/>
      </c>
      <c r="S124" s="927"/>
      <c r="T124" s="927"/>
      <c r="U124" s="353" t="str">
        <f>IF(LEN($S124)=1,VLOOKUP(LEFT($S124,1),B120:I127,5,FALSE),IF(LEN($S124)=2,VLOOKUP(LEFT($S124,1),B120:I127,7,FALSE),""))</f>
        <v/>
      </c>
      <c r="V124" s="373" t="str">
        <f>IF(LEN($S124)=1,VLOOKUP(LEFT($S124,1),B120:I127,6,FALSE),IF(LEN($S124)=2,VLOOKUP(LEFT($S124,1),B120:I127,8,FALSE),""))</f>
        <v/>
      </c>
      <c r="W124" s="417">
        <f t="shared" si="98"/>
        <v>4</v>
      </c>
      <c r="Y124" s="417">
        <v>27</v>
      </c>
      <c r="Z124" s="16" t="str">
        <f t="shared" si="92"/>
        <v>Strat</v>
      </c>
      <c r="AA124" s="146">
        <f t="shared" si="93"/>
        <v>0</v>
      </c>
      <c r="AB124" s="32"/>
      <c r="AC124" s="16" t="str">
        <f t="shared" si="94"/>
        <v>M</v>
      </c>
      <c r="AD124" s="419" t="str">
        <f t="shared" si="94"/>
        <v>Solihull &amp; S.Heath</v>
      </c>
      <c r="AE124" s="419">
        <f>IF(ISNA(MATCH(AC124,N120:N129,0)),0,VLOOKUP(AC124,N120:S129,5,FALSE))</f>
        <v>0</v>
      </c>
      <c r="AF124" s="419" t="str">
        <f>IF(ISNA(MATCH(AC124,T120:T129,0))," ",VLOOKUP(AC124,T120:Y129,5,FALSE))</f>
        <v xml:space="preserve"> </v>
      </c>
      <c r="AG124" s="419">
        <f>IF(ISNA(MATCH(AC124,L120:L127,0)),0,VLOOKUP(AC124,L120:N127,3,FALSE))</f>
        <v>15.8</v>
      </c>
      <c r="AH124" s="419">
        <f>IF(ISNA(MATCH(AC124,R120:R127,0)),0,VLOOKUP(AC124,R120:T127,3,FALSE))</f>
        <v>0</v>
      </c>
      <c r="AI124" s="419" t="str">
        <f>IF(ISNA(MATCH(AC124,L120:L127,0)),0,VLOOKUP(AC124,L120:P127,4,FALSE))</f>
        <v>M</v>
      </c>
      <c r="AJ124" s="419">
        <f>IF(ISNA(MATCH(AC124,R120:R127,0)),0,VLOOKUP(AC124,R120:U127,4,FALSE))</f>
        <v>0</v>
      </c>
      <c r="AK124" s="32">
        <f t="shared" si="95"/>
        <v>6</v>
      </c>
      <c r="AL124" s="32">
        <f t="shared" si="96"/>
        <v>0</v>
      </c>
      <c r="AM124" s="32">
        <f>IF(ISNA(MATCH(AC124,L120:L127,0)),0,VLOOKUP(AC124,L120:W127,AM$1,FALSE))</f>
        <v>3</v>
      </c>
      <c r="AN124" s="146">
        <f>IF(ISNA(MATCH(AC124,R120:R127,0)),0,VLOOKUP(AC124,R120:W127,AN$1,FALSE))</f>
        <v>0</v>
      </c>
      <c r="AP124" s="927"/>
      <c r="AQ124" s="927"/>
    </row>
    <row r="125" spans="1:47" ht="15.6" x14ac:dyDescent="0.3">
      <c r="A125" s="417">
        <f t="shared" si="97"/>
        <v>106</v>
      </c>
      <c r="B125" s="362" t="str">
        <f>'Event Details'!D$27</f>
        <v>D</v>
      </c>
      <c r="C125" s="381" t="str">
        <f>'Event Details'!E$27</f>
        <v>Stratford</v>
      </c>
      <c r="D125" s="379"/>
      <c r="E125" s="378"/>
      <c r="F125" s="363" t="str">
        <f>VLOOKUP($B119,IF($H119="F",TeamSheetFemale,TeamSheetMale),$Y125-1,FALSE)</f>
        <v>D</v>
      </c>
      <c r="G125" s="380" t="str">
        <f>VLOOKUP($B119,IF($H119="F",TeamSheetFemale,TeamSheetMale),$Y125,FALSE)</f>
        <v>Isabella Marriot</v>
      </c>
      <c r="H125" s="363" t="str">
        <f>VLOOKUP($B119,IF($H119="F",TeamSheetFemale,TeamSheetMale),$Y125+1,FALSE)</f>
        <v>DD</v>
      </c>
      <c r="I125" s="364" t="str">
        <f>VLOOKUP($B119,IF($H119="F",TeamSheetFemale,TeamSheetMale),$Y125+2,FALSE)</f>
        <v>Emily White</v>
      </c>
      <c r="K125" s="341" t="s">
        <v>276</v>
      </c>
      <c r="L125" s="16" t="str">
        <f t="shared" si="90"/>
        <v>M</v>
      </c>
      <c r="M125" s="927" t="s">
        <v>127</v>
      </c>
      <c r="N125" s="927">
        <v>15.8</v>
      </c>
      <c r="O125" s="353" t="str">
        <f>IF(LEN($M125)=1,VLOOKUP(LEFT($M125,1),B120:I127,5,FALSE),IF(LEN($M125)=2,VLOOKUP(LEFT($M125,1),B120:I127,7,FALSE),""))</f>
        <v>M</v>
      </c>
      <c r="P125" s="373" t="str">
        <f>IF(LEN($M125)=1,VLOOKUP(LEFT($M125,1),B120:I127,6,FALSE),IF(LEN($M125)=2,VLOOKUP(LEFT($M125,1),B120:I127,8,FALSE),""))</f>
        <v>Ava Thompson</v>
      </c>
      <c r="Q125" s="341" t="s">
        <v>276</v>
      </c>
      <c r="R125" s="146" t="str">
        <f t="shared" si="91"/>
        <v/>
      </c>
      <c r="S125" s="927"/>
      <c r="T125" s="927"/>
      <c r="U125" s="353" t="str">
        <f>IF(LEN($S125)=1,VLOOKUP(LEFT($S125,1),B120:I127,5,FALSE),IF(LEN($S125)=2,VLOOKUP(LEFT($S125,1),B120:I127,7,FALSE),""))</f>
        <v/>
      </c>
      <c r="V125" s="373" t="str">
        <f>IF(LEN($S125)=1,VLOOKUP(LEFT($S125,1),B120:I127,6,FALSE),IF(LEN($S125)=2,VLOOKUP(LEFT($S125,1),B120:I127,8,FALSE),""))</f>
        <v/>
      </c>
      <c r="W125" s="417">
        <f t="shared" si="98"/>
        <v>3</v>
      </c>
      <c r="Y125" s="417">
        <v>32</v>
      </c>
      <c r="Z125" s="16" t="str">
        <f t="shared" si="92"/>
        <v>Sol</v>
      </c>
      <c r="AA125" s="146">
        <f t="shared" si="93"/>
        <v>0</v>
      </c>
      <c r="AB125" s="32"/>
      <c r="AC125" s="16" t="str">
        <f t="shared" si="94"/>
        <v>D</v>
      </c>
      <c r="AD125" s="419" t="str">
        <f t="shared" si="94"/>
        <v>Stratford</v>
      </c>
      <c r="AE125" s="419">
        <f>IF(ISNA(MATCH(AC125,N120:N129,0)),0,VLOOKUP(AC125,N120:S129,5,FALSE))</f>
        <v>0</v>
      </c>
      <c r="AF125" s="419" t="str">
        <f>IF(ISNA(MATCH(AC125,T120:T129,0))," ",VLOOKUP(AC125,T120:Y129,5,FALSE))</f>
        <v xml:space="preserve"> </v>
      </c>
      <c r="AG125" s="419">
        <f>IF(ISNA(MATCH(AC125,L120:L127,0)),0,VLOOKUP(AC125,L120:N127,3,FALSE))</f>
        <v>14.2</v>
      </c>
      <c r="AH125" s="419">
        <f>IF(ISNA(MATCH(AC125,R120:R127,0)),0,VLOOKUP(AC125,R120:T127,3,FALSE))</f>
        <v>16.2</v>
      </c>
      <c r="AI125" s="419" t="str">
        <f>IF(ISNA(MATCH(AC125,L120:L127,0)),0,VLOOKUP(AC125,L120:P127,4,FALSE))</f>
        <v>D</v>
      </c>
      <c r="AJ125" s="419" t="str">
        <f>IF(ISNA(MATCH(AC125,R120:R127,0)),0,VLOOKUP(AC125,R120:U127,4,FALSE))</f>
        <v>DD</v>
      </c>
      <c r="AK125" s="32">
        <f t="shared" si="95"/>
        <v>5</v>
      </c>
      <c r="AL125" s="32">
        <f t="shared" si="96"/>
        <v>4</v>
      </c>
      <c r="AM125" s="32">
        <f>IF(ISNA(MATCH(AC125,L120:L127,0)),0,VLOOKUP(AC125,L120:W127,AM$1,FALSE))</f>
        <v>4</v>
      </c>
      <c r="AN125" s="146">
        <f>IF(ISNA(MATCH(AC125,R120:R127,0)),0,VLOOKUP(AC125,R120:W127,AN$1,FALSE))</f>
        <v>5</v>
      </c>
      <c r="AP125" s="927"/>
      <c r="AQ125" s="927"/>
    </row>
    <row r="126" spans="1:47" ht="15.6" x14ac:dyDescent="0.3">
      <c r="A126" s="417">
        <f t="shared" si="97"/>
        <v>107</v>
      </c>
      <c r="B126" s="362" t="str">
        <f>'Event Details'!D$28</f>
        <v>F</v>
      </c>
      <c r="C126" s="381" t="str">
        <f>'Event Details'!E$28</f>
        <v>Tamworth</v>
      </c>
      <c r="D126" s="379"/>
      <c r="E126" s="378"/>
      <c r="F126" s="363" t="str">
        <f>VLOOKUP($B119,IF($H119="F",TeamSheetFemale,TeamSheetMale),$Y126-1,FALSE)</f>
        <v>F</v>
      </c>
      <c r="G126" s="380" t="str">
        <f>VLOOKUP($B119,IF($H119="F",TeamSheetFemale,TeamSheetMale),$Y126,FALSE)</f>
        <v>Matilda Husselbee</v>
      </c>
      <c r="H126" s="363">
        <f>VLOOKUP($B119,IF($H119="F",TeamSheetFemale,TeamSheetMale),$Y126+1,FALSE)</f>
        <v>0</v>
      </c>
      <c r="I126" s="364">
        <f>VLOOKUP($B119,IF($H119="F",TeamSheetFemale,TeamSheetMale),$Y126+2,FALSE)</f>
        <v>0</v>
      </c>
      <c r="K126" s="341" t="s">
        <v>277</v>
      </c>
      <c r="L126" s="16" t="str">
        <f t="shared" si="90"/>
        <v>F</v>
      </c>
      <c r="M126" s="927" t="s">
        <v>142</v>
      </c>
      <c r="N126" s="927">
        <v>16.7</v>
      </c>
      <c r="O126" s="353" t="str">
        <f>IF(LEN($M126)=1,VLOOKUP(LEFT($M126,1),B120:I127,5,FALSE),IF(LEN($M126)=2,VLOOKUP(LEFT($M126,1),B120:I127,7,FALSE),""))</f>
        <v>F</v>
      </c>
      <c r="P126" s="373" t="str">
        <f>IF(LEN($M126)=1,VLOOKUP(LEFT($M126,1),B120:I127,6,FALSE),IF(LEN($M126)=2,VLOOKUP(LEFT($M126,1),B120:I127,8,FALSE),""))</f>
        <v>Matilda Husselbee</v>
      </c>
      <c r="Q126" s="341" t="s">
        <v>277</v>
      </c>
      <c r="R126" s="146" t="str">
        <f t="shared" si="91"/>
        <v/>
      </c>
      <c r="S126" s="927"/>
      <c r="T126" s="927"/>
      <c r="U126" s="353" t="str">
        <f>IF(LEN($S126)=1,VLOOKUP(LEFT($S126,1),B120:I127,5,FALSE),IF(LEN($S126)=2,VLOOKUP(LEFT($S126,1),B120:I127,7,FALSE),""))</f>
        <v/>
      </c>
      <c r="V126" s="373" t="str">
        <f>IF(LEN($S126)=1,VLOOKUP(LEFT($S126,1),B120:I127,6,FALSE),IF(LEN($S126)=2,VLOOKUP(LEFT($S126,1),B120:I127,8,FALSE),""))</f>
        <v/>
      </c>
      <c r="W126" s="417">
        <f t="shared" si="98"/>
        <v>2</v>
      </c>
      <c r="Y126" s="417">
        <v>37</v>
      </c>
      <c r="Z126" s="16" t="str">
        <f t="shared" si="92"/>
        <v>Tam</v>
      </c>
      <c r="AA126" s="146">
        <f t="shared" si="93"/>
        <v>0</v>
      </c>
      <c r="AB126" s="32"/>
      <c r="AC126" s="16" t="str">
        <f t="shared" si="94"/>
        <v>F</v>
      </c>
      <c r="AD126" s="419" t="str">
        <f t="shared" si="94"/>
        <v>Tamworth</v>
      </c>
      <c r="AE126" s="419">
        <f>IF(ISNA(MATCH(AC126,N118:N127,0)),0,VLOOKUP(AC126,N118:S127,5,FALSE))</f>
        <v>0</v>
      </c>
      <c r="AF126" s="419" t="str">
        <f>IF(ISNA(MATCH(AC126,T118:T127,0))," ",VLOOKUP(AC126,T118:Y127,5,FALSE))</f>
        <v xml:space="preserve"> </v>
      </c>
      <c r="AG126" s="419">
        <f>IF(ISNA(MATCH(AC126,L120:L127,0)),0,VLOOKUP(AC126,L120:N127,3,FALSE))</f>
        <v>16.7</v>
      </c>
      <c r="AH126" s="419">
        <f>IF(ISNA(MATCH(AC126,R120:R127,0)),0,VLOOKUP(AC126,R120:T127,3,FALSE))</f>
        <v>0</v>
      </c>
      <c r="AI126" s="419" t="str">
        <f>IF(ISNA(MATCH(AC126,L120:L127,0)),0,VLOOKUP(AC126,L120:P127,4,FALSE))</f>
        <v>F</v>
      </c>
      <c r="AJ126" s="419">
        <f>IF(ISNA(MATCH(AC126,R120:R127,0)),0,VLOOKUP(AC126,R120:U127,4,FALSE))</f>
        <v>0</v>
      </c>
      <c r="AK126" s="32">
        <f t="shared" si="95"/>
        <v>7</v>
      </c>
      <c r="AL126" s="32">
        <f t="shared" si="96"/>
        <v>0</v>
      </c>
      <c r="AM126" s="32">
        <f>IF(ISNA(MATCH(AC126,L120:L127,0)),0,VLOOKUP(AC126,L120:W127,AM$1,FALSE))</f>
        <v>2</v>
      </c>
      <c r="AN126" s="146">
        <f>IF(ISNA(MATCH(AC126,R120:R127,0)),0,VLOOKUP(AC126,R120:W127,AN$1,FALSE))</f>
        <v>0</v>
      </c>
      <c r="AP126" s="927"/>
      <c r="AQ126" s="927"/>
    </row>
    <row r="127" spans="1:47" ht="16.2" thickBot="1" x14ac:dyDescent="0.35">
      <c r="A127" s="418">
        <f t="shared" si="97"/>
        <v>108</v>
      </c>
      <c r="B127" s="365" t="str">
        <f>'Event Details'!D$29</f>
        <v>Y</v>
      </c>
      <c r="C127" s="366" t="str">
        <f>'Event Details'!E$29</f>
        <v>Worcester</v>
      </c>
      <c r="D127" s="361"/>
      <c r="E127" s="370"/>
      <c r="F127" s="367" t="str">
        <f>VLOOKUP($B119,IF($H119="F",TeamSheetFemale,TeamSheetMale),$Y127-1,FALSE)</f>
        <v>Y</v>
      </c>
      <c r="G127" s="368" t="str">
        <f>VLOOKUP($B119,IF($H119="F",TeamSheetFemale,TeamSheetMale),$Y127,FALSE)</f>
        <v>Harriett Carey</v>
      </c>
      <c r="H127" s="367">
        <f>VLOOKUP($B119,IF($H119="F",TeamSheetFemale,TeamSheetMale),$Y127+1,FALSE)</f>
        <v>0</v>
      </c>
      <c r="I127" s="369">
        <f>VLOOKUP($B119,IF($H119="F",TeamSheetFemale,TeamSheetMale),$Y127+2,FALSE)</f>
        <v>0</v>
      </c>
      <c r="K127" s="346" t="s">
        <v>278</v>
      </c>
      <c r="L127" s="25" t="str">
        <f t="shared" si="90"/>
        <v>G</v>
      </c>
      <c r="M127" s="932" t="s">
        <v>110</v>
      </c>
      <c r="N127" s="932">
        <v>16.8</v>
      </c>
      <c r="O127" s="375" t="str">
        <f>IF(LEN($M127)=1,VLOOKUP(LEFT($M127,1),B120:I127,5,FALSE),IF(LEN($M127)=2,VLOOKUP(LEFT($M127,1),B120:I127,7,FALSE),""))</f>
        <v>G</v>
      </c>
      <c r="P127" s="376" t="str">
        <f>IF(LEN($M127)=1,VLOOKUP(LEFT($M127,1),B120:I127,6,FALSE),IF(LEN($M127)=2,VLOOKUP(LEFT($M127,1),B120:I127,8,FALSE),""))</f>
        <v>Aiza Ulhaq</v>
      </c>
      <c r="Q127" s="346" t="s">
        <v>278</v>
      </c>
      <c r="R127" s="523" t="str">
        <f t="shared" si="91"/>
        <v/>
      </c>
      <c r="S127" s="932"/>
      <c r="T127" s="932"/>
      <c r="U127" s="375" t="str">
        <f>IF(LEN($S127)=1,VLOOKUP(LEFT($S127,1),B120:I127,5,FALSE),IF(LEN($S127)=2,VLOOKUP(LEFT($S127,1),B120:I127,7,FALSE),""))</f>
        <v/>
      </c>
      <c r="V127" s="376" t="str">
        <f>IF(LEN($S127)=1,VLOOKUP(LEFT($S127,1),B120:I127,6,FALSE),IF(LEN($S127)=2,VLOOKUP(LEFT($S127,1),B120:I127,8,FALSE),""))</f>
        <v/>
      </c>
      <c r="W127" s="418">
        <f t="shared" si="98"/>
        <v>1</v>
      </c>
      <c r="Y127" s="418">
        <v>42</v>
      </c>
      <c r="Z127" s="25" t="str">
        <f t="shared" si="92"/>
        <v>Royal</v>
      </c>
      <c r="AA127" s="523">
        <f t="shared" si="93"/>
        <v>0</v>
      </c>
      <c r="AB127" s="32"/>
      <c r="AC127" s="25" t="str">
        <f t="shared" si="94"/>
        <v>Y</v>
      </c>
      <c r="AD127" s="624" t="str">
        <f t="shared" si="94"/>
        <v>Worcester</v>
      </c>
      <c r="AE127" s="624">
        <f>IF(ISNA(MATCH(AC127,N119:N128,0)),0,VLOOKUP(AC127,N119:S128,5,FALSE))</f>
        <v>0</v>
      </c>
      <c r="AF127" s="624" t="str">
        <f t="shared" ref="AF127" si="99">IF(ISNA(MATCH(AC127,T119:T128,0))," ",VLOOKUP(AC127,T119:Y128,5,FALSE))</f>
        <v xml:space="preserve"> </v>
      </c>
      <c r="AG127" s="624">
        <f>IF(ISNA(MATCH(AC127,L120:L127,0)),0,VLOOKUP(AC127,L120:N127,3,FALSE))</f>
        <v>12.5</v>
      </c>
      <c r="AH127" s="624">
        <f>IF(ISNA(MATCH(AC127,R120:R127,0)),0,VLOOKUP(AC127,R120:T127,3,FALSE))</f>
        <v>0</v>
      </c>
      <c r="AI127" s="624" t="str">
        <f>IF(ISNA(MATCH(AC127,L120:L127,0)),0,VLOOKUP(AC127,L120:P127,4,FALSE))</f>
        <v>Y</v>
      </c>
      <c r="AJ127" s="624">
        <f>IF(ISNA(MATCH(AC127,R120:R127,0)),0,VLOOKUP(AC127,R120:U127,4,FALSE))</f>
        <v>0</v>
      </c>
      <c r="AK127" s="116">
        <f t="shared" si="95"/>
        <v>1</v>
      </c>
      <c r="AL127" s="116">
        <f t="shared" si="96"/>
        <v>0</v>
      </c>
      <c r="AM127" s="116">
        <f>IF(ISNA(MATCH(AC127,L120:L127,0)),0,VLOOKUP(AC127,L120:W127,AM$1,FALSE))</f>
        <v>8</v>
      </c>
      <c r="AN127" s="523">
        <f>IF(ISNA(MATCH(AC127,R120:R127,0)),0,VLOOKUP(AC127,R120:W127,AN$1,FALSE))</f>
        <v>0</v>
      </c>
      <c r="AP127" s="932"/>
      <c r="AQ127" s="932"/>
    </row>
    <row r="128" spans="1:47" ht="15" thickBot="1" x14ac:dyDescent="0.35">
      <c r="M128" s="276"/>
      <c r="N128" s="276"/>
      <c r="S128" s="276"/>
      <c r="T128" s="276"/>
      <c r="AP128" s="276"/>
      <c r="AQ128" s="276"/>
    </row>
    <row r="129" spans="1:47" x14ac:dyDescent="0.3">
      <c r="B129" s="400" t="s">
        <v>258</v>
      </c>
      <c r="C129" s="398"/>
      <c r="D129" s="401" t="s">
        <v>165</v>
      </c>
      <c r="E129" s="398"/>
      <c r="F129" s="398"/>
      <c r="G129" s="402" t="s">
        <v>259</v>
      </c>
      <c r="H129" s="403" t="s">
        <v>249</v>
      </c>
      <c r="I129" s="404" t="s">
        <v>168</v>
      </c>
      <c r="K129" s="360"/>
      <c r="L129" s="661"/>
      <c r="M129" s="387" t="s">
        <v>260</v>
      </c>
      <c r="N129" s="387" t="s">
        <v>261</v>
      </c>
      <c r="O129" s="387" t="s">
        <v>262</v>
      </c>
      <c r="P129" s="388" t="s">
        <v>75</v>
      </c>
      <c r="Q129" s="412"/>
      <c r="R129" s="657"/>
      <c r="S129" s="387" t="s">
        <v>260</v>
      </c>
      <c r="T129" s="387" t="s">
        <v>261</v>
      </c>
      <c r="U129" s="387" t="s">
        <v>262</v>
      </c>
      <c r="V129" s="388" t="s">
        <v>75</v>
      </c>
      <c r="W129" s="672" t="s">
        <v>76</v>
      </c>
      <c r="Y129" s="654" t="s">
        <v>263</v>
      </c>
      <c r="Z129" s="656" t="s">
        <v>74</v>
      </c>
      <c r="AA129" s="657" t="s">
        <v>75</v>
      </c>
      <c r="AC129" s="665" t="s">
        <v>71</v>
      </c>
      <c r="AD129" s="657" t="s">
        <v>86</v>
      </c>
      <c r="AE129" s="661" t="s">
        <v>149</v>
      </c>
      <c r="AF129" s="661" t="s">
        <v>94</v>
      </c>
      <c r="AG129" s="661" t="s">
        <v>149</v>
      </c>
      <c r="AH129" s="661" t="s">
        <v>94</v>
      </c>
      <c r="AI129" s="661" t="s">
        <v>149</v>
      </c>
      <c r="AJ129" s="661" t="s">
        <v>94</v>
      </c>
      <c r="AK129" s="1332" t="s">
        <v>149</v>
      </c>
      <c r="AL129" s="661" t="s">
        <v>94</v>
      </c>
      <c r="AM129" s="1406" t="s">
        <v>76</v>
      </c>
      <c r="AN129" s="1407"/>
      <c r="AP129" s="387" t="s">
        <v>260</v>
      </c>
      <c r="AQ129" s="387" t="s">
        <v>261</v>
      </c>
      <c r="AS129" s="1218" t="s">
        <v>165</v>
      </c>
      <c r="AT129" s="1219" t="s">
        <v>79</v>
      </c>
      <c r="AU129" s="1220" t="s">
        <v>80</v>
      </c>
    </row>
    <row r="130" spans="1:47" ht="15" thickBot="1" x14ac:dyDescent="0.35">
      <c r="B130" s="405">
        <v>11</v>
      </c>
      <c r="C130" s="399"/>
      <c r="D130" s="385" t="str">
        <f>VLOOKUP($B130,EventOrder,6,FALSE)</f>
        <v xml:space="preserve">Shot (U18) </v>
      </c>
      <c r="E130" s="399"/>
      <c r="F130" s="385"/>
      <c r="G130" s="386" t="str">
        <f>VLOOKUP($B130,EventOrder,4,FALSE)</f>
        <v>U18 Men</v>
      </c>
      <c r="H130" s="396" t="str">
        <f>IF(MID(G130,5,1)="F","F","M")</f>
        <v>M</v>
      </c>
      <c r="I130" s="397">
        <f>VLOOKUP($B130,EventOrder,2,FALSE)</f>
        <v>12.15</v>
      </c>
      <c r="K130" s="372"/>
      <c r="L130" s="667" t="s">
        <v>149</v>
      </c>
      <c r="M130" s="409" t="s">
        <v>264</v>
      </c>
      <c r="N130" s="409" t="s">
        <v>265</v>
      </c>
      <c r="O130" s="409" t="s">
        <v>266</v>
      </c>
      <c r="P130" s="408"/>
      <c r="Q130" s="413"/>
      <c r="R130" s="659" t="s">
        <v>94</v>
      </c>
      <c r="S130" s="409" t="s">
        <v>264</v>
      </c>
      <c r="T130" s="409" t="s">
        <v>265</v>
      </c>
      <c r="U130" s="409" t="s">
        <v>266</v>
      </c>
      <c r="V130" s="408"/>
      <c r="W130" s="671"/>
      <c r="Y130" s="655" t="s">
        <v>167</v>
      </c>
      <c r="Z130" s="658" t="s">
        <v>149</v>
      </c>
      <c r="AA130" s="659" t="s">
        <v>94</v>
      </c>
      <c r="AC130" s="666"/>
      <c r="AD130" s="668"/>
      <c r="AE130" s="768" t="s">
        <v>75</v>
      </c>
      <c r="AF130" s="768" t="s">
        <v>75</v>
      </c>
      <c r="AG130" s="768" t="s">
        <v>267</v>
      </c>
      <c r="AH130" s="768" t="s">
        <v>267</v>
      </c>
      <c r="AI130" s="768" t="s">
        <v>268</v>
      </c>
      <c r="AJ130" s="768" t="s">
        <v>268</v>
      </c>
      <c r="AK130" s="770" t="s">
        <v>269</v>
      </c>
      <c r="AL130" s="768" t="s">
        <v>269</v>
      </c>
      <c r="AM130" s="667" t="s">
        <v>149</v>
      </c>
      <c r="AN130" s="659" t="s">
        <v>94</v>
      </c>
      <c r="AP130" s="409" t="s">
        <v>264</v>
      </c>
      <c r="AQ130" s="409" t="s">
        <v>265</v>
      </c>
      <c r="AS130" s="1221" t="s">
        <v>270</v>
      </c>
      <c r="AT130" s="1222" t="s">
        <v>270</v>
      </c>
      <c r="AU130" s="1223" t="s">
        <v>270</v>
      </c>
    </row>
    <row r="131" spans="1:47" ht="15.6" x14ac:dyDescent="0.3">
      <c r="A131" s="416">
        <f>(B130*10)+1</f>
        <v>111</v>
      </c>
      <c r="B131" s="362" t="str">
        <f>'Event Details'!D$22</f>
        <v>S</v>
      </c>
      <c r="C131" s="381" t="str">
        <f>'Event Details'!E$22</f>
        <v>BRAT</v>
      </c>
      <c r="D131" s="379"/>
      <c r="E131" s="378"/>
      <c r="F131" s="363">
        <f>VLOOKUP($B130,IF($H130="F",TeamSheetFemale,TeamSheetMale),$Y131-1,FALSE)</f>
        <v>0</v>
      </c>
      <c r="G131" s="380">
        <f>VLOOKUP($B130,IF($H130="F",TeamSheetFemale,TeamSheetMale),$Y131,FALSE)</f>
        <v>0</v>
      </c>
      <c r="H131" s="363">
        <f>VLOOKUP($B130,IF($H130="F",TeamSheetFemale,TeamSheetMale),$Y131+1,FALSE)</f>
        <v>0</v>
      </c>
      <c r="I131" s="364">
        <f>VLOOKUP($B130,IF($H130="F",TeamSheetFemale,TeamSheetMale),$Y131+2,FALSE)</f>
        <v>0</v>
      </c>
      <c r="K131" s="393" t="s">
        <v>271</v>
      </c>
      <c r="L131" s="16" t="str">
        <f t="shared" ref="L131:L138" si="100">LEFT(M131,1)</f>
        <v>U</v>
      </c>
      <c r="M131" s="926" t="s">
        <v>130</v>
      </c>
      <c r="N131" s="926">
        <v>11.04</v>
      </c>
      <c r="O131" s="394" t="str">
        <f>IF(LEN($M131)=1,VLOOKUP(LEFT($M131,1),B131:I138,5,FALSE),IF(LEN($M131)=2,VLOOKUP(LEFT($M131,1),B131:I138,7,FALSE),""))</f>
        <v>U</v>
      </c>
      <c r="P131" s="395" t="str">
        <f>IF(LEN($M131)=1,VLOOKUP(LEFT($M131,1),B131:I138,6,FALSE),IF(LEN($M131)=2,VLOOKUP(LEFT($M131,1),B131:I138,8,FALSE),""))</f>
        <v>Ted Freeman</v>
      </c>
      <c r="Q131" s="406" t="s">
        <v>271</v>
      </c>
      <c r="R131" s="146" t="str">
        <f t="shared" ref="R131:R138" si="101">LEFT(S131,1)</f>
        <v>U</v>
      </c>
      <c r="S131" s="926" t="s">
        <v>726</v>
      </c>
      <c r="T131" s="926">
        <v>9.35</v>
      </c>
      <c r="U131" s="394" t="str">
        <f>IF(LEN($S131)=1,VLOOKUP(LEFT($S131,1),B131:I138,5,FALSE),IF(LEN($S131)=2,VLOOKUP(LEFT($S131,1),B131:I138,7,FALSE),""))</f>
        <v>UU</v>
      </c>
      <c r="V131" s="395" t="str">
        <f>IF(LEN($S131)=1,VLOOKUP(LEFT($S131,1),B131:I138,6,FALSE),IF(LEN($S131)=2,VLOOKUP(LEFT($S131,1),B131:I138,8,FALSE),""))</f>
        <v>Alex Payne</v>
      </c>
      <c r="W131" s="417">
        <f>AN$6</f>
        <v>8</v>
      </c>
      <c r="Y131" s="653">
        <v>7</v>
      </c>
      <c r="Z131" s="653" t="str">
        <f t="shared" ref="Z131:Z138" si="102">IF(LEN(M131)&gt;0,VLOOKUP(LEFT(M131,1),ShortName,5,FALSE),0)</f>
        <v>K&amp;S</v>
      </c>
      <c r="AA131" s="138" t="str">
        <f t="shared" ref="AA131:AA138" si="103">IF(LEN(S131)&gt;0,VLOOKUP(LEFT(S131,1),ShortName,5,FALSE),0)</f>
        <v>K&amp;S</v>
      </c>
      <c r="AC131" s="16" t="str">
        <f t="shared" ref="AC131:AD138" si="104">B131</f>
        <v>S</v>
      </c>
      <c r="AD131" s="419" t="str">
        <f t="shared" si="104"/>
        <v>BRAT</v>
      </c>
      <c r="AE131" s="635">
        <f>IF(ISNA(MATCH(AC131,N131:N140,0)),0,VLOOKUP(AC131,N131:S140,5,FALSE))</f>
        <v>0</v>
      </c>
      <c r="AF131" s="635" t="str">
        <f>IF(ISNA(MATCH(AC131,T131:T140,0))," ",VLOOKUP(AC131,T131:Y140,5,FALSE))</f>
        <v xml:space="preserve"> </v>
      </c>
      <c r="AG131" s="635">
        <f>IF(ISNA(MATCH(AC131,L131:L138,0)),0,VLOOKUP(AC131,L131:N138,3,FALSE))</f>
        <v>0</v>
      </c>
      <c r="AH131" s="635">
        <f>IF(ISNA(MATCH(AC131,R131:R138,0)),0,VLOOKUP(AC131,R131:T138,3,FALSE))</f>
        <v>0</v>
      </c>
      <c r="AI131" s="635">
        <f>IF(ISNA(MATCH(AC131,L131:L138,0)),0,VLOOKUP(AC131,L131:P138,4,FALSE))</f>
        <v>0</v>
      </c>
      <c r="AJ131" s="635">
        <f>IF(ISNA(MATCH(AC131,R131:R138,0)),0,VLOOKUP(AC131,R131:U138,4,FALSE))</f>
        <v>0</v>
      </c>
      <c r="AK131" s="49">
        <f t="shared" ref="AK131:AK138" si="105">IF(AM131=0,0,AN$6-(AM131-1))</f>
        <v>0</v>
      </c>
      <c r="AL131" s="49">
        <f t="shared" ref="AL131:AL138" si="106">IF(AN131=0,0,AN$6-(AN131-1))</f>
        <v>0</v>
      </c>
      <c r="AM131" s="49">
        <f>IF(ISNA(MATCH(AC131,L131:L138,0)),0,VLOOKUP(AC131,L131:W138,AM$1,FALSE))</f>
        <v>0</v>
      </c>
      <c r="AN131" s="138">
        <f>IF(ISNA(MATCH(AC131,R131:R138,0)),0,VLOOKUP(AC131,R131:W138,AN$1,FALSE))</f>
        <v>0</v>
      </c>
      <c r="AP131" s="926"/>
      <c r="AQ131" s="926"/>
      <c r="AS131" s="32">
        <f>IF(LEN(N131)&gt;0,1,0)</f>
        <v>1</v>
      </c>
      <c r="AT131" s="32">
        <f>IF(AND(AS131=1,H130="M"),1,0)</f>
        <v>1</v>
      </c>
      <c r="AU131" s="32">
        <f>IF(AND(AS131=1,H130="F"),1,0)</f>
        <v>0</v>
      </c>
    </row>
    <row r="132" spans="1:47" ht="15.6" x14ac:dyDescent="0.3">
      <c r="A132" s="417">
        <f>A131+1</f>
        <v>112</v>
      </c>
      <c r="B132" s="362" t="str">
        <f>'Event Details'!D$23</f>
        <v>U</v>
      </c>
      <c r="C132" s="381" t="str">
        <f>'Event Details'!E$23</f>
        <v>Kidder &amp; Stourport</v>
      </c>
      <c r="D132" s="379"/>
      <c r="E132" s="378"/>
      <c r="F132" s="363" t="str">
        <f>VLOOKUP($B130,IF($H130="F",TeamSheetFemale,TeamSheetMale),$Y132-1,FALSE)</f>
        <v>U</v>
      </c>
      <c r="G132" s="380" t="str">
        <f>VLOOKUP($B130,IF($H130="F",TeamSheetFemale,TeamSheetMale),$Y132,FALSE)</f>
        <v>Ted Freeman</v>
      </c>
      <c r="H132" s="363" t="str">
        <f>VLOOKUP($B130,IF($H130="F",TeamSheetFemale,TeamSheetMale),$Y132+1,FALSE)</f>
        <v>UU</v>
      </c>
      <c r="I132" s="364" t="str">
        <f>VLOOKUP($B130,IF($H130="F",TeamSheetFemale,TeamSheetMale),$Y132+2,FALSE)</f>
        <v>Alex Payne</v>
      </c>
      <c r="K132" s="341" t="s">
        <v>272</v>
      </c>
      <c r="L132" s="16" t="str">
        <f t="shared" si="100"/>
        <v>D</v>
      </c>
      <c r="M132" s="927" t="s">
        <v>513</v>
      </c>
      <c r="N132" s="927">
        <v>7.03</v>
      </c>
      <c r="O132" s="354">
        <f>IF(LEN($M132)=1,VLOOKUP(LEFT($M132,1),B131:I138,5,FALSE),IF(LEN($M132)=2,VLOOKUP(LEFT($M132,1),B131:I138,7,FALSE),""))</f>
        <v>0</v>
      </c>
      <c r="P132" s="410">
        <f>IF(LEN($M132)=1,VLOOKUP(LEFT($M132,1),B131:I138,6,FALSE),IF(LEN($M132)=2,VLOOKUP(LEFT($M132,1),B131:I138,8,FALSE),""))</f>
        <v>0</v>
      </c>
      <c r="Q132" s="371" t="s">
        <v>272</v>
      </c>
      <c r="R132" s="146" t="str">
        <f t="shared" si="101"/>
        <v/>
      </c>
      <c r="S132" s="927"/>
      <c r="T132" s="927"/>
      <c r="U132" s="354" t="str">
        <f>IF(LEN($S132)=1,VLOOKUP(LEFT($S132,1),B131:I138,5,FALSE),IF(LEN($S132)=2,VLOOKUP(LEFT($S132,1),B131:I138,7,FALSE),""))</f>
        <v/>
      </c>
      <c r="V132" s="410" t="str">
        <f>IF(LEN($S132)=1,VLOOKUP(LEFT($S132,1),B131:I138,6,FALSE),IF(LEN($S132)=2,VLOOKUP(LEFT($S132,1),B131:I138,8,FALSE),""))</f>
        <v/>
      </c>
      <c r="W132" s="417">
        <f>W131-1</f>
        <v>7</v>
      </c>
      <c r="Y132" s="16">
        <v>12</v>
      </c>
      <c r="Z132" s="16" t="str">
        <f t="shared" si="102"/>
        <v>Strat</v>
      </c>
      <c r="AA132" s="146">
        <f t="shared" si="103"/>
        <v>0</v>
      </c>
      <c r="AC132" s="16" t="str">
        <f t="shared" si="104"/>
        <v>U</v>
      </c>
      <c r="AD132" s="419" t="str">
        <f t="shared" si="104"/>
        <v>Kidder &amp; Stourport</v>
      </c>
      <c r="AE132" s="419">
        <f>IF(ISNA(MATCH(AC132,N131:N140,0)),0,VLOOKUP(AC132,N131:S140,5,FALSE))</f>
        <v>0</v>
      </c>
      <c r="AF132" s="419" t="str">
        <f>IF(ISNA(MATCH(AC132,T131:T140,0))," ",VLOOKUP(AC132,T131:Y140,5,FALSE))</f>
        <v xml:space="preserve"> </v>
      </c>
      <c r="AG132" s="419">
        <f>IF(ISNA(MATCH(AC132,L131:L138,0)),0,VLOOKUP(AC132,L131:N138,3,FALSE))</f>
        <v>11.04</v>
      </c>
      <c r="AH132" s="419">
        <f>IF(ISNA(MATCH(AC132,R131:R138,0)),0,VLOOKUP(AC132,R131:T138,3,FALSE))</f>
        <v>9.35</v>
      </c>
      <c r="AI132" s="419" t="str">
        <f>IF(ISNA(MATCH(AC132,L131:L138,0)),0,VLOOKUP(AC132,L131:P138,4,FALSE))</f>
        <v>U</v>
      </c>
      <c r="AJ132" s="419" t="str">
        <f>IF(ISNA(MATCH(AC132,R131:R138,0)),0,VLOOKUP(AC132,R131:U138,4,FALSE))</f>
        <v>UU</v>
      </c>
      <c r="AK132" s="32">
        <f t="shared" si="105"/>
        <v>1</v>
      </c>
      <c r="AL132" s="32">
        <f t="shared" si="106"/>
        <v>1</v>
      </c>
      <c r="AM132" s="32">
        <f>IF(ISNA(MATCH(AC132,L131:L138,0)),0,VLOOKUP(AC132,L131:W138,AM$1,FALSE))</f>
        <v>8</v>
      </c>
      <c r="AN132" s="146">
        <f>IF(ISNA(MATCH(AC132,R131:R138,0)),0,VLOOKUP(AC132,R131:W138,AN$1,FALSE))</f>
        <v>8</v>
      </c>
      <c r="AP132" s="927"/>
      <c r="AQ132" s="927"/>
    </row>
    <row r="133" spans="1:47" ht="15.6" x14ac:dyDescent="0.3">
      <c r="A133" s="417">
        <f t="shared" ref="A133:A138" si="107">A132+1</f>
        <v>113</v>
      </c>
      <c r="B133" s="362" t="str">
        <f>'Event Details'!D$24</f>
        <v>G</v>
      </c>
      <c r="C133" s="381" t="str">
        <f>'Event Details'!E$24</f>
        <v>Royal Sutton</v>
      </c>
      <c r="D133" s="379"/>
      <c r="E133" s="378"/>
      <c r="F133" s="363" t="str">
        <f>VLOOKUP($B130,IF($H130="F",TeamSheetFemale,TeamSheetMale),$Y133-1,FALSE)</f>
        <v>G</v>
      </c>
      <c r="G133" s="380">
        <f>VLOOKUP($B130,IF($H130="F",TeamSheetFemale,TeamSheetMale),$Y133,FALSE)</f>
        <v>0</v>
      </c>
      <c r="H133" s="363" t="str">
        <f>VLOOKUP($B130,IF($H130="F",TeamSheetFemale,TeamSheetMale),$Y133+1,FALSE)</f>
        <v>GG</v>
      </c>
      <c r="I133" s="364">
        <f>VLOOKUP($B130,IF($H130="F",TeamSheetFemale,TeamSheetMale),$Y133+2,FALSE)</f>
        <v>0</v>
      </c>
      <c r="K133" s="341" t="s">
        <v>273</v>
      </c>
      <c r="L133" s="16" t="str">
        <f t="shared" si="100"/>
        <v/>
      </c>
      <c r="M133" s="927"/>
      <c r="N133" s="927"/>
      <c r="O133" s="354" t="str">
        <f>IF(LEN($M133)=1,VLOOKUP(LEFT($M133,1),B131:I138,5,FALSE),IF(LEN($M133)=2,VLOOKUP(LEFT($M133,1),B131:I138,7,FALSE),""))</f>
        <v/>
      </c>
      <c r="P133" s="410" t="str">
        <f>IF(LEN($M133)=1,VLOOKUP(LEFT($M133,1),B131:I138,6,FALSE),IF(LEN($M133)=2,VLOOKUP(LEFT($M133,1),B131:I138,8,FALSE),""))</f>
        <v/>
      </c>
      <c r="Q133" s="371" t="s">
        <v>273</v>
      </c>
      <c r="R133" s="146" t="str">
        <f t="shared" si="101"/>
        <v/>
      </c>
      <c r="S133" s="927"/>
      <c r="T133" s="927"/>
      <c r="U133" s="354" t="str">
        <f>IF(LEN($S133)=1,VLOOKUP(LEFT($S133,1),B131:I138,5,FALSE),IF(LEN($S133)=2,VLOOKUP(LEFT($S133,1),B131:I138,7,FALSE),""))</f>
        <v/>
      </c>
      <c r="V133" s="410" t="str">
        <f>IF(LEN($S133)=1,VLOOKUP(LEFT($S133,1),B131:I138,6,FALSE),IF(LEN($S133)=2,VLOOKUP(LEFT($S133,1),B131:I138,8,FALSE),""))</f>
        <v/>
      </c>
      <c r="W133" s="417">
        <f t="shared" ref="W133:W138" si="108">W132-1</f>
        <v>6</v>
      </c>
      <c r="Y133" s="16">
        <v>17</v>
      </c>
      <c r="Z133" s="16">
        <f t="shared" si="102"/>
        <v>0</v>
      </c>
      <c r="AA133" s="146">
        <f t="shared" si="103"/>
        <v>0</v>
      </c>
      <c r="AC133" s="16" t="str">
        <f t="shared" si="104"/>
        <v>G</v>
      </c>
      <c r="AD133" s="419" t="str">
        <f t="shared" si="104"/>
        <v>Royal Sutton</v>
      </c>
      <c r="AE133" s="419">
        <f>IF(ISNA(MATCH(AC133,N131:N140,0)),0,VLOOKUP(AC133,N131:S140,5,FALSE))</f>
        <v>0</v>
      </c>
      <c r="AF133" s="419" t="str">
        <f>IF(ISNA(MATCH(AC133,T131:T140,0))," ",VLOOKUP(AC133,T131:Y140,5,FALSE))</f>
        <v xml:space="preserve"> </v>
      </c>
      <c r="AG133" s="419">
        <f>IF(ISNA(MATCH(AC133,L131:L138,0)),0,VLOOKUP(AC133,L131:N138,3,FALSE))</f>
        <v>0</v>
      </c>
      <c r="AH133" s="419">
        <f>IF(ISNA(MATCH(AC133,R131:R138,0)),0,VLOOKUP(AC133,R131:T138,3,FALSE))</f>
        <v>0</v>
      </c>
      <c r="AI133" s="419">
        <f>IF(ISNA(MATCH(AC133,L131:L138,0)),0,VLOOKUP(AC133,L131:P138,4,FALSE))</f>
        <v>0</v>
      </c>
      <c r="AJ133" s="419">
        <f>IF(ISNA(MATCH(AC133,R131:R138,0)),0,VLOOKUP(AC133,R131:U138,4,FALSE))</f>
        <v>0</v>
      </c>
      <c r="AK133" s="32">
        <f t="shared" si="105"/>
        <v>0</v>
      </c>
      <c r="AL133" s="32">
        <f t="shared" si="106"/>
        <v>0</v>
      </c>
      <c r="AM133" s="32">
        <f>IF(ISNA(MATCH(AC133,L131:L138,0)),0,VLOOKUP(AC133,L131:W138,AM$1,FALSE))</f>
        <v>0</v>
      </c>
      <c r="AN133" s="146">
        <f>IF(ISNA(MATCH(AC133,R131:R138,0)),0,VLOOKUP(AC133,R131:W138,AN$1,FALSE))</f>
        <v>0</v>
      </c>
      <c r="AP133" s="927"/>
      <c r="AQ133" s="927"/>
    </row>
    <row r="134" spans="1:47" ht="15.6" x14ac:dyDescent="0.3">
      <c r="A134" s="417">
        <f t="shared" si="107"/>
        <v>114</v>
      </c>
      <c r="B134" s="362" t="str">
        <f>'Event Details'!D$25</f>
        <v>R</v>
      </c>
      <c r="C134" s="381" t="str">
        <f>'Event Details'!E$25</f>
        <v>Rugby &amp; N'hampton</v>
      </c>
      <c r="D134" s="379"/>
      <c r="E134" s="378"/>
      <c r="F134" s="363" t="str">
        <f>VLOOKUP($B130,IF($H130="F",TeamSheetFemale,TeamSheetMale),$Y134-1,FALSE)</f>
        <v>R</v>
      </c>
      <c r="G134" s="380">
        <f>VLOOKUP($B130,IF($H130="F",TeamSheetFemale,TeamSheetMale),$Y134,FALSE)</f>
        <v>0</v>
      </c>
      <c r="H134" s="363" t="str">
        <f>VLOOKUP($B130,IF($H130="F",TeamSheetFemale,TeamSheetMale),$Y134+1,FALSE)</f>
        <v>RR</v>
      </c>
      <c r="I134" s="364">
        <f>VLOOKUP($B130,IF($H130="F",TeamSheetFemale,TeamSheetMale),$Y134+2,FALSE)</f>
        <v>0</v>
      </c>
      <c r="K134" s="341" t="s">
        <v>274</v>
      </c>
      <c r="L134" s="16" t="str">
        <f t="shared" si="100"/>
        <v/>
      </c>
      <c r="M134" s="927"/>
      <c r="N134" s="927"/>
      <c r="O134" s="354" t="str">
        <f>IF(LEN($M134)=1,VLOOKUP(LEFT($M134,1),B131:I138,5,FALSE),IF(LEN($M134)=2,VLOOKUP(LEFT($M134,1),B131:I138,7,FALSE),""))</f>
        <v/>
      </c>
      <c r="P134" s="410" t="str">
        <f>IF(LEN($M134)=1,VLOOKUP(LEFT($M134,1),B131:I138,6,FALSE),IF(LEN($M134)=2,VLOOKUP(LEFT($M134,1),B131:I138,8,FALSE),""))</f>
        <v/>
      </c>
      <c r="Q134" s="371" t="s">
        <v>274</v>
      </c>
      <c r="R134" s="146" t="str">
        <f t="shared" si="101"/>
        <v/>
      </c>
      <c r="S134" s="927"/>
      <c r="T134" s="927"/>
      <c r="U134" s="354" t="str">
        <f>IF(LEN($S134)=1,VLOOKUP(LEFT($S134,1),B131:I138,5,FALSE),IF(LEN($S134)=2,VLOOKUP(LEFT($S134,1),B131:I138,7,FALSE),""))</f>
        <v/>
      </c>
      <c r="V134" s="410" t="str">
        <f>IF(LEN($S134)=1,VLOOKUP(LEFT($S134,1),B131:I138,6,FALSE),IF(LEN($S134)=2,VLOOKUP(LEFT($S134,1),B131:I138,8,FALSE),""))</f>
        <v/>
      </c>
      <c r="W134" s="417">
        <f t="shared" si="108"/>
        <v>5</v>
      </c>
      <c r="Y134" s="16">
        <v>22</v>
      </c>
      <c r="Z134" s="16">
        <f t="shared" si="102"/>
        <v>0</v>
      </c>
      <c r="AA134" s="146">
        <f t="shared" si="103"/>
        <v>0</v>
      </c>
      <c r="AC134" s="16" t="str">
        <f t="shared" si="104"/>
        <v>R</v>
      </c>
      <c r="AD134" s="419" t="str">
        <f t="shared" si="104"/>
        <v>Rugby &amp; N'hampton</v>
      </c>
      <c r="AE134" s="419">
        <f>IF(ISNA(MATCH(AC134,N131:N140,0)),0,VLOOKUP(AC134,N131:S140,5,FALSE))</f>
        <v>0</v>
      </c>
      <c r="AF134" s="419" t="str">
        <f>IF(ISNA(MATCH(AC134,T131:T140,0))," ",VLOOKUP(AC134,T131:Y140,5,FALSE))</f>
        <v xml:space="preserve"> </v>
      </c>
      <c r="AG134" s="419">
        <f>IF(ISNA(MATCH(AC134,L131:L138,0)),0,VLOOKUP(AC134,L131:N138,3,FALSE))</f>
        <v>0</v>
      </c>
      <c r="AH134" s="419">
        <f>IF(ISNA(MATCH(AC134,R131:R138,0)),0,VLOOKUP(AC134,R131:T138,3,FALSE))</f>
        <v>0</v>
      </c>
      <c r="AI134" s="419">
        <f>IF(ISNA(MATCH(AC134,L131:L138,0)),0,VLOOKUP(AC134,L131:P138,4,FALSE))</f>
        <v>0</v>
      </c>
      <c r="AJ134" s="419">
        <f>IF(ISNA(MATCH(AC134,R131:R138,0)),0,VLOOKUP(AC134,R131:U138,4,FALSE))</f>
        <v>0</v>
      </c>
      <c r="AK134" s="32">
        <f t="shared" si="105"/>
        <v>0</v>
      </c>
      <c r="AL134" s="32">
        <f t="shared" si="106"/>
        <v>0</v>
      </c>
      <c r="AM134" s="32">
        <f>IF(ISNA(MATCH(AC134,L131:L138,0)),0,VLOOKUP(AC134,L131:W138,AM$1,FALSE))</f>
        <v>0</v>
      </c>
      <c r="AN134" s="146">
        <f>IF(ISNA(MATCH(AC134,R131:R138,0)),0,VLOOKUP(AC134,R131:W138,AN$1,FALSE))</f>
        <v>0</v>
      </c>
      <c r="AP134" s="927"/>
      <c r="AQ134" s="927"/>
    </row>
    <row r="135" spans="1:47" ht="15.6" x14ac:dyDescent="0.3">
      <c r="A135" s="417">
        <f t="shared" si="107"/>
        <v>115</v>
      </c>
      <c r="B135" s="362" t="str">
        <f>'Event Details'!D$26</f>
        <v>M</v>
      </c>
      <c r="C135" s="381" t="str">
        <f>'Event Details'!E$26</f>
        <v>Solihull &amp; S.Heath</v>
      </c>
      <c r="D135" s="379"/>
      <c r="E135" s="378"/>
      <c r="F135" s="363">
        <f>VLOOKUP($B130,IF($H130="F",TeamSheetFemale,TeamSheetMale),$Y135-1,FALSE)</f>
        <v>0</v>
      </c>
      <c r="G135" s="380">
        <f>VLOOKUP($B130,IF($H130="F",TeamSheetFemale,TeamSheetMale),$Y135,FALSE)</f>
        <v>0</v>
      </c>
      <c r="H135" s="363">
        <f>VLOOKUP($B130,IF($H130="F",TeamSheetFemale,TeamSheetMale),$Y135+1,FALSE)</f>
        <v>0</v>
      </c>
      <c r="I135" s="364">
        <f>VLOOKUP($B130,IF($H130="F",TeamSheetFemale,TeamSheetMale),$Y135+2,FALSE)</f>
        <v>0</v>
      </c>
      <c r="K135" s="341" t="s">
        <v>275</v>
      </c>
      <c r="L135" s="16" t="str">
        <f t="shared" si="100"/>
        <v/>
      </c>
      <c r="M135" s="927"/>
      <c r="N135" s="927"/>
      <c r="O135" s="354" t="str">
        <f>IF(LEN($M135)=1,VLOOKUP(LEFT($M135,1),B131:I138,5,FALSE),IF(LEN($M135)=2,VLOOKUP(LEFT($M135,1),B131:I138,7,FALSE),""))</f>
        <v/>
      </c>
      <c r="P135" s="410" t="str">
        <f>IF(LEN($M135)=1,VLOOKUP(LEFT($M135,1),B131:I138,6,FALSE),IF(LEN($M135)=2,VLOOKUP(LEFT($M135,1),B131:I138,8,FALSE),""))</f>
        <v/>
      </c>
      <c r="Q135" s="371" t="s">
        <v>275</v>
      </c>
      <c r="R135" s="146" t="str">
        <f t="shared" si="101"/>
        <v/>
      </c>
      <c r="S135" s="927"/>
      <c r="T135" s="927"/>
      <c r="U135" s="354" t="str">
        <f>IF(LEN($S135)=1,VLOOKUP(LEFT($S135,1),B131:I138,5,FALSE),IF(LEN($S135)=2,VLOOKUP(LEFT($S135,1),B131:I138,7,FALSE),""))</f>
        <v/>
      </c>
      <c r="V135" s="410" t="str">
        <f>IF(LEN($S135)=1,VLOOKUP(LEFT($S135,1),B131:I138,6,FALSE),IF(LEN($S135)=2,VLOOKUP(LEFT($S135,1),B131:I138,8,FALSE),""))</f>
        <v/>
      </c>
      <c r="W135" s="417">
        <f t="shared" si="108"/>
        <v>4</v>
      </c>
      <c r="Y135" s="16">
        <v>27</v>
      </c>
      <c r="Z135" s="16">
        <f t="shared" si="102"/>
        <v>0</v>
      </c>
      <c r="AA135" s="146">
        <f t="shared" si="103"/>
        <v>0</v>
      </c>
      <c r="AC135" s="16" t="str">
        <f t="shared" si="104"/>
        <v>M</v>
      </c>
      <c r="AD135" s="419" t="str">
        <f t="shared" si="104"/>
        <v>Solihull &amp; S.Heath</v>
      </c>
      <c r="AE135" s="419">
        <f>IF(ISNA(MATCH(AC135,N131:N140,0)),0,VLOOKUP(AC135,N131:S140,5,FALSE))</f>
        <v>0</v>
      </c>
      <c r="AF135" s="419" t="str">
        <f>IF(ISNA(MATCH(AC135,T131:T140,0))," ",VLOOKUP(AC135,T131:Y140,5,FALSE))</f>
        <v xml:space="preserve"> </v>
      </c>
      <c r="AG135" s="419">
        <f>IF(ISNA(MATCH(AC135,L131:L138,0)),0,VLOOKUP(AC135,L131:N138,3,FALSE))</f>
        <v>0</v>
      </c>
      <c r="AH135" s="419">
        <f>IF(ISNA(MATCH(AC135,R131:R138,0)),0,VLOOKUP(AC135,R131:T138,3,FALSE))</f>
        <v>0</v>
      </c>
      <c r="AI135" s="419">
        <f>IF(ISNA(MATCH(AC135,L131:L138,0)),0,VLOOKUP(AC135,L131:P138,4,FALSE))</f>
        <v>0</v>
      </c>
      <c r="AJ135" s="419">
        <f>IF(ISNA(MATCH(AC135,R131:R138,0)),0,VLOOKUP(AC135,R131:U138,4,FALSE))</f>
        <v>0</v>
      </c>
      <c r="AK135" s="32">
        <f t="shared" si="105"/>
        <v>0</v>
      </c>
      <c r="AL135" s="32">
        <f t="shared" si="106"/>
        <v>0</v>
      </c>
      <c r="AM135" s="32">
        <f>IF(ISNA(MATCH(AC135,L131:L138,0)),0,VLOOKUP(AC135,L131:W138,AM$1,FALSE))</f>
        <v>0</v>
      </c>
      <c r="AN135" s="146">
        <f>IF(ISNA(MATCH(AC135,R131:R138,0)),0,VLOOKUP(AC135,R131:W138,AN$1,FALSE))</f>
        <v>0</v>
      </c>
      <c r="AP135" s="927"/>
      <c r="AQ135" s="927"/>
    </row>
    <row r="136" spans="1:47" ht="15.6" x14ac:dyDescent="0.3">
      <c r="A136" s="417">
        <f t="shared" si="107"/>
        <v>116</v>
      </c>
      <c r="B136" s="362" t="str">
        <f>'Event Details'!D$27</f>
        <v>D</v>
      </c>
      <c r="C136" s="381" t="str">
        <f>'Event Details'!E$27</f>
        <v>Stratford</v>
      </c>
      <c r="D136" s="379"/>
      <c r="E136" s="378"/>
      <c r="F136" s="363" t="str">
        <f>VLOOKUP($B130,IF($H130="F",TeamSheetFemale,TeamSheetMale),$Y136-1,FALSE)</f>
        <v>D</v>
      </c>
      <c r="G136" s="380" t="str">
        <f>VLOOKUP($B130,IF($H130="F",TeamSheetFemale,TeamSheetMale),$Y136,FALSE)</f>
        <v>Tom Stanton</v>
      </c>
      <c r="H136" s="363">
        <f>VLOOKUP($B130,IF($H130="F",TeamSheetFemale,TeamSheetMale),$Y136+1,FALSE)</f>
        <v>0</v>
      </c>
      <c r="I136" s="364">
        <f>VLOOKUP($B130,IF($H130="F",TeamSheetFemale,TeamSheetMale),$Y136+2,FALSE)</f>
        <v>0</v>
      </c>
      <c r="K136" s="341" t="s">
        <v>276</v>
      </c>
      <c r="L136" s="16" t="str">
        <f t="shared" si="100"/>
        <v/>
      </c>
      <c r="M136" s="927"/>
      <c r="N136" s="927"/>
      <c r="O136" s="354" t="str">
        <f>IF(LEN($M136)=1,VLOOKUP(LEFT($M136,1),B131:I138,5,FALSE),IF(LEN($M136)=2,VLOOKUP(LEFT($M136,1),B131:I138,7,FALSE),""))</f>
        <v/>
      </c>
      <c r="P136" s="410" t="str">
        <f>IF(LEN($M136)=1,VLOOKUP(LEFT($M136,1),B131:I138,6,FALSE),IF(LEN($M136)=2,VLOOKUP(LEFT($M136,1),B131:I138,8,FALSE),""))</f>
        <v/>
      </c>
      <c r="Q136" s="371" t="s">
        <v>276</v>
      </c>
      <c r="R136" s="146" t="str">
        <f t="shared" si="101"/>
        <v/>
      </c>
      <c r="S136" s="927"/>
      <c r="T136" s="927"/>
      <c r="U136" s="354" t="str">
        <f>IF(LEN($S136)=1,VLOOKUP(LEFT($S136,1),B131:I138,5,FALSE),IF(LEN($S136)=2,VLOOKUP(LEFT($S136,1),B131:I138,7,FALSE),""))</f>
        <v/>
      </c>
      <c r="V136" s="410" t="str">
        <f>IF(LEN($S136)=1,VLOOKUP(LEFT($S136,1),B131:I138,6,FALSE),IF(LEN($S136)=2,VLOOKUP(LEFT($S136,1),B131:I138,8,FALSE),""))</f>
        <v/>
      </c>
      <c r="W136" s="417">
        <f t="shared" si="108"/>
        <v>3</v>
      </c>
      <c r="Y136" s="16">
        <v>32</v>
      </c>
      <c r="Z136" s="16">
        <f t="shared" si="102"/>
        <v>0</v>
      </c>
      <c r="AA136" s="146">
        <f t="shared" si="103"/>
        <v>0</v>
      </c>
      <c r="AC136" s="16" t="str">
        <f t="shared" si="104"/>
        <v>D</v>
      </c>
      <c r="AD136" s="419" t="str">
        <f t="shared" si="104"/>
        <v>Stratford</v>
      </c>
      <c r="AE136" s="419">
        <f>IF(ISNA(MATCH(AC136,N131:N140,0)),0,VLOOKUP(AC136,N131:S140,5,FALSE))</f>
        <v>0</v>
      </c>
      <c r="AF136" s="419" t="str">
        <f>IF(ISNA(MATCH(AC136,T131:T140,0))," ",VLOOKUP(AC136,T131:Y140,5,FALSE))</f>
        <v xml:space="preserve"> </v>
      </c>
      <c r="AG136" s="419">
        <f>IF(ISNA(MATCH(AC136,L131:L138,0)),0,VLOOKUP(AC136,L131:N138,3,FALSE))</f>
        <v>7.03</v>
      </c>
      <c r="AH136" s="419">
        <f>IF(ISNA(MATCH(AC136,R131:R138,0)),0,VLOOKUP(AC136,R131:T138,3,FALSE))</f>
        <v>0</v>
      </c>
      <c r="AI136" s="419">
        <f>IF(ISNA(MATCH(AC136,L131:L138,0)),0,VLOOKUP(AC136,L131:P138,4,FALSE))</f>
        <v>0</v>
      </c>
      <c r="AJ136" s="419">
        <f>IF(ISNA(MATCH(AC136,R131:R138,0)),0,VLOOKUP(AC136,R131:U138,4,FALSE))</f>
        <v>0</v>
      </c>
      <c r="AK136" s="32">
        <f t="shared" si="105"/>
        <v>2</v>
      </c>
      <c r="AL136" s="32">
        <f t="shared" si="106"/>
        <v>0</v>
      </c>
      <c r="AM136" s="32">
        <f>IF(ISNA(MATCH(AC136,L131:L138,0)),0,VLOOKUP(AC136,L131:W138,AM$1,FALSE))</f>
        <v>7</v>
      </c>
      <c r="AN136" s="146">
        <f>IF(ISNA(MATCH(AC136,R131:R138,0)),0,VLOOKUP(AC136,R131:W138,AN$1,FALSE))</f>
        <v>0</v>
      </c>
      <c r="AP136" s="927"/>
      <c r="AQ136" s="927"/>
    </row>
    <row r="137" spans="1:47" ht="15.6" x14ac:dyDescent="0.3">
      <c r="A137" s="417">
        <f t="shared" si="107"/>
        <v>117</v>
      </c>
      <c r="B137" s="362" t="str">
        <f>'Event Details'!D$28</f>
        <v>F</v>
      </c>
      <c r="C137" s="381" t="str">
        <f>'Event Details'!E$28</f>
        <v>Tamworth</v>
      </c>
      <c r="D137" s="379"/>
      <c r="E137" s="378"/>
      <c r="F137" s="363" t="str">
        <f>VLOOKUP($B130,IF($H130="F",TeamSheetFemale,TeamSheetMale),$Y137-1,FALSE)</f>
        <v>F</v>
      </c>
      <c r="G137" s="380" t="str">
        <f>VLOOKUP($B130,IF($H130="F",TeamSheetFemale,TeamSheetMale),$Y137,FALSE)</f>
        <v>Oliver Ciszecki</v>
      </c>
      <c r="H137" s="363">
        <f>VLOOKUP($B130,IF($H130="F",TeamSheetFemale,TeamSheetMale),$Y137+1,FALSE)</f>
        <v>0</v>
      </c>
      <c r="I137" s="364">
        <f>VLOOKUP($B130,IF($H130="F",TeamSheetFemale,TeamSheetMale),$Y137+2,FALSE)</f>
        <v>0</v>
      </c>
      <c r="K137" s="341" t="s">
        <v>277</v>
      </c>
      <c r="L137" s="16" t="str">
        <f t="shared" si="100"/>
        <v/>
      </c>
      <c r="M137" s="927"/>
      <c r="N137" s="927"/>
      <c r="O137" s="354" t="str">
        <f>IF(LEN($M137)=1,VLOOKUP(LEFT($M137,1),B131:I138,5,FALSE),IF(LEN($M137)=2,VLOOKUP(LEFT($M137,1),B131:I138,7,FALSE),""))</f>
        <v/>
      </c>
      <c r="P137" s="410" t="str">
        <f>IF(LEN($M137)=1,VLOOKUP(LEFT($M137,1),B131:I138,6,FALSE),IF(LEN($M137)=2,VLOOKUP(LEFT($M137,1),B131:I138,8,FALSE),""))</f>
        <v/>
      </c>
      <c r="Q137" s="371" t="s">
        <v>277</v>
      </c>
      <c r="R137" s="146" t="str">
        <f t="shared" si="101"/>
        <v/>
      </c>
      <c r="S137" s="927"/>
      <c r="T137" s="927"/>
      <c r="U137" s="354" t="str">
        <f>IF(LEN($S137)=1,VLOOKUP(LEFT($S137,1),B131:I138,5,FALSE),IF(LEN($S137)=2,VLOOKUP(LEFT($S137,1),B131:I138,7,FALSE),""))</f>
        <v/>
      </c>
      <c r="V137" s="410" t="str">
        <f>IF(LEN($S137)=1,VLOOKUP(LEFT($S137,1),B131:I138,6,FALSE),IF(LEN($S137)=2,VLOOKUP(LEFT($S137,1),B131:I138,8,FALSE),""))</f>
        <v/>
      </c>
      <c r="W137" s="417">
        <f t="shared" si="108"/>
        <v>2</v>
      </c>
      <c r="Y137" s="16">
        <v>37</v>
      </c>
      <c r="Z137" s="16">
        <f t="shared" si="102"/>
        <v>0</v>
      </c>
      <c r="AA137" s="146">
        <f t="shared" si="103"/>
        <v>0</v>
      </c>
      <c r="AC137" s="16" t="str">
        <f t="shared" si="104"/>
        <v>F</v>
      </c>
      <c r="AD137" s="419" t="str">
        <f t="shared" si="104"/>
        <v>Tamworth</v>
      </c>
      <c r="AE137" s="419">
        <f>IF(ISNA(MATCH(AC137,N129:N138,0)),0,VLOOKUP(AC137,N129:S138,5,FALSE))</f>
        <v>0</v>
      </c>
      <c r="AF137" s="419" t="str">
        <f>IF(ISNA(MATCH(AC137,T129:T138,0))," ",VLOOKUP(AC137,T129:Y138,5,FALSE))</f>
        <v xml:space="preserve"> </v>
      </c>
      <c r="AG137" s="419">
        <f>IF(ISNA(MATCH(AC137,L131:L138,0)),0,VLOOKUP(AC137,L131:N138,3,FALSE))</f>
        <v>0</v>
      </c>
      <c r="AH137" s="419">
        <f>IF(ISNA(MATCH(AC137,R131:R138,0)),0,VLOOKUP(AC137,R131:T138,3,FALSE))</f>
        <v>0</v>
      </c>
      <c r="AI137" s="419">
        <f>IF(ISNA(MATCH(AC137,L131:L138,0)),0,VLOOKUP(AC137,L131:P138,4,FALSE))</f>
        <v>0</v>
      </c>
      <c r="AJ137" s="419">
        <f>IF(ISNA(MATCH(AC137,R131:R138,0)),0,VLOOKUP(AC137,R131:U138,4,FALSE))</f>
        <v>0</v>
      </c>
      <c r="AK137" s="32">
        <f t="shared" si="105"/>
        <v>0</v>
      </c>
      <c r="AL137" s="32">
        <f t="shared" si="106"/>
        <v>0</v>
      </c>
      <c r="AM137" s="32">
        <f>IF(ISNA(MATCH(AC137,L131:L138,0)),0,VLOOKUP(AC137,L131:W138,AM$1,FALSE))</f>
        <v>0</v>
      </c>
      <c r="AN137" s="146">
        <f>IF(ISNA(MATCH(AC137,R131:R138,0)),0,VLOOKUP(AC137,R131:W138,AN$1,FALSE))</f>
        <v>0</v>
      </c>
      <c r="AP137" s="927"/>
      <c r="AQ137" s="927"/>
    </row>
    <row r="138" spans="1:47" ht="16.2" thickBot="1" x14ac:dyDescent="0.35">
      <c r="A138" s="418">
        <f t="shared" si="107"/>
        <v>118</v>
      </c>
      <c r="B138" s="365" t="str">
        <f>'Event Details'!D$29</f>
        <v>Y</v>
      </c>
      <c r="C138" s="366" t="str">
        <f>'Event Details'!E$29</f>
        <v>Worcester</v>
      </c>
      <c r="D138" s="361"/>
      <c r="E138" s="370"/>
      <c r="F138" s="367">
        <f>VLOOKUP($B130,IF($H130="F",TeamSheetFemale,TeamSheetMale),$Y138-1,FALSE)</f>
        <v>0</v>
      </c>
      <c r="G138" s="368">
        <f>VLOOKUP($B130,IF($H130="F",TeamSheetFemale,TeamSheetMale),$Y138,FALSE)</f>
        <v>0</v>
      </c>
      <c r="H138" s="367">
        <f>VLOOKUP($B130,IF($H130="F",TeamSheetFemale,TeamSheetMale),$Y138+1,FALSE)</f>
        <v>0</v>
      </c>
      <c r="I138" s="369">
        <f>VLOOKUP($B130,IF($H130="F",TeamSheetFemale,TeamSheetMale),$Y138+2,FALSE)</f>
        <v>0</v>
      </c>
      <c r="K138" s="346" t="s">
        <v>278</v>
      </c>
      <c r="L138" s="25" t="str">
        <f t="shared" si="100"/>
        <v/>
      </c>
      <c r="M138" s="928"/>
      <c r="N138" s="932"/>
      <c r="O138" s="374" t="str">
        <f>IF(LEN($M138)=1,VLOOKUP(LEFT($M138,1),B131:I138,5,FALSE),IF(LEN($M138)=2,VLOOKUP(LEFT($M138,1),B131:I138,7,FALSE),""))</f>
        <v/>
      </c>
      <c r="P138" s="411" t="str">
        <f>IF(LEN($M138)=1,VLOOKUP(LEFT($M138,1),B131:I138,6,FALSE),IF(LEN($M138)=2,VLOOKUP(LEFT($M138,1),B131:I138,8,FALSE),""))</f>
        <v/>
      </c>
      <c r="Q138" s="407" t="s">
        <v>278</v>
      </c>
      <c r="R138" s="523" t="str">
        <f t="shared" si="101"/>
        <v/>
      </c>
      <c r="S138" s="928"/>
      <c r="T138" s="932"/>
      <c r="U138" s="374" t="str">
        <f>IF(LEN($S138)=1,VLOOKUP(LEFT($S138,1),B131:I138,5,FALSE),IF(LEN($S138)=2,VLOOKUP(LEFT($S138,1),B131:I138,7,FALSE),""))</f>
        <v/>
      </c>
      <c r="V138" s="411" t="str">
        <f>IF(LEN($S138)=1,VLOOKUP(LEFT($S138,1),B131:I138,6,FALSE),IF(LEN($S138)=2,VLOOKUP(LEFT($S138,1),B131:I138,8,FALSE),""))</f>
        <v/>
      </c>
      <c r="W138" s="418">
        <f t="shared" si="108"/>
        <v>1</v>
      </c>
      <c r="Y138" s="25">
        <v>42</v>
      </c>
      <c r="Z138" s="25">
        <f t="shared" si="102"/>
        <v>0</v>
      </c>
      <c r="AA138" s="523">
        <f t="shared" si="103"/>
        <v>0</v>
      </c>
      <c r="AC138" s="25" t="str">
        <f t="shared" si="104"/>
        <v>Y</v>
      </c>
      <c r="AD138" s="624" t="str">
        <f t="shared" si="104"/>
        <v>Worcester</v>
      </c>
      <c r="AE138" s="624">
        <f>IF(ISNA(MATCH(AC138,N130:N139,0)),0,VLOOKUP(AC138,N130:S139,5,FALSE))</f>
        <v>0</v>
      </c>
      <c r="AF138" s="624" t="str">
        <f t="shared" ref="AF138" si="109">IF(ISNA(MATCH(AC138,T130:T139,0))," ",VLOOKUP(AC138,T130:Y139,5,FALSE))</f>
        <v xml:space="preserve"> </v>
      </c>
      <c r="AG138" s="624">
        <f>IF(ISNA(MATCH(AC138,L131:L138,0)),0,VLOOKUP(AC138,L131:N138,3,FALSE))</f>
        <v>0</v>
      </c>
      <c r="AH138" s="624">
        <f>IF(ISNA(MATCH(AC138,R131:R138,0)),0,VLOOKUP(AC138,R131:T138,3,FALSE))</f>
        <v>0</v>
      </c>
      <c r="AI138" s="624">
        <f>IF(ISNA(MATCH(AC138,L131:L138,0)),0,VLOOKUP(AC138,L131:P138,4,FALSE))</f>
        <v>0</v>
      </c>
      <c r="AJ138" s="624">
        <f>IF(ISNA(MATCH(AC138,R131:R138,0)),0,VLOOKUP(AC138,R131:U138,4,FALSE))</f>
        <v>0</v>
      </c>
      <c r="AK138" s="116">
        <f t="shared" si="105"/>
        <v>0</v>
      </c>
      <c r="AL138" s="116">
        <f t="shared" si="106"/>
        <v>0</v>
      </c>
      <c r="AM138" s="116">
        <f>IF(ISNA(MATCH(AC138,L131:L138,0)),0,VLOOKUP(AC138,L131:W138,AM$1,FALSE))</f>
        <v>0</v>
      </c>
      <c r="AN138" s="523">
        <f>IF(ISNA(MATCH(AC138,R131:R138,0)),0,VLOOKUP(AC138,R131:W138,AN$1,FALSE))</f>
        <v>0</v>
      </c>
      <c r="AP138" s="928"/>
      <c r="AQ138" s="932"/>
    </row>
    <row r="139" spans="1:47" ht="15" thickBot="1" x14ac:dyDescent="0.35">
      <c r="M139" s="276"/>
      <c r="N139" s="307"/>
      <c r="S139" s="276"/>
      <c r="T139" s="307"/>
      <c r="AP139" s="276"/>
      <c r="AQ139" s="307"/>
    </row>
    <row r="140" spans="1:47" x14ac:dyDescent="0.3">
      <c r="B140" s="400" t="s">
        <v>258</v>
      </c>
      <c r="C140" s="398"/>
      <c r="D140" s="401" t="s">
        <v>165</v>
      </c>
      <c r="E140" s="398"/>
      <c r="F140" s="398"/>
      <c r="G140" s="402" t="s">
        <v>259</v>
      </c>
      <c r="H140" s="403" t="s">
        <v>249</v>
      </c>
      <c r="I140" s="404" t="s">
        <v>168</v>
      </c>
      <c r="K140" s="360"/>
      <c r="L140" s="661"/>
      <c r="M140" s="929" t="s">
        <v>260</v>
      </c>
      <c r="N140" s="929" t="s">
        <v>261</v>
      </c>
      <c r="O140" s="387" t="s">
        <v>262</v>
      </c>
      <c r="P140" s="388" t="s">
        <v>75</v>
      </c>
      <c r="Q140" s="389"/>
      <c r="R140" s="657"/>
      <c r="S140" s="929" t="s">
        <v>260</v>
      </c>
      <c r="T140" s="929" t="s">
        <v>261</v>
      </c>
      <c r="U140" s="387" t="s">
        <v>262</v>
      </c>
      <c r="V140" s="388" t="s">
        <v>75</v>
      </c>
      <c r="W140" s="672" t="s">
        <v>76</v>
      </c>
      <c r="Y140" s="414" t="s">
        <v>263</v>
      </c>
      <c r="Z140" s="656" t="s">
        <v>74</v>
      </c>
      <c r="AA140" s="657" t="s">
        <v>75</v>
      </c>
      <c r="AC140" s="665" t="s">
        <v>71</v>
      </c>
      <c r="AD140" s="657" t="s">
        <v>86</v>
      </c>
      <c r="AE140" s="661" t="s">
        <v>149</v>
      </c>
      <c r="AF140" s="661" t="s">
        <v>94</v>
      </c>
      <c r="AG140" s="661" t="s">
        <v>149</v>
      </c>
      <c r="AH140" s="661" t="s">
        <v>94</v>
      </c>
      <c r="AI140" s="661" t="s">
        <v>149</v>
      </c>
      <c r="AJ140" s="661" t="s">
        <v>94</v>
      </c>
      <c r="AK140" s="1332" t="s">
        <v>149</v>
      </c>
      <c r="AL140" s="661" t="s">
        <v>94</v>
      </c>
      <c r="AM140" s="1406" t="s">
        <v>76</v>
      </c>
      <c r="AN140" s="1407"/>
      <c r="AP140" s="929" t="s">
        <v>260</v>
      </c>
      <c r="AQ140" s="929" t="s">
        <v>261</v>
      </c>
      <c r="AS140" s="1218" t="s">
        <v>165</v>
      </c>
      <c r="AT140" s="1219" t="s">
        <v>79</v>
      </c>
      <c r="AU140" s="1220" t="s">
        <v>80</v>
      </c>
    </row>
    <row r="141" spans="1:47" ht="15" thickBot="1" x14ac:dyDescent="0.35">
      <c r="B141" s="405">
        <v>12</v>
      </c>
      <c r="C141" s="399"/>
      <c r="D141" s="385" t="str">
        <f>VLOOKUP($B141,EventOrder,6,FALSE)</f>
        <v>Discus Match 2</v>
      </c>
      <c r="E141" s="399"/>
      <c r="F141" s="385"/>
      <c r="G141" s="386" t="str">
        <f>VLOOKUP($B141,EventOrder,4,FALSE)</f>
        <v>U16 Female</v>
      </c>
      <c r="H141" s="396" t="str">
        <f>IF(MID(G141,5,1)="F","F","M")</f>
        <v>F</v>
      </c>
      <c r="I141" s="397">
        <f>VLOOKUP($B141,EventOrder,2,FALSE)</f>
        <v>12.15</v>
      </c>
      <c r="K141" s="377"/>
      <c r="L141" s="667" t="s">
        <v>149</v>
      </c>
      <c r="M141" s="930" t="s">
        <v>264</v>
      </c>
      <c r="N141" s="930" t="s">
        <v>265</v>
      </c>
      <c r="O141" s="390" t="s">
        <v>266</v>
      </c>
      <c r="P141" s="391"/>
      <c r="Q141" s="392"/>
      <c r="R141" s="659" t="s">
        <v>94</v>
      </c>
      <c r="S141" s="930" t="s">
        <v>264</v>
      </c>
      <c r="T141" s="930" t="s">
        <v>265</v>
      </c>
      <c r="U141" s="390" t="s">
        <v>266</v>
      </c>
      <c r="V141" s="391"/>
      <c r="W141" s="671"/>
      <c r="Y141" s="415" t="s">
        <v>167</v>
      </c>
      <c r="Z141" s="658" t="s">
        <v>149</v>
      </c>
      <c r="AA141" s="659" t="s">
        <v>94</v>
      </c>
      <c r="AC141" s="666"/>
      <c r="AD141" s="668"/>
      <c r="AE141" s="768" t="s">
        <v>75</v>
      </c>
      <c r="AF141" s="768" t="s">
        <v>75</v>
      </c>
      <c r="AG141" s="768" t="s">
        <v>267</v>
      </c>
      <c r="AH141" s="768" t="s">
        <v>267</v>
      </c>
      <c r="AI141" s="768" t="s">
        <v>268</v>
      </c>
      <c r="AJ141" s="768" t="s">
        <v>268</v>
      </c>
      <c r="AK141" s="770" t="s">
        <v>269</v>
      </c>
      <c r="AL141" s="768" t="s">
        <v>269</v>
      </c>
      <c r="AM141" s="667" t="s">
        <v>149</v>
      </c>
      <c r="AN141" s="659" t="s">
        <v>94</v>
      </c>
      <c r="AP141" s="930" t="s">
        <v>264</v>
      </c>
      <c r="AQ141" s="930" t="s">
        <v>265</v>
      </c>
      <c r="AS141" s="1221" t="s">
        <v>270</v>
      </c>
      <c r="AT141" s="1222" t="s">
        <v>270</v>
      </c>
      <c r="AU141" s="1223" t="s">
        <v>270</v>
      </c>
    </row>
    <row r="142" spans="1:47" ht="15.6" x14ac:dyDescent="0.3">
      <c r="A142" s="416">
        <f>(B141*10)+1</f>
        <v>121</v>
      </c>
      <c r="B142" s="362" t="str">
        <f>'Event Details'!D$22</f>
        <v>S</v>
      </c>
      <c r="C142" s="381" t="str">
        <f>'Event Details'!E$22</f>
        <v>BRAT</v>
      </c>
      <c r="D142" s="379"/>
      <c r="E142" s="378"/>
      <c r="F142" s="363">
        <f>VLOOKUP($B141,IF($H141="F",TeamSheetFemale,TeamSheetMale),$Y142-1,FALSE)</f>
        <v>0</v>
      </c>
      <c r="G142" s="380">
        <f>VLOOKUP($B141,IF($H141="F",TeamSheetFemale,TeamSheetMale),$Y142,FALSE)</f>
        <v>0</v>
      </c>
      <c r="H142" s="363">
        <f>VLOOKUP($B141,IF($H141="F",TeamSheetFemale,TeamSheetMale),$Y142+1,FALSE)</f>
        <v>0</v>
      </c>
      <c r="I142" s="364">
        <f>VLOOKUP($B141,IF($H141="F",TeamSheetFemale,TeamSheetMale),$Y142+2,FALSE)</f>
        <v>0</v>
      </c>
      <c r="K142" s="393" t="s">
        <v>271</v>
      </c>
      <c r="L142" s="16" t="str">
        <f t="shared" ref="L142:L149" si="110">LEFT(M142,1)</f>
        <v/>
      </c>
      <c r="M142" s="926"/>
      <c r="N142" s="926"/>
      <c r="O142" s="394" t="str">
        <f>IF(LEN($M142)=1,VLOOKUP(LEFT($M142,1),B142:I149,5,FALSE),IF(LEN($M142)=2,VLOOKUP(LEFT($M142,1),B142:I149,7,FALSE),""))</f>
        <v/>
      </c>
      <c r="P142" s="395" t="str">
        <f>IF(LEN($M142)=1,VLOOKUP(LEFT($M142,1),B142:I149,6,FALSE),IF(LEN($M142)=2,VLOOKUP(LEFT($M142,1),B142:I149,8,FALSE),""))</f>
        <v/>
      </c>
      <c r="Q142" s="393" t="s">
        <v>271</v>
      </c>
      <c r="R142" s="146" t="str">
        <f t="shared" ref="R142:R149" si="111">LEFT(S142,1)</f>
        <v/>
      </c>
      <c r="S142" s="926"/>
      <c r="T142" s="926"/>
      <c r="U142" s="394" t="str">
        <f>IF(LEN($S142)=1,VLOOKUP(LEFT($S142,1),B142:I149,5,FALSE),IF(LEN($S142)=2,VLOOKUP(LEFT($S142,1),B142:I149,7,FALSE),""))</f>
        <v/>
      </c>
      <c r="V142" s="395" t="str">
        <f>IF(LEN($S142)=1,VLOOKUP(LEFT($S142,1),B142:I149,6,FALSE),IF(LEN($S142)=2,VLOOKUP(LEFT($S142,1),B142:I149,8,FALSE),""))</f>
        <v/>
      </c>
      <c r="W142" s="417">
        <f>AN$6</f>
        <v>8</v>
      </c>
      <c r="Y142" s="416">
        <v>7</v>
      </c>
      <c r="Z142" s="653">
        <f t="shared" ref="Z142:Z149" si="112">IF(LEN(M142)&gt;0,VLOOKUP(LEFT(M142,1),ShortName,5,FALSE),0)</f>
        <v>0</v>
      </c>
      <c r="AA142" s="138">
        <f t="shared" ref="AA142:AA149" si="113">IF(LEN(S142)&gt;0,VLOOKUP(LEFT(S142,1),ShortName,5,FALSE),0)</f>
        <v>0</v>
      </c>
      <c r="AC142" s="16" t="str">
        <f t="shared" ref="AC142:AD149" si="114">B142</f>
        <v>S</v>
      </c>
      <c r="AD142" s="419" t="str">
        <f t="shared" si="114"/>
        <v>BRAT</v>
      </c>
      <c r="AE142" s="635">
        <f>IF(ISNA(MATCH(AC142,N142:N151,0)),0,VLOOKUP(AC142,N142:S151,5,FALSE))</f>
        <v>0</v>
      </c>
      <c r="AF142" s="635" t="str">
        <f>IF(ISNA(MATCH(AC142,T142:T151,0))," ",VLOOKUP(AC142,T142:Y151,5,FALSE))</f>
        <v xml:space="preserve"> </v>
      </c>
      <c r="AG142" s="635">
        <f>IF(ISNA(MATCH(AC142,L142:L149,0)),0,VLOOKUP(AC142,L142:N149,3,FALSE))</f>
        <v>0</v>
      </c>
      <c r="AH142" s="635">
        <f>IF(ISNA(MATCH(AC142,R142:R149,0)),0,VLOOKUP(AC142,R142:T149,3,FALSE))</f>
        <v>0</v>
      </c>
      <c r="AI142" s="635">
        <f>IF(ISNA(MATCH(AC142,L142:L149,0)),0,VLOOKUP(AC142,L142:P149,4,FALSE))</f>
        <v>0</v>
      </c>
      <c r="AJ142" s="635">
        <f>IF(ISNA(MATCH(AC142,R142:R149,0)),0,VLOOKUP(AC142,R142:U149,4,FALSE))</f>
        <v>0</v>
      </c>
      <c r="AK142" s="49">
        <f t="shared" ref="AK142:AK149" si="115">IF(AM142=0,0,AN$6-(AM142-1))</f>
        <v>0</v>
      </c>
      <c r="AL142" s="49">
        <f t="shared" ref="AL142:AL149" si="116">IF(AN142=0,0,AN$6-(AN142-1))</f>
        <v>0</v>
      </c>
      <c r="AM142" s="49">
        <f>IF(ISNA(MATCH(AC142,L142:L149,0)),0,VLOOKUP(AC142,L142:W149,AM$1,FALSE))</f>
        <v>0</v>
      </c>
      <c r="AN142" s="138">
        <f>IF(ISNA(MATCH(AC142,R142:R149,0)),0,VLOOKUP(AC142,R142:W149,AN$1,FALSE))</f>
        <v>0</v>
      </c>
      <c r="AP142" s="926"/>
      <c r="AQ142" s="926"/>
      <c r="AS142" s="32">
        <f>IF(LEN(N142)&gt;0,1,0)</f>
        <v>0</v>
      </c>
      <c r="AT142" s="32">
        <f>IF(AND(AS142=1,H141="M"),1,0)</f>
        <v>0</v>
      </c>
      <c r="AU142" s="32">
        <f>IF(AND(AS142=1,H141="F"),1,0)</f>
        <v>0</v>
      </c>
    </row>
    <row r="143" spans="1:47" ht="15.6" x14ac:dyDescent="0.3">
      <c r="A143" s="417">
        <f>A142+1</f>
        <v>122</v>
      </c>
      <c r="B143" s="362" t="str">
        <f>'Event Details'!D$23</f>
        <v>U</v>
      </c>
      <c r="C143" s="381" t="str">
        <f>'Event Details'!E$23</f>
        <v>Kidder &amp; Stourport</v>
      </c>
      <c r="D143" s="379"/>
      <c r="E143" s="378"/>
      <c r="F143" s="363">
        <f>VLOOKUP($B141,IF($H141="F",TeamSheetFemale,TeamSheetMale),$Y143-1,FALSE)</f>
        <v>0</v>
      </c>
      <c r="G143" s="380">
        <f>VLOOKUP($B141,IF($H141="F",TeamSheetFemale,TeamSheetMale),$Y143,FALSE)</f>
        <v>0</v>
      </c>
      <c r="H143" s="363">
        <f>VLOOKUP($B141,IF($H141="F",TeamSheetFemale,TeamSheetMale),$Y143+1,FALSE)</f>
        <v>0</v>
      </c>
      <c r="I143" s="364">
        <f>VLOOKUP($B141,IF($H141="F",TeamSheetFemale,TeamSheetMale),$Y143+2,FALSE)</f>
        <v>0</v>
      </c>
      <c r="K143" s="341" t="s">
        <v>272</v>
      </c>
      <c r="L143" s="16" t="str">
        <f t="shared" si="110"/>
        <v/>
      </c>
      <c r="M143" s="927"/>
      <c r="N143" s="927"/>
      <c r="O143" s="353" t="str">
        <f>IF(LEN($M143)=1,VLOOKUP(LEFT($M143,1),B142:I149,5,FALSE),IF(LEN($M143)=2,VLOOKUP(LEFT($M143,1),B142:I149,7,FALSE),""))</f>
        <v/>
      </c>
      <c r="P143" s="373" t="str">
        <f>IF(LEN($M143)=1,VLOOKUP(LEFT($M143,1),B142:I149,6,FALSE),IF(LEN($M143)=2,VLOOKUP(LEFT($M143,1),B142:I149,8,FALSE),""))</f>
        <v/>
      </c>
      <c r="Q143" s="341" t="s">
        <v>272</v>
      </c>
      <c r="R143" s="146" t="str">
        <f t="shared" si="111"/>
        <v/>
      </c>
      <c r="S143" s="927"/>
      <c r="T143" s="927"/>
      <c r="U143" s="353" t="str">
        <f>IF(LEN($S143)=1,VLOOKUP(LEFT($S143,1),B142:I149,5,FALSE),IF(LEN($S143)=2,VLOOKUP(LEFT($S143,1),B142:I149,7,FALSE),""))</f>
        <v/>
      </c>
      <c r="V143" s="373" t="str">
        <f>IF(LEN($S143)=1,VLOOKUP(LEFT($S143,1),B142:I149,6,FALSE),IF(LEN($S143)=2,VLOOKUP(LEFT($S143,1),B142:I149,8,FALSE),""))</f>
        <v/>
      </c>
      <c r="W143" s="417">
        <f>W142-1</f>
        <v>7</v>
      </c>
      <c r="Y143" s="417">
        <v>12</v>
      </c>
      <c r="Z143" s="16">
        <f t="shared" si="112"/>
        <v>0</v>
      </c>
      <c r="AA143" s="146">
        <f t="shared" si="113"/>
        <v>0</v>
      </c>
      <c r="AC143" s="16" t="str">
        <f t="shared" si="114"/>
        <v>U</v>
      </c>
      <c r="AD143" s="419" t="str">
        <f t="shared" si="114"/>
        <v>Kidder &amp; Stourport</v>
      </c>
      <c r="AE143" s="419">
        <f>IF(ISNA(MATCH(AC143,N142:N151,0)),0,VLOOKUP(AC143,N142:S151,5,FALSE))</f>
        <v>0</v>
      </c>
      <c r="AF143" s="419" t="str">
        <f>IF(ISNA(MATCH(AC143,T142:T151,0))," ",VLOOKUP(AC143,T142:Y151,5,FALSE))</f>
        <v xml:space="preserve"> </v>
      </c>
      <c r="AG143" s="419">
        <f>IF(ISNA(MATCH(AC143,L142:L149,0)),0,VLOOKUP(AC143,L142:N149,3,FALSE))</f>
        <v>0</v>
      </c>
      <c r="AH143" s="419">
        <f>IF(ISNA(MATCH(AC143,R142:R149,0)),0,VLOOKUP(AC143,R142:T149,3,FALSE))</f>
        <v>0</v>
      </c>
      <c r="AI143" s="419">
        <f>IF(ISNA(MATCH(AC143,L142:L149,0)),0,VLOOKUP(AC143,L142:P149,4,FALSE))</f>
        <v>0</v>
      </c>
      <c r="AJ143" s="419">
        <f>IF(ISNA(MATCH(AC143,R142:R149,0)),0,VLOOKUP(AC143,R142:U149,4,FALSE))</f>
        <v>0</v>
      </c>
      <c r="AK143" s="32">
        <f t="shared" si="115"/>
        <v>0</v>
      </c>
      <c r="AL143" s="32">
        <f t="shared" si="116"/>
        <v>0</v>
      </c>
      <c r="AM143" s="32">
        <f>IF(ISNA(MATCH(AC143,L142:L149,0)),0,VLOOKUP(AC143,L142:W149,AM$1,FALSE))</f>
        <v>0</v>
      </c>
      <c r="AN143" s="146">
        <f>IF(ISNA(MATCH(AC143,R142:R149,0)),0,VLOOKUP(AC143,R142:W149,AN$1,FALSE))</f>
        <v>0</v>
      </c>
      <c r="AP143" s="927"/>
      <c r="AQ143" s="927"/>
    </row>
    <row r="144" spans="1:47" ht="15.6" x14ac:dyDescent="0.3">
      <c r="A144" s="417">
        <f t="shared" ref="A144:A149" si="117">A143+1</f>
        <v>123</v>
      </c>
      <c r="B144" s="362" t="str">
        <f>'Event Details'!D$24</f>
        <v>G</v>
      </c>
      <c r="C144" s="381" t="str">
        <f>'Event Details'!E$24</f>
        <v>Royal Sutton</v>
      </c>
      <c r="D144" s="379"/>
      <c r="E144" s="378"/>
      <c r="F144" s="363" t="str">
        <f>VLOOKUP($B141,IF($H141="F",TeamSheetFemale,TeamSheetMale),$Y144-1,FALSE)</f>
        <v>G</v>
      </c>
      <c r="G144" s="380">
        <f>VLOOKUP($B141,IF($H141="F",TeamSheetFemale,TeamSheetMale),$Y144,FALSE)</f>
        <v>0</v>
      </c>
      <c r="H144" s="363" t="str">
        <f>VLOOKUP($B141,IF($H141="F",TeamSheetFemale,TeamSheetMale),$Y144+1,FALSE)</f>
        <v>GG</v>
      </c>
      <c r="I144" s="364">
        <f>VLOOKUP($B141,IF($H141="F",TeamSheetFemale,TeamSheetMale),$Y144+2,FALSE)</f>
        <v>0</v>
      </c>
      <c r="K144" s="341" t="s">
        <v>273</v>
      </c>
      <c r="L144" s="16" t="str">
        <f t="shared" si="110"/>
        <v/>
      </c>
      <c r="M144" s="927"/>
      <c r="N144" s="927"/>
      <c r="O144" s="353" t="str">
        <f>IF(LEN($M144)=1,VLOOKUP(LEFT($M144,1),B142:I149,5,FALSE),IF(LEN($M144)=2,VLOOKUP(LEFT($M144,1),B142:I149,7,FALSE),""))</f>
        <v/>
      </c>
      <c r="P144" s="373" t="str">
        <f>IF(LEN($M144)=1,VLOOKUP(LEFT($M144,1),B142:I149,6,FALSE),IF(LEN($M144)=2,VLOOKUP(LEFT($M144,1),B142:I149,8,FALSE),""))</f>
        <v/>
      </c>
      <c r="Q144" s="341" t="s">
        <v>273</v>
      </c>
      <c r="R144" s="146" t="str">
        <f t="shared" si="111"/>
        <v/>
      </c>
      <c r="S144" s="927"/>
      <c r="T144" s="927"/>
      <c r="U144" s="353" t="str">
        <f>IF(LEN($S144)=1,VLOOKUP(LEFT($S144,1),B142:I149,5,FALSE),IF(LEN($S144)=2,VLOOKUP(LEFT($S144,1),B142:I149,7,FALSE),""))</f>
        <v/>
      </c>
      <c r="V144" s="373" t="str">
        <f>IF(LEN($S144)=1,VLOOKUP(LEFT($S144,1),B142:I149,6,FALSE),IF(LEN($S144)=2,VLOOKUP(LEFT($S144,1),B142:I149,8,FALSE),""))</f>
        <v/>
      </c>
      <c r="W144" s="417">
        <f t="shared" ref="W144:W149" si="118">W143-1</f>
        <v>6</v>
      </c>
      <c r="Y144" s="417">
        <v>17</v>
      </c>
      <c r="Z144" s="16">
        <f t="shared" si="112"/>
        <v>0</v>
      </c>
      <c r="AA144" s="146">
        <f t="shared" si="113"/>
        <v>0</v>
      </c>
      <c r="AB144" s="32"/>
      <c r="AC144" s="16" t="str">
        <f t="shared" si="114"/>
        <v>G</v>
      </c>
      <c r="AD144" s="419" t="str">
        <f t="shared" si="114"/>
        <v>Royal Sutton</v>
      </c>
      <c r="AE144" s="419">
        <f>IF(ISNA(MATCH(AC144,N142:N151,0)),0,VLOOKUP(AC144,N142:S151,5,FALSE))</f>
        <v>0</v>
      </c>
      <c r="AF144" s="419" t="str">
        <f>IF(ISNA(MATCH(AC144,T142:T151,0))," ",VLOOKUP(AC144,T142:Y151,5,FALSE))</f>
        <v xml:space="preserve"> </v>
      </c>
      <c r="AG144" s="419">
        <f>IF(ISNA(MATCH(AC144,L142:L149,0)),0,VLOOKUP(AC144,L142:N149,3,FALSE))</f>
        <v>0</v>
      </c>
      <c r="AH144" s="419">
        <f>IF(ISNA(MATCH(AC144,R142:R149,0)),0,VLOOKUP(AC144,R142:T149,3,FALSE))</f>
        <v>0</v>
      </c>
      <c r="AI144" s="419">
        <f>IF(ISNA(MATCH(AC144,L142:L149,0)),0,VLOOKUP(AC144,L142:P149,4,FALSE))</f>
        <v>0</v>
      </c>
      <c r="AJ144" s="419">
        <f>IF(ISNA(MATCH(AC144,R142:R149,0)),0,VLOOKUP(AC144,R142:U149,4,FALSE))</f>
        <v>0</v>
      </c>
      <c r="AK144" s="32">
        <f t="shared" si="115"/>
        <v>0</v>
      </c>
      <c r="AL144" s="32">
        <f t="shared" si="116"/>
        <v>0</v>
      </c>
      <c r="AM144" s="32">
        <f>IF(ISNA(MATCH(AC144,L142:L149,0)),0,VLOOKUP(AC144,L142:W149,AM$1,FALSE))</f>
        <v>0</v>
      </c>
      <c r="AN144" s="146">
        <f>IF(ISNA(MATCH(AC144,R142:R149,0)),0,VLOOKUP(AC144,R142:W149,AN$1,FALSE))</f>
        <v>0</v>
      </c>
      <c r="AP144" s="927"/>
      <c r="AQ144" s="927"/>
    </row>
    <row r="145" spans="1:47" ht="15.6" x14ac:dyDescent="0.3">
      <c r="A145" s="417">
        <f t="shared" si="117"/>
        <v>124</v>
      </c>
      <c r="B145" s="362" t="str">
        <f>'Event Details'!D$25</f>
        <v>R</v>
      </c>
      <c r="C145" s="381" t="str">
        <f>'Event Details'!E$25</f>
        <v>Rugby &amp; N'hampton</v>
      </c>
      <c r="D145" s="379"/>
      <c r="E145" s="378"/>
      <c r="F145" s="363" t="str">
        <f>VLOOKUP($B141,IF($H141="F",TeamSheetFemale,TeamSheetMale),$Y145-1,FALSE)</f>
        <v>R</v>
      </c>
      <c r="G145" s="380">
        <f>VLOOKUP($B141,IF($H141="F",TeamSheetFemale,TeamSheetMale),$Y145,FALSE)</f>
        <v>0</v>
      </c>
      <c r="H145" s="363" t="str">
        <f>VLOOKUP($B141,IF($H141="F",TeamSheetFemale,TeamSheetMale),$Y145+1,FALSE)</f>
        <v>RR</v>
      </c>
      <c r="I145" s="364">
        <f>VLOOKUP($B141,IF($H141="F",TeamSheetFemale,TeamSheetMale),$Y145+2,FALSE)</f>
        <v>0</v>
      </c>
      <c r="K145" s="341" t="s">
        <v>274</v>
      </c>
      <c r="L145" s="16" t="str">
        <f t="shared" si="110"/>
        <v/>
      </c>
      <c r="M145" s="927"/>
      <c r="N145" s="927"/>
      <c r="O145" s="353" t="str">
        <f>IF(LEN($M145)=1,VLOOKUP(LEFT($M145,1),B142:I149,5,FALSE),IF(LEN($M145)=2,VLOOKUP(LEFT($M145,1),B142:I149,7,FALSE),""))</f>
        <v/>
      </c>
      <c r="P145" s="373" t="str">
        <f>IF(LEN($M145)=1,VLOOKUP(LEFT($M145,1),B142:I149,6,FALSE),IF(LEN($M145)=2,VLOOKUP(LEFT($M145,1),B142:I149,8,FALSE),""))</f>
        <v/>
      </c>
      <c r="Q145" s="341" t="s">
        <v>274</v>
      </c>
      <c r="R145" s="146" t="str">
        <f t="shared" si="111"/>
        <v/>
      </c>
      <c r="S145" s="927"/>
      <c r="T145" s="927"/>
      <c r="U145" s="353" t="str">
        <f>IF(LEN($S145)=1,VLOOKUP(LEFT($S145,1),B142:I149,5,FALSE),IF(LEN($S145)=2,VLOOKUP(LEFT($S145,1),B142:I149,7,FALSE),""))</f>
        <v/>
      </c>
      <c r="V145" s="373" t="str">
        <f>IF(LEN($S145)=1,VLOOKUP(LEFT($S145,1),B142:I149,6,FALSE),IF(LEN($S145)=2,VLOOKUP(LEFT($S145,1),B142:I149,8,FALSE),""))</f>
        <v/>
      </c>
      <c r="W145" s="417">
        <f t="shared" si="118"/>
        <v>5</v>
      </c>
      <c r="Y145" s="417">
        <v>22</v>
      </c>
      <c r="Z145" s="16">
        <f t="shared" si="112"/>
        <v>0</v>
      </c>
      <c r="AA145" s="146">
        <f t="shared" si="113"/>
        <v>0</v>
      </c>
      <c r="AB145" s="32"/>
      <c r="AC145" s="16" t="str">
        <f t="shared" si="114"/>
        <v>R</v>
      </c>
      <c r="AD145" s="419" t="str">
        <f t="shared" si="114"/>
        <v>Rugby &amp; N'hampton</v>
      </c>
      <c r="AE145" s="419">
        <f>IF(ISNA(MATCH(AC145,N142:N151,0)),0,VLOOKUP(AC145,N142:S151,5,FALSE))</f>
        <v>0</v>
      </c>
      <c r="AF145" s="419" t="str">
        <f>IF(ISNA(MATCH(AC145,T142:T151,0))," ",VLOOKUP(AC145,T142:Y151,5,FALSE))</f>
        <v xml:space="preserve"> </v>
      </c>
      <c r="AG145" s="419">
        <f>IF(ISNA(MATCH(AC145,L142:L149,0)),0,VLOOKUP(AC145,L142:N149,3,FALSE))</f>
        <v>0</v>
      </c>
      <c r="AH145" s="419">
        <f>IF(ISNA(MATCH(AC145,R142:R149,0)),0,VLOOKUP(AC145,R142:T149,3,FALSE))</f>
        <v>0</v>
      </c>
      <c r="AI145" s="419">
        <f>IF(ISNA(MATCH(AC145,L142:L149,0)),0,VLOOKUP(AC145,L142:P149,4,FALSE))</f>
        <v>0</v>
      </c>
      <c r="AJ145" s="419">
        <f>IF(ISNA(MATCH(AC145,R142:R149,0)),0,VLOOKUP(AC145,R142:U149,4,FALSE))</f>
        <v>0</v>
      </c>
      <c r="AK145" s="32">
        <f t="shared" si="115"/>
        <v>0</v>
      </c>
      <c r="AL145" s="32">
        <f t="shared" si="116"/>
        <v>0</v>
      </c>
      <c r="AM145" s="32">
        <f>IF(ISNA(MATCH(AC145,L142:L149,0)),0,VLOOKUP(AC145,L142:W149,AM$1,FALSE))</f>
        <v>0</v>
      </c>
      <c r="AN145" s="146">
        <f>IF(ISNA(MATCH(AC145,R142:R149,0)),0,VLOOKUP(AC145,R142:W149,AN$1,FALSE))</f>
        <v>0</v>
      </c>
      <c r="AP145" s="927"/>
      <c r="AQ145" s="927"/>
    </row>
    <row r="146" spans="1:47" ht="15.6" x14ac:dyDescent="0.3">
      <c r="A146" s="417">
        <f t="shared" si="117"/>
        <v>125</v>
      </c>
      <c r="B146" s="362" t="str">
        <f>'Event Details'!D$26</f>
        <v>M</v>
      </c>
      <c r="C146" s="381" t="str">
        <f>'Event Details'!E$26</f>
        <v>Solihull &amp; S.Heath</v>
      </c>
      <c r="D146" s="379"/>
      <c r="E146" s="378"/>
      <c r="F146" s="363">
        <f>VLOOKUP($B141,IF($H141="F",TeamSheetFemale,TeamSheetMale),$Y146-1,FALSE)</f>
        <v>0</v>
      </c>
      <c r="G146" s="380">
        <f>VLOOKUP($B141,IF($H141="F",TeamSheetFemale,TeamSheetMale),$Y146,FALSE)</f>
        <v>0</v>
      </c>
      <c r="H146" s="363">
        <f>VLOOKUP($B141,IF($H141="F",TeamSheetFemale,TeamSheetMale),$Y146+1,FALSE)</f>
        <v>0</v>
      </c>
      <c r="I146" s="364">
        <f>VLOOKUP($B141,IF($H141="F",TeamSheetFemale,TeamSheetMale),$Y146+2,FALSE)</f>
        <v>0</v>
      </c>
      <c r="K146" s="341" t="s">
        <v>275</v>
      </c>
      <c r="L146" s="16" t="str">
        <f t="shared" si="110"/>
        <v/>
      </c>
      <c r="M146" s="927"/>
      <c r="N146" s="927"/>
      <c r="O146" s="353" t="str">
        <f>IF(LEN($M146)=1,VLOOKUP(LEFT($M146,1),B142:I149,5,FALSE),IF(LEN($M146)=2,VLOOKUP(LEFT($M146,1),B142:I149,7,FALSE),""))</f>
        <v/>
      </c>
      <c r="P146" s="373" t="str">
        <f>IF(LEN($M146)=1,VLOOKUP(LEFT($M146,1),B142:I149,6,FALSE),IF(LEN($M146)=2,VLOOKUP(LEFT($M146,1),B142:I149,8,FALSE),""))</f>
        <v/>
      </c>
      <c r="Q146" s="341" t="s">
        <v>275</v>
      </c>
      <c r="R146" s="146" t="str">
        <f t="shared" si="111"/>
        <v/>
      </c>
      <c r="S146" s="927"/>
      <c r="T146" s="927"/>
      <c r="U146" s="353" t="str">
        <f>IF(LEN($S146)=1,VLOOKUP(LEFT($S146,1),B142:I149,5,FALSE),IF(LEN($S146)=2,VLOOKUP(LEFT($S146,1),B142:I149,7,FALSE),""))</f>
        <v/>
      </c>
      <c r="V146" s="373" t="str">
        <f>IF(LEN($S146)=1,VLOOKUP(LEFT($S146,1),B142:I149,6,FALSE),IF(LEN($S146)=2,VLOOKUP(LEFT($S146,1),B142:I149,8,FALSE),""))</f>
        <v/>
      </c>
      <c r="W146" s="417">
        <f t="shared" si="118"/>
        <v>4</v>
      </c>
      <c r="Y146" s="417">
        <v>27</v>
      </c>
      <c r="Z146" s="16">
        <f t="shared" si="112"/>
        <v>0</v>
      </c>
      <c r="AA146" s="146">
        <f t="shared" si="113"/>
        <v>0</v>
      </c>
      <c r="AB146" s="32"/>
      <c r="AC146" s="16" t="str">
        <f t="shared" si="114"/>
        <v>M</v>
      </c>
      <c r="AD146" s="419" t="str">
        <f t="shared" si="114"/>
        <v>Solihull &amp; S.Heath</v>
      </c>
      <c r="AE146" s="419">
        <f>IF(ISNA(MATCH(AC146,N142:N151,0)),0,VLOOKUP(AC146,N142:S151,5,FALSE))</f>
        <v>0</v>
      </c>
      <c r="AF146" s="419" t="str">
        <f>IF(ISNA(MATCH(AC146,T142:T151,0))," ",VLOOKUP(AC146,T142:Y151,5,FALSE))</f>
        <v xml:space="preserve"> </v>
      </c>
      <c r="AG146" s="419">
        <f>IF(ISNA(MATCH(AC146,L142:L149,0)),0,VLOOKUP(AC146,L142:N149,3,FALSE))</f>
        <v>0</v>
      </c>
      <c r="AH146" s="419">
        <f>IF(ISNA(MATCH(AC146,R142:R149,0)),0,VLOOKUP(AC146,R142:T149,3,FALSE))</f>
        <v>0</v>
      </c>
      <c r="AI146" s="419">
        <f>IF(ISNA(MATCH(AC146,L142:L149,0)),0,VLOOKUP(AC146,L142:P149,4,FALSE))</f>
        <v>0</v>
      </c>
      <c r="AJ146" s="419">
        <f>IF(ISNA(MATCH(AC146,R142:R149,0)),0,VLOOKUP(AC146,R142:U149,4,FALSE))</f>
        <v>0</v>
      </c>
      <c r="AK146" s="32">
        <f t="shared" si="115"/>
        <v>0</v>
      </c>
      <c r="AL146" s="32">
        <f t="shared" si="116"/>
        <v>0</v>
      </c>
      <c r="AM146" s="32">
        <f>IF(ISNA(MATCH(AC146,L142:L149,0)),0,VLOOKUP(AC146,L142:W149,AM$1,FALSE))</f>
        <v>0</v>
      </c>
      <c r="AN146" s="146">
        <f>IF(ISNA(MATCH(AC146,R142:R149,0)),0,VLOOKUP(AC146,R142:W149,AN$1,FALSE))</f>
        <v>0</v>
      </c>
      <c r="AP146" s="927"/>
      <c r="AQ146" s="927"/>
    </row>
    <row r="147" spans="1:47" ht="15.6" x14ac:dyDescent="0.3">
      <c r="A147" s="417">
        <f t="shared" si="117"/>
        <v>126</v>
      </c>
      <c r="B147" s="362" t="str">
        <f>'Event Details'!D$27</f>
        <v>D</v>
      </c>
      <c r="C147" s="381" t="str">
        <f>'Event Details'!E$27</f>
        <v>Stratford</v>
      </c>
      <c r="D147" s="379"/>
      <c r="E147" s="378"/>
      <c r="F147" s="363">
        <f>VLOOKUP($B141,IF($H141="F",TeamSheetFemale,TeamSheetMale),$Y147-1,FALSE)</f>
        <v>0</v>
      </c>
      <c r="G147" s="380">
        <f>VLOOKUP($B141,IF($H141="F",TeamSheetFemale,TeamSheetMale),$Y147,FALSE)</f>
        <v>0</v>
      </c>
      <c r="H147" s="363">
        <f>VLOOKUP($B141,IF($H141="F",TeamSheetFemale,TeamSheetMale),$Y147+1,FALSE)</f>
        <v>0</v>
      </c>
      <c r="I147" s="364">
        <f>VLOOKUP($B141,IF($H141="F",TeamSheetFemale,TeamSheetMale),$Y147+2,FALSE)</f>
        <v>0</v>
      </c>
      <c r="K147" s="341" t="s">
        <v>276</v>
      </c>
      <c r="L147" s="16" t="str">
        <f t="shared" si="110"/>
        <v/>
      </c>
      <c r="M147" s="927"/>
      <c r="N147" s="927"/>
      <c r="O147" s="353" t="str">
        <f>IF(LEN($M147)=1,VLOOKUP(LEFT($M147,1),B142:I149,5,FALSE),IF(LEN($M147)=2,VLOOKUP(LEFT($M147,1),B142:I149,7,FALSE),""))</f>
        <v/>
      </c>
      <c r="P147" s="373" t="str">
        <f>IF(LEN($M147)=1,VLOOKUP(LEFT($M147,1),B142:I149,6,FALSE),IF(LEN($M147)=2,VLOOKUP(LEFT($M147,1),B142:I149,8,FALSE),""))</f>
        <v/>
      </c>
      <c r="Q147" s="341" t="s">
        <v>276</v>
      </c>
      <c r="R147" s="146" t="str">
        <f t="shared" si="111"/>
        <v/>
      </c>
      <c r="S147" s="927"/>
      <c r="T147" s="927"/>
      <c r="U147" s="353" t="str">
        <f>IF(LEN($S147)=1,VLOOKUP(LEFT($S147,1),B142:I149,5,FALSE),IF(LEN($S147)=2,VLOOKUP(LEFT($S147,1),B142:I149,7,FALSE),""))</f>
        <v/>
      </c>
      <c r="V147" s="373" t="str">
        <f>IF(LEN($S147)=1,VLOOKUP(LEFT($S147,1),B142:I149,6,FALSE),IF(LEN($S147)=2,VLOOKUP(LEFT($S147,1),B142:I149,8,FALSE),""))</f>
        <v/>
      </c>
      <c r="W147" s="417">
        <f t="shared" si="118"/>
        <v>3</v>
      </c>
      <c r="Y147" s="417">
        <v>32</v>
      </c>
      <c r="Z147" s="16">
        <f t="shared" si="112"/>
        <v>0</v>
      </c>
      <c r="AA147" s="146">
        <f t="shared" si="113"/>
        <v>0</v>
      </c>
      <c r="AB147" s="32"/>
      <c r="AC147" s="16" t="str">
        <f t="shared" si="114"/>
        <v>D</v>
      </c>
      <c r="AD147" s="419" t="str">
        <f t="shared" si="114"/>
        <v>Stratford</v>
      </c>
      <c r="AE147" s="419">
        <f>IF(ISNA(MATCH(AC147,N142:N151,0)),0,VLOOKUP(AC147,N142:S151,5,FALSE))</f>
        <v>0</v>
      </c>
      <c r="AF147" s="419" t="str">
        <f>IF(ISNA(MATCH(AC147,T142:T151,0))," ",VLOOKUP(AC147,T142:Y151,5,FALSE))</f>
        <v xml:space="preserve"> </v>
      </c>
      <c r="AG147" s="419">
        <f>IF(ISNA(MATCH(AC147,L142:L149,0)),0,VLOOKUP(AC147,L142:N149,3,FALSE))</f>
        <v>0</v>
      </c>
      <c r="AH147" s="419">
        <f>IF(ISNA(MATCH(AC147,R142:R149,0)),0,VLOOKUP(AC147,R142:T149,3,FALSE))</f>
        <v>0</v>
      </c>
      <c r="AI147" s="419">
        <f>IF(ISNA(MATCH(AC147,L142:L149,0)),0,VLOOKUP(AC147,L142:P149,4,FALSE))</f>
        <v>0</v>
      </c>
      <c r="AJ147" s="419">
        <f>IF(ISNA(MATCH(AC147,R142:R149,0)),0,VLOOKUP(AC147,R142:U149,4,FALSE))</f>
        <v>0</v>
      </c>
      <c r="AK147" s="32">
        <f t="shared" si="115"/>
        <v>0</v>
      </c>
      <c r="AL147" s="32">
        <f t="shared" si="116"/>
        <v>0</v>
      </c>
      <c r="AM147" s="32">
        <f>IF(ISNA(MATCH(AC147,L142:L149,0)),0,VLOOKUP(AC147,L142:W149,AM$1,FALSE))</f>
        <v>0</v>
      </c>
      <c r="AN147" s="146">
        <f>IF(ISNA(MATCH(AC147,R142:R149,0)),0,VLOOKUP(AC147,R142:W149,AN$1,FALSE))</f>
        <v>0</v>
      </c>
      <c r="AP147" s="927"/>
      <c r="AQ147" s="927"/>
    </row>
    <row r="148" spans="1:47" ht="15.6" x14ac:dyDescent="0.3">
      <c r="A148" s="417">
        <f t="shared" si="117"/>
        <v>127</v>
      </c>
      <c r="B148" s="362" t="str">
        <f>'Event Details'!D$28</f>
        <v>F</v>
      </c>
      <c r="C148" s="381" t="str">
        <f>'Event Details'!E$28</f>
        <v>Tamworth</v>
      </c>
      <c r="D148" s="379"/>
      <c r="E148" s="378"/>
      <c r="F148" s="363">
        <f>VLOOKUP($B141,IF($H141="F",TeamSheetFemale,TeamSheetMale),$Y148-1,FALSE)</f>
        <v>0</v>
      </c>
      <c r="G148" s="380">
        <f>VLOOKUP($B141,IF($H141="F",TeamSheetFemale,TeamSheetMale),$Y148,FALSE)</f>
        <v>0</v>
      </c>
      <c r="H148" s="363">
        <f>VLOOKUP($B141,IF($H141="F",TeamSheetFemale,TeamSheetMale),$Y148+1,FALSE)</f>
        <v>0</v>
      </c>
      <c r="I148" s="364">
        <f>VLOOKUP($B141,IF($H141="F",TeamSheetFemale,TeamSheetMale),$Y148+2,FALSE)</f>
        <v>0</v>
      </c>
      <c r="K148" s="341" t="s">
        <v>277</v>
      </c>
      <c r="L148" s="16" t="str">
        <f t="shared" si="110"/>
        <v/>
      </c>
      <c r="M148" s="931"/>
      <c r="N148" s="927"/>
      <c r="O148" s="353" t="str">
        <f>IF(LEN($M148)=1,VLOOKUP(LEFT($M148,1),B142:I149,5,FALSE),IF(LEN($M148)=2,VLOOKUP(LEFT($M148,1),B142:I149,7,FALSE),""))</f>
        <v/>
      </c>
      <c r="P148" s="373" t="str">
        <f>IF(LEN($M148)=1,VLOOKUP(LEFT($M148,1),B142:I149,6,FALSE),IF(LEN($M148)=2,VLOOKUP(LEFT($M148,1),B142:I149,8,FALSE),""))</f>
        <v/>
      </c>
      <c r="Q148" s="341" t="s">
        <v>277</v>
      </c>
      <c r="R148" s="146" t="str">
        <f t="shared" si="111"/>
        <v/>
      </c>
      <c r="S148" s="931"/>
      <c r="T148" s="927"/>
      <c r="U148" s="353" t="str">
        <f>IF(LEN($S148)=1,VLOOKUP(LEFT($S148,1),B142:I149,5,FALSE),IF(LEN($S148)=2,VLOOKUP(LEFT($S148,1),B142:I149,7,FALSE),""))</f>
        <v/>
      </c>
      <c r="V148" s="373" t="str">
        <f>IF(LEN($S148)=1,VLOOKUP(LEFT($S148,1),B142:I149,6,FALSE),IF(LEN($S148)=2,VLOOKUP(LEFT($S148,1),B142:I149,8,FALSE),""))</f>
        <v/>
      </c>
      <c r="W148" s="417">
        <f t="shared" si="118"/>
        <v>2</v>
      </c>
      <c r="Y148" s="417">
        <v>37</v>
      </c>
      <c r="Z148" s="16">
        <f t="shared" si="112"/>
        <v>0</v>
      </c>
      <c r="AA148" s="146">
        <f t="shared" si="113"/>
        <v>0</v>
      </c>
      <c r="AB148" s="32"/>
      <c r="AC148" s="16" t="str">
        <f t="shared" si="114"/>
        <v>F</v>
      </c>
      <c r="AD148" s="419" t="str">
        <f t="shared" si="114"/>
        <v>Tamworth</v>
      </c>
      <c r="AE148" s="419">
        <f>IF(ISNA(MATCH(AC148,N140:N149,0)),0,VLOOKUP(AC148,N140:S149,5,FALSE))</f>
        <v>0</v>
      </c>
      <c r="AF148" s="419" t="str">
        <f>IF(ISNA(MATCH(AC148,T140:T149,0))," ",VLOOKUP(AC148,T140:Y149,5,FALSE))</f>
        <v xml:space="preserve"> </v>
      </c>
      <c r="AG148" s="419">
        <f>IF(ISNA(MATCH(AC148,L142:L149,0)),0,VLOOKUP(AC148,L142:N149,3,FALSE))</f>
        <v>0</v>
      </c>
      <c r="AH148" s="419">
        <f>IF(ISNA(MATCH(AC148,R142:R149,0)),0,VLOOKUP(AC148,R142:T149,3,FALSE))</f>
        <v>0</v>
      </c>
      <c r="AI148" s="419">
        <f>IF(ISNA(MATCH(AC148,L142:L149,0)),0,VLOOKUP(AC148,L142:P149,4,FALSE))</f>
        <v>0</v>
      </c>
      <c r="AJ148" s="419">
        <f>IF(ISNA(MATCH(AC148,R142:R149,0)),0,VLOOKUP(AC148,R142:U149,4,FALSE))</f>
        <v>0</v>
      </c>
      <c r="AK148" s="32">
        <f t="shared" si="115"/>
        <v>0</v>
      </c>
      <c r="AL148" s="32">
        <f t="shared" si="116"/>
        <v>0</v>
      </c>
      <c r="AM148" s="32">
        <f>IF(ISNA(MATCH(AC148,L142:L149,0)),0,VLOOKUP(AC148,L142:W149,AM$1,FALSE))</f>
        <v>0</v>
      </c>
      <c r="AN148" s="146">
        <f>IF(ISNA(MATCH(AC148,R142:R149,0)),0,VLOOKUP(AC148,R142:W149,AN$1,FALSE))</f>
        <v>0</v>
      </c>
      <c r="AP148" s="931"/>
      <c r="AQ148" s="927"/>
    </row>
    <row r="149" spans="1:47" ht="16.2" thickBot="1" x14ac:dyDescent="0.35">
      <c r="A149" s="418">
        <f t="shared" si="117"/>
        <v>128</v>
      </c>
      <c r="B149" s="365" t="str">
        <f>'Event Details'!D$29</f>
        <v>Y</v>
      </c>
      <c r="C149" s="366" t="str">
        <f>'Event Details'!E$29</f>
        <v>Worcester</v>
      </c>
      <c r="D149" s="361"/>
      <c r="E149" s="370"/>
      <c r="F149" s="367">
        <f>VLOOKUP($B141,IF($H141="F",TeamSheetFemale,TeamSheetMale),$Y149-1,FALSE)</f>
        <v>0</v>
      </c>
      <c r="G149" s="368">
        <f>VLOOKUP($B141,IF($H141="F",TeamSheetFemale,TeamSheetMale),$Y149,FALSE)</f>
        <v>0</v>
      </c>
      <c r="H149" s="367">
        <f>VLOOKUP($B141,IF($H141="F",TeamSheetFemale,TeamSheetMale),$Y149+1,FALSE)</f>
        <v>0</v>
      </c>
      <c r="I149" s="369">
        <f>VLOOKUP($B141,IF($H141="F",TeamSheetFemale,TeamSheetMale),$Y149+2,FALSE)</f>
        <v>0</v>
      </c>
      <c r="K149" s="346" t="s">
        <v>278</v>
      </c>
      <c r="L149" s="25" t="str">
        <f t="shared" si="110"/>
        <v/>
      </c>
      <c r="M149" s="928" t="s">
        <v>148</v>
      </c>
      <c r="N149" s="932"/>
      <c r="O149" s="375" t="str">
        <f>IF(LEN($M149)=1,VLOOKUP(LEFT($M149,1),B142:I149,5,FALSE),IF(LEN($M149)=2,VLOOKUP(LEFT($M149,1),B142:I149,7,FALSE),""))</f>
        <v/>
      </c>
      <c r="P149" s="376" t="str">
        <f>IF(LEN($M149)=1,VLOOKUP(LEFT($M149,1),B142:I149,6,FALSE),IF(LEN($M149)=2,VLOOKUP(LEFT($M149,1),B142:I149,8,FALSE),""))</f>
        <v/>
      </c>
      <c r="Q149" s="346" t="s">
        <v>278</v>
      </c>
      <c r="R149" s="523" t="str">
        <f t="shared" si="111"/>
        <v/>
      </c>
      <c r="S149" s="928" t="s">
        <v>148</v>
      </c>
      <c r="T149" s="932"/>
      <c r="U149" s="375" t="str">
        <f>IF(LEN($S149)=1,VLOOKUP(LEFT($S149,1),B142:I149,5,FALSE),IF(LEN($S149)=2,VLOOKUP(LEFT($S149,1),B142:I149,7,FALSE),""))</f>
        <v/>
      </c>
      <c r="V149" s="376" t="str">
        <f>IF(LEN($S149)=1,VLOOKUP(LEFT($S149,1),B142:I149,6,FALSE),IF(LEN($S149)=2,VLOOKUP(LEFT($S149,1),B142:I149,8,FALSE),""))</f>
        <v/>
      </c>
      <c r="W149" s="418">
        <f t="shared" si="118"/>
        <v>1</v>
      </c>
      <c r="Y149" s="418">
        <v>42</v>
      </c>
      <c r="Z149" s="25">
        <f t="shared" si="112"/>
        <v>0</v>
      </c>
      <c r="AA149" s="523">
        <f t="shared" si="113"/>
        <v>0</v>
      </c>
      <c r="AB149" s="32"/>
      <c r="AC149" s="25" t="str">
        <f t="shared" si="114"/>
        <v>Y</v>
      </c>
      <c r="AD149" s="624" t="str">
        <f t="shared" si="114"/>
        <v>Worcester</v>
      </c>
      <c r="AE149" s="624">
        <f>IF(ISNA(MATCH(AC149,N141:N150,0)),0,VLOOKUP(AC149,N141:S150,5,FALSE))</f>
        <v>0</v>
      </c>
      <c r="AF149" s="624" t="str">
        <f t="shared" ref="AF149" si="119">IF(ISNA(MATCH(AC149,T141:T150,0))," ",VLOOKUP(AC149,T141:Y150,5,FALSE))</f>
        <v xml:space="preserve"> </v>
      </c>
      <c r="AG149" s="624">
        <f>IF(ISNA(MATCH(AC149,L142:L149,0)),0,VLOOKUP(AC149,L142:N149,3,FALSE))</f>
        <v>0</v>
      </c>
      <c r="AH149" s="624">
        <f>IF(ISNA(MATCH(AC149,R142:R149,0)),0,VLOOKUP(AC149,R142:T149,3,FALSE))</f>
        <v>0</v>
      </c>
      <c r="AI149" s="624">
        <f>IF(ISNA(MATCH(AC149,L142:L149,0)),0,VLOOKUP(AC149,L142:P149,4,FALSE))</f>
        <v>0</v>
      </c>
      <c r="AJ149" s="624">
        <f>IF(ISNA(MATCH(AC149,R142:R149,0)),0,VLOOKUP(AC149,R142:U149,4,FALSE))</f>
        <v>0</v>
      </c>
      <c r="AK149" s="116">
        <f t="shared" si="115"/>
        <v>0</v>
      </c>
      <c r="AL149" s="116">
        <f t="shared" si="116"/>
        <v>0</v>
      </c>
      <c r="AM149" s="116">
        <f>IF(ISNA(MATCH(AC149,L142:L149,0)),0,VLOOKUP(AC149,L142:W149,AM$1,FALSE))</f>
        <v>0</v>
      </c>
      <c r="AN149" s="523">
        <f>IF(ISNA(MATCH(AC149,R142:R149,0)),0,VLOOKUP(AC149,R142:W149,AN$1,FALSE))</f>
        <v>0</v>
      </c>
      <c r="AP149" s="928" t="s">
        <v>148</v>
      </c>
      <c r="AQ149" s="932"/>
    </row>
    <row r="150" spans="1:47" ht="15" thickBot="1" x14ac:dyDescent="0.35">
      <c r="M150" s="276"/>
      <c r="N150" s="307"/>
      <c r="S150" s="276"/>
      <c r="T150" s="307"/>
      <c r="AP150" s="276"/>
      <c r="AQ150" s="307"/>
    </row>
    <row r="151" spans="1:47" x14ac:dyDescent="0.3">
      <c r="B151" s="400" t="s">
        <v>258</v>
      </c>
      <c r="C151" s="398"/>
      <c r="D151" s="401" t="s">
        <v>165</v>
      </c>
      <c r="E151" s="398"/>
      <c r="F151" s="398"/>
      <c r="G151" s="402" t="s">
        <v>259</v>
      </c>
      <c r="H151" s="403" t="s">
        <v>249</v>
      </c>
      <c r="I151" s="404" t="s">
        <v>168</v>
      </c>
      <c r="K151" s="360"/>
      <c r="L151" s="661"/>
      <c r="M151" s="387" t="s">
        <v>260</v>
      </c>
      <c r="N151" s="387" t="s">
        <v>261</v>
      </c>
      <c r="O151" s="387" t="s">
        <v>262</v>
      </c>
      <c r="P151" s="388" t="s">
        <v>75</v>
      </c>
      <c r="Q151" s="412"/>
      <c r="R151" s="657"/>
      <c r="S151" s="387" t="s">
        <v>260</v>
      </c>
      <c r="T151" s="387" t="s">
        <v>261</v>
      </c>
      <c r="U151" s="387" t="s">
        <v>262</v>
      </c>
      <c r="V151" s="388" t="s">
        <v>75</v>
      </c>
      <c r="W151" s="672" t="s">
        <v>76</v>
      </c>
      <c r="Y151" s="654" t="s">
        <v>263</v>
      </c>
      <c r="Z151" s="656" t="s">
        <v>74</v>
      </c>
      <c r="AA151" s="657" t="s">
        <v>75</v>
      </c>
      <c r="AC151" s="665" t="s">
        <v>71</v>
      </c>
      <c r="AD151" s="657" t="s">
        <v>86</v>
      </c>
      <c r="AE151" s="661" t="s">
        <v>149</v>
      </c>
      <c r="AF151" s="661" t="s">
        <v>94</v>
      </c>
      <c r="AG151" s="661" t="s">
        <v>149</v>
      </c>
      <c r="AH151" s="661" t="s">
        <v>94</v>
      </c>
      <c r="AI151" s="661" t="s">
        <v>149</v>
      </c>
      <c r="AJ151" s="661" t="s">
        <v>94</v>
      </c>
      <c r="AK151" s="1332" t="s">
        <v>149</v>
      </c>
      <c r="AL151" s="661" t="s">
        <v>94</v>
      </c>
      <c r="AM151" s="1406" t="s">
        <v>76</v>
      </c>
      <c r="AN151" s="1407"/>
      <c r="AP151" s="387" t="s">
        <v>260</v>
      </c>
      <c r="AQ151" s="387" t="s">
        <v>261</v>
      </c>
      <c r="AS151" s="1218" t="s">
        <v>165</v>
      </c>
      <c r="AT151" s="1219" t="s">
        <v>79</v>
      </c>
      <c r="AU151" s="1220" t="s">
        <v>80</v>
      </c>
    </row>
    <row r="152" spans="1:47" ht="15" thickBot="1" x14ac:dyDescent="0.35">
      <c r="B152" s="405">
        <v>13</v>
      </c>
      <c r="C152" s="399"/>
      <c r="D152" s="385" t="str">
        <f>VLOOKUP($B152,EventOrder,6,FALSE)</f>
        <v>Javelin (U18) Match 1 &amp; 3</v>
      </c>
      <c r="E152" s="399"/>
      <c r="F152" s="385"/>
      <c r="G152" s="386" t="str">
        <f>VLOOKUP($B152,EventOrder,4,FALSE)</f>
        <v>U18 Female</v>
      </c>
      <c r="H152" s="396" t="str">
        <f>IF(MID(G152,5,1)="F","F","M")</f>
        <v>F</v>
      </c>
      <c r="I152" s="397">
        <f>VLOOKUP($B152,EventOrder,2,FALSE)</f>
        <v>12.15</v>
      </c>
      <c r="K152" s="372"/>
      <c r="L152" s="667" t="s">
        <v>149</v>
      </c>
      <c r="M152" s="409" t="s">
        <v>264</v>
      </c>
      <c r="N152" s="409" t="s">
        <v>265</v>
      </c>
      <c r="O152" s="409" t="s">
        <v>266</v>
      </c>
      <c r="P152" s="408"/>
      <c r="Q152" s="413"/>
      <c r="R152" s="659" t="s">
        <v>94</v>
      </c>
      <c r="S152" s="409" t="s">
        <v>264</v>
      </c>
      <c r="T152" s="409" t="s">
        <v>265</v>
      </c>
      <c r="U152" s="409" t="s">
        <v>266</v>
      </c>
      <c r="V152" s="408"/>
      <c r="W152" s="671"/>
      <c r="Y152" s="655" t="s">
        <v>167</v>
      </c>
      <c r="Z152" s="658" t="s">
        <v>149</v>
      </c>
      <c r="AA152" s="659" t="s">
        <v>94</v>
      </c>
      <c r="AC152" s="666"/>
      <c r="AD152" s="668"/>
      <c r="AE152" s="768" t="s">
        <v>75</v>
      </c>
      <c r="AF152" s="768" t="s">
        <v>75</v>
      </c>
      <c r="AG152" s="768" t="s">
        <v>267</v>
      </c>
      <c r="AH152" s="768" t="s">
        <v>267</v>
      </c>
      <c r="AI152" s="768" t="s">
        <v>268</v>
      </c>
      <c r="AJ152" s="768" t="s">
        <v>268</v>
      </c>
      <c r="AK152" s="770" t="s">
        <v>269</v>
      </c>
      <c r="AL152" s="768" t="s">
        <v>269</v>
      </c>
      <c r="AM152" s="667" t="s">
        <v>149</v>
      </c>
      <c r="AN152" s="659" t="s">
        <v>94</v>
      </c>
      <c r="AP152" s="409" t="s">
        <v>264</v>
      </c>
      <c r="AQ152" s="409" t="s">
        <v>265</v>
      </c>
      <c r="AS152" s="1221" t="s">
        <v>270</v>
      </c>
      <c r="AT152" s="1222" t="s">
        <v>270</v>
      </c>
      <c r="AU152" s="1223" t="s">
        <v>270</v>
      </c>
    </row>
    <row r="153" spans="1:47" ht="15.6" x14ac:dyDescent="0.3">
      <c r="A153" s="416">
        <f>(B152*10)+1</f>
        <v>131</v>
      </c>
      <c r="B153" s="362" t="str">
        <f>'Event Details'!D$22</f>
        <v>S</v>
      </c>
      <c r="C153" s="381" t="str">
        <f>'Event Details'!E$22</f>
        <v>BRAT</v>
      </c>
      <c r="D153" s="379"/>
      <c r="E153" s="378"/>
      <c r="F153" s="363" t="str">
        <f>VLOOKUP($B152,IF($H152="F",TeamSheetFemale,TeamSheetMale),$Y153-1,FALSE)</f>
        <v>S</v>
      </c>
      <c r="G153" s="380" t="str">
        <f>VLOOKUP($B152,IF($H152="F",TeamSheetFemale,TeamSheetMale),$Y153,FALSE)</f>
        <v>Alba Smith-Pena</v>
      </c>
      <c r="H153" s="363">
        <f>VLOOKUP($B152,IF($H152="F",TeamSheetFemale,TeamSheetMale),$Y153+1,FALSE)</f>
        <v>0</v>
      </c>
      <c r="I153" s="364">
        <f>VLOOKUP($B152,IF($H152="F",TeamSheetFemale,TeamSheetMale),$Y153+2,FALSE)</f>
        <v>0</v>
      </c>
      <c r="K153" s="393" t="s">
        <v>271</v>
      </c>
      <c r="L153" s="16" t="str">
        <f t="shared" ref="L153:L160" si="120">LEFT(M153,1)</f>
        <v>R</v>
      </c>
      <c r="M153" s="926" t="s">
        <v>819</v>
      </c>
      <c r="N153" s="926">
        <v>29.19</v>
      </c>
      <c r="O153" s="394" t="str">
        <f>IF(LEN($M153)=1,VLOOKUP(LEFT($M153,1),B153:I160,5,FALSE),IF(LEN($M153)=2,VLOOKUP(LEFT($M153,1),B153:I160,7,FALSE),""))</f>
        <v>RR</v>
      </c>
      <c r="P153" s="395" t="str">
        <f>IF(LEN($M153)=1,VLOOKUP(LEFT($M153,1),B153:I160,6,FALSE),IF(LEN($M153)=2,VLOOKUP(LEFT($M153,1),B153:I160,8,FALSE),""))</f>
        <v>Grace O'Malley</v>
      </c>
      <c r="Q153" s="406" t="s">
        <v>271</v>
      </c>
      <c r="R153" s="146" t="str">
        <f t="shared" ref="R153:R160" si="121">LEFT(S153,1)</f>
        <v>R</v>
      </c>
      <c r="S153" s="926" t="s">
        <v>118</v>
      </c>
      <c r="T153" s="926">
        <v>26.59</v>
      </c>
      <c r="U153" s="394" t="str">
        <f>IF(LEN($S153)=1,VLOOKUP(LEFT($S153,1),B153:I160,5,FALSE),IF(LEN($S153)=2,VLOOKUP(LEFT($S153,1),B153:I160,7,FALSE),""))</f>
        <v>R</v>
      </c>
      <c r="V153" s="395" t="str">
        <f>IF(LEN($S153)=1,VLOOKUP(LEFT($S153,1),B153:I160,6,FALSE),IF(LEN($S153)=2,VLOOKUP(LEFT($S153,1),B153:I160,8,FALSE),""))</f>
        <v>Emily Kendrick</v>
      </c>
      <c r="W153" s="417">
        <f>AN$6</f>
        <v>8</v>
      </c>
      <c r="Y153" s="653">
        <v>7</v>
      </c>
      <c r="Z153" s="653" t="str">
        <f t="shared" ref="Z153:Z160" si="122">IF(LEN(M153)&gt;0,VLOOKUP(LEFT(M153,1),ShortName,5,FALSE),0)</f>
        <v>Rugby</v>
      </c>
      <c r="AA153" s="138" t="str">
        <f t="shared" ref="AA153:AA160" si="123">IF(LEN(S153)&gt;0,VLOOKUP(LEFT(S153,1),ShortName,5,FALSE),0)</f>
        <v>Rugby</v>
      </c>
      <c r="AC153" s="16" t="str">
        <f t="shared" ref="AC153:AD160" si="124">B153</f>
        <v>S</v>
      </c>
      <c r="AD153" s="419" t="str">
        <f t="shared" si="124"/>
        <v>BRAT</v>
      </c>
      <c r="AE153" s="635">
        <f>IF(ISNA(MATCH(AC153,N153:N162,0)),0,VLOOKUP(AC153,N153:S162,5,FALSE))</f>
        <v>0</v>
      </c>
      <c r="AF153" s="635" t="str">
        <f>IF(ISNA(MATCH(AC153,T153:T162,0))," ",VLOOKUP(AC153,T153:Y162,5,FALSE))</f>
        <v xml:space="preserve"> </v>
      </c>
      <c r="AG153" s="635">
        <f>IF(ISNA(MATCH(AC153,L153:L160,0)),0,VLOOKUP(AC153,L153:N160,3,FALSE))</f>
        <v>0</v>
      </c>
      <c r="AH153" s="635">
        <f>IF(ISNA(MATCH(AC153,R153:R160,0)),0,VLOOKUP(AC153,R153:T160,3,FALSE))</f>
        <v>0</v>
      </c>
      <c r="AI153" s="635">
        <f>IF(ISNA(MATCH(AC153,L153:L160,0)),0,VLOOKUP(AC153,L153:P160,4,FALSE))</f>
        <v>0</v>
      </c>
      <c r="AJ153" s="635">
        <f>IF(ISNA(MATCH(AC153,R153:R160,0)),0,VLOOKUP(AC153,R153:U160,4,FALSE))</f>
        <v>0</v>
      </c>
      <c r="AK153" s="49">
        <f t="shared" ref="AK153:AK160" si="125">IF(AM153=0,0,AN$6-(AM153-1))</f>
        <v>0</v>
      </c>
      <c r="AL153" s="49">
        <f t="shared" ref="AL153:AL160" si="126">IF(AN153=0,0,AN$6-(AN153-1))</f>
        <v>0</v>
      </c>
      <c r="AM153" s="49">
        <f>IF(ISNA(MATCH(AC153,L153:L160,0)),0,VLOOKUP(AC153,L153:W160,AM$1,FALSE))</f>
        <v>0</v>
      </c>
      <c r="AN153" s="138">
        <f>IF(ISNA(MATCH(AC153,R153:R160,0)),0,VLOOKUP(AC153,R153:W160,AN$1,FALSE))</f>
        <v>0</v>
      </c>
      <c r="AP153" s="926"/>
      <c r="AQ153" s="926"/>
      <c r="AS153" s="32">
        <f>IF(LEN(N153)&gt;0,1,0)</f>
        <v>1</v>
      </c>
      <c r="AT153" s="32">
        <f>IF(AND(AS153=1,H152="M"),1,0)</f>
        <v>0</v>
      </c>
      <c r="AU153" s="32">
        <f>IF(AND(AS153=1,H152="F"),1,0)</f>
        <v>1</v>
      </c>
    </row>
    <row r="154" spans="1:47" ht="15.6" x14ac:dyDescent="0.3">
      <c r="A154" s="417">
        <f>A153+1</f>
        <v>132</v>
      </c>
      <c r="B154" s="362" t="str">
        <f>'Event Details'!D$23</f>
        <v>U</v>
      </c>
      <c r="C154" s="381" t="str">
        <f>'Event Details'!E$23</f>
        <v>Kidder &amp; Stourport</v>
      </c>
      <c r="D154" s="379"/>
      <c r="E154" s="378"/>
      <c r="F154" s="363">
        <f>VLOOKUP($B152,IF($H152="F",TeamSheetFemale,TeamSheetMale),$Y154-1,FALSE)</f>
        <v>0</v>
      </c>
      <c r="G154" s="380">
        <f>VLOOKUP($B152,IF($H152="F",TeamSheetFemale,TeamSheetMale),$Y154,FALSE)</f>
        <v>0</v>
      </c>
      <c r="H154" s="363">
        <f>VLOOKUP($B152,IF($H152="F",TeamSheetFemale,TeamSheetMale),$Y154+1,FALSE)</f>
        <v>0</v>
      </c>
      <c r="I154" s="364">
        <f>VLOOKUP($B152,IF($H152="F",TeamSheetFemale,TeamSheetMale),$Y154+2,FALSE)</f>
        <v>0</v>
      </c>
      <c r="K154" s="341" t="s">
        <v>272</v>
      </c>
      <c r="L154" s="16" t="str">
        <f t="shared" si="120"/>
        <v>M</v>
      </c>
      <c r="M154" s="927" t="s">
        <v>127</v>
      </c>
      <c r="N154" s="927">
        <v>28.24</v>
      </c>
      <c r="O154" s="354" t="str">
        <f>IF(LEN($M154)=1,VLOOKUP(LEFT($M154,1),B153:I160,5,FALSE),IF(LEN($M154)=2,VLOOKUP(LEFT($M154,1),B153:I160,7,FALSE),""))</f>
        <v>M</v>
      </c>
      <c r="P154" s="410" t="str">
        <f>IF(LEN($M154)=1,VLOOKUP(LEFT($M154,1),B153:I160,6,FALSE),IF(LEN($M154)=2,VLOOKUP(LEFT($M154,1),B153:I160,8,FALSE),""))</f>
        <v>Ebony Tennant</v>
      </c>
      <c r="Q154" s="371" t="s">
        <v>272</v>
      </c>
      <c r="R154" s="146" t="str">
        <f t="shared" si="121"/>
        <v>M</v>
      </c>
      <c r="S154" s="927" t="s">
        <v>821</v>
      </c>
      <c r="T154" s="927">
        <v>14.42</v>
      </c>
      <c r="U154" s="354" t="str">
        <f>IF(LEN($S154)=1,VLOOKUP(LEFT($S154,1),B153:I160,5,FALSE),IF(LEN($S154)=2,VLOOKUP(LEFT($S154,1),B153:I160,7,FALSE),""))</f>
        <v>MM</v>
      </c>
      <c r="V154" s="410" t="str">
        <f>IF(LEN($S154)=1,VLOOKUP(LEFT($S154,1),B153:I160,6,FALSE),IF(LEN($S154)=2,VLOOKUP(LEFT($S154,1),B153:I160,8,FALSE),""))</f>
        <v>Maia Collett</v>
      </c>
      <c r="W154" s="417">
        <f>W153-1</f>
        <v>7</v>
      </c>
      <c r="Y154" s="16">
        <v>12</v>
      </c>
      <c r="Z154" s="16" t="str">
        <f t="shared" si="122"/>
        <v>Sol</v>
      </c>
      <c r="AA154" s="146" t="str">
        <f t="shared" si="123"/>
        <v>Sol</v>
      </c>
      <c r="AC154" s="16" t="str">
        <f t="shared" si="124"/>
        <v>U</v>
      </c>
      <c r="AD154" s="419" t="str">
        <f t="shared" si="124"/>
        <v>Kidder &amp; Stourport</v>
      </c>
      <c r="AE154" s="419">
        <f>IF(ISNA(MATCH(AC154,N153:N162,0)),0,VLOOKUP(AC154,N153:S162,5,FALSE))</f>
        <v>0</v>
      </c>
      <c r="AF154" s="419" t="str">
        <f>IF(ISNA(MATCH(AC154,T153:T162,0))," ",VLOOKUP(AC154,T153:Y162,5,FALSE))</f>
        <v xml:space="preserve"> </v>
      </c>
      <c r="AG154" s="419">
        <f>IF(ISNA(MATCH(AC154,L153:L160,0)),0,VLOOKUP(AC154,L153:N160,3,FALSE))</f>
        <v>0</v>
      </c>
      <c r="AH154" s="419">
        <f>IF(ISNA(MATCH(AC154,R153:R160,0)),0,VLOOKUP(AC154,R153:T160,3,FALSE))</f>
        <v>0</v>
      </c>
      <c r="AI154" s="419">
        <f>IF(ISNA(MATCH(AC154,L153:L160,0)),0,VLOOKUP(AC154,L153:P160,4,FALSE))</f>
        <v>0</v>
      </c>
      <c r="AJ154" s="419">
        <f>IF(ISNA(MATCH(AC154,R153:R160,0)),0,VLOOKUP(AC154,R153:U160,4,FALSE))</f>
        <v>0</v>
      </c>
      <c r="AK154" s="32">
        <f t="shared" si="125"/>
        <v>0</v>
      </c>
      <c r="AL154" s="32">
        <f t="shared" si="126"/>
        <v>0</v>
      </c>
      <c r="AM154" s="32">
        <f>IF(ISNA(MATCH(AC154,L153:L160,0)),0,VLOOKUP(AC154,L153:W160,AM$1,FALSE))</f>
        <v>0</v>
      </c>
      <c r="AN154" s="146">
        <f>IF(ISNA(MATCH(AC154,R153:R160,0)),0,VLOOKUP(AC154,R153:W160,AN$1,FALSE))</f>
        <v>0</v>
      </c>
      <c r="AP154" s="927"/>
      <c r="AQ154" s="927"/>
    </row>
    <row r="155" spans="1:47" ht="15.6" x14ac:dyDescent="0.3">
      <c r="A155" s="417">
        <f t="shared" ref="A155:A160" si="127">A154+1</f>
        <v>133</v>
      </c>
      <c r="B155" s="362" t="str">
        <f>'Event Details'!D$24</f>
        <v>G</v>
      </c>
      <c r="C155" s="381" t="str">
        <f>'Event Details'!E$24</f>
        <v>Royal Sutton</v>
      </c>
      <c r="D155" s="379"/>
      <c r="E155" s="378"/>
      <c r="F155" s="363" t="str">
        <f>VLOOKUP($B152,IF($H152="F",TeamSheetFemale,TeamSheetMale),$Y155-1,FALSE)</f>
        <v>G</v>
      </c>
      <c r="G155" s="380" t="str">
        <f>VLOOKUP($B152,IF($H152="F",TeamSheetFemale,TeamSheetMale),$Y155,FALSE)</f>
        <v>Katie Straw</v>
      </c>
      <c r="H155" s="363" t="str">
        <f>VLOOKUP($B152,IF($H152="F",TeamSheetFemale,TeamSheetMale),$Y155+1,FALSE)</f>
        <v>GG</v>
      </c>
      <c r="I155" s="364">
        <f>VLOOKUP($B152,IF($H152="F",TeamSheetFemale,TeamSheetMale),$Y155+2,FALSE)</f>
        <v>0</v>
      </c>
      <c r="K155" s="341" t="s">
        <v>273</v>
      </c>
      <c r="L155" s="16" t="str">
        <f t="shared" si="120"/>
        <v>G</v>
      </c>
      <c r="M155" s="927" t="s">
        <v>110</v>
      </c>
      <c r="N155" s="927">
        <v>24.95</v>
      </c>
      <c r="O155" s="354" t="str">
        <f>IF(LEN($M155)=1,VLOOKUP(LEFT($M155,1),B153:I160,5,FALSE),IF(LEN($M155)=2,VLOOKUP(LEFT($M155,1),B153:I160,7,FALSE),""))</f>
        <v>G</v>
      </c>
      <c r="P155" s="410" t="str">
        <f>IF(LEN($M155)=1,VLOOKUP(LEFT($M155,1),B153:I160,6,FALSE),IF(LEN($M155)=2,VLOOKUP(LEFT($M155,1),B153:I160,8,FALSE),""))</f>
        <v>Katie Straw</v>
      </c>
      <c r="Q155" s="371" t="s">
        <v>273</v>
      </c>
      <c r="R155" s="146" t="str">
        <f t="shared" si="121"/>
        <v/>
      </c>
      <c r="S155" s="927"/>
      <c r="T155" s="927"/>
      <c r="U155" s="354" t="str">
        <f>IF(LEN($S155)=1,VLOOKUP(LEFT($S155,1),B153:I160,5,FALSE),IF(LEN($S155)=2,VLOOKUP(LEFT($S155,1),B153:I160,7,FALSE),""))</f>
        <v/>
      </c>
      <c r="V155" s="410" t="str">
        <f>IF(LEN($S155)=1,VLOOKUP(LEFT($S155,1),B153:I160,6,FALSE),IF(LEN($S155)=2,VLOOKUP(LEFT($S155,1),B153:I160,8,FALSE),""))</f>
        <v/>
      </c>
      <c r="W155" s="417">
        <f t="shared" ref="W155:W160" si="128">W154-1</f>
        <v>6</v>
      </c>
      <c r="Y155" s="16">
        <v>17</v>
      </c>
      <c r="Z155" s="16" t="str">
        <f t="shared" si="122"/>
        <v>Royal</v>
      </c>
      <c r="AA155" s="146">
        <f t="shared" si="123"/>
        <v>0</v>
      </c>
      <c r="AC155" s="16" t="str">
        <f t="shared" si="124"/>
        <v>G</v>
      </c>
      <c r="AD155" s="419" t="str">
        <f t="shared" si="124"/>
        <v>Royal Sutton</v>
      </c>
      <c r="AE155" s="419">
        <f>IF(ISNA(MATCH(AC155,N153:N162,0)),0,VLOOKUP(AC155,N153:S162,5,FALSE))</f>
        <v>0</v>
      </c>
      <c r="AF155" s="419" t="str">
        <f>IF(ISNA(MATCH(AC155,T153:T162,0))," ",VLOOKUP(AC155,T153:Y162,5,FALSE))</f>
        <v xml:space="preserve"> </v>
      </c>
      <c r="AG155" s="419">
        <f>IF(ISNA(MATCH(AC155,L153:L160,0)),0,VLOOKUP(AC155,L153:N160,3,FALSE))</f>
        <v>24.95</v>
      </c>
      <c r="AH155" s="419">
        <f>IF(ISNA(MATCH(AC155,R153:R160,0)),0,VLOOKUP(AC155,R153:T160,3,FALSE))</f>
        <v>0</v>
      </c>
      <c r="AI155" s="419" t="str">
        <f>IF(ISNA(MATCH(AC155,L153:L160,0)),0,VLOOKUP(AC155,L153:P160,4,FALSE))</f>
        <v>G</v>
      </c>
      <c r="AJ155" s="419">
        <f>IF(ISNA(MATCH(AC155,R153:R160,0)),0,VLOOKUP(AC155,R153:U160,4,FALSE))</f>
        <v>0</v>
      </c>
      <c r="AK155" s="32">
        <f t="shared" si="125"/>
        <v>3</v>
      </c>
      <c r="AL155" s="32">
        <f t="shared" si="126"/>
        <v>0</v>
      </c>
      <c r="AM155" s="32">
        <f>IF(ISNA(MATCH(AC155,L153:L160,0)),0,VLOOKUP(AC155,L153:W160,AM$1,FALSE))</f>
        <v>6</v>
      </c>
      <c r="AN155" s="146">
        <f>IF(ISNA(MATCH(AC155,R153:R160,0)),0,VLOOKUP(AC155,R153:W160,AN$1,FALSE))</f>
        <v>0</v>
      </c>
      <c r="AP155" s="927"/>
      <c r="AQ155" s="927"/>
    </row>
    <row r="156" spans="1:47" ht="15.6" x14ac:dyDescent="0.3">
      <c r="A156" s="417">
        <f t="shared" si="127"/>
        <v>134</v>
      </c>
      <c r="B156" s="362" t="str">
        <f>'Event Details'!D$25</f>
        <v>R</v>
      </c>
      <c r="C156" s="381" t="str">
        <f>'Event Details'!E$25</f>
        <v>Rugby &amp; N'hampton</v>
      </c>
      <c r="D156" s="379"/>
      <c r="E156" s="378"/>
      <c r="F156" s="363" t="str">
        <f>VLOOKUP($B152,IF($H152="F",TeamSheetFemale,TeamSheetMale),$Y156-1,FALSE)</f>
        <v>R</v>
      </c>
      <c r="G156" s="380" t="str">
        <f>VLOOKUP($B152,IF($H152="F",TeamSheetFemale,TeamSheetMale),$Y156,FALSE)</f>
        <v>Emily Kendrick</v>
      </c>
      <c r="H156" s="363" t="str">
        <f>VLOOKUP($B152,IF($H152="F",TeamSheetFemale,TeamSheetMale),$Y156+1,FALSE)</f>
        <v>RR</v>
      </c>
      <c r="I156" s="364" t="str">
        <f>VLOOKUP($B152,IF($H152="F",TeamSheetFemale,TeamSheetMale),$Y156+2,FALSE)</f>
        <v>Grace O'Malley</v>
      </c>
      <c r="K156" s="341" t="s">
        <v>274</v>
      </c>
      <c r="L156" s="16" t="str">
        <f t="shared" si="120"/>
        <v>D</v>
      </c>
      <c r="M156" s="927" t="s">
        <v>136</v>
      </c>
      <c r="N156" s="927">
        <v>12.59</v>
      </c>
      <c r="O156" s="354" t="str">
        <f>IF(LEN($M156)=1,VLOOKUP(LEFT($M156,1),B153:I160,5,FALSE),IF(LEN($M156)=2,VLOOKUP(LEFT($M156,1),B153:I160,7,FALSE),""))</f>
        <v>D</v>
      </c>
      <c r="P156" s="410" t="str">
        <f>IF(LEN($M156)=1,VLOOKUP(LEFT($M156,1),B153:I160,6,FALSE),IF(LEN($M156)=2,VLOOKUP(LEFT($M156,1),B153:I160,8,FALSE),""))</f>
        <v>Ella Smith</v>
      </c>
      <c r="Q156" s="371" t="s">
        <v>274</v>
      </c>
      <c r="R156" s="146" t="str">
        <f t="shared" si="121"/>
        <v/>
      </c>
      <c r="S156" s="927"/>
      <c r="T156" s="927"/>
      <c r="U156" s="354" t="str">
        <f>IF(LEN($S156)=1,VLOOKUP(LEFT($S156,1),B153:I160,5,FALSE),IF(LEN($S156)=2,VLOOKUP(LEFT($S156,1),B153:I160,7,FALSE),""))</f>
        <v/>
      </c>
      <c r="V156" s="410" t="str">
        <f>IF(LEN($S156)=1,VLOOKUP(LEFT($S156,1),B153:I160,6,FALSE),IF(LEN($S156)=2,VLOOKUP(LEFT($S156,1),B153:I160,8,FALSE),""))</f>
        <v/>
      </c>
      <c r="W156" s="417">
        <f t="shared" si="128"/>
        <v>5</v>
      </c>
      <c r="Y156" s="16">
        <v>22</v>
      </c>
      <c r="Z156" s="16" t="str">
        <f t="shared" si="122"/>
        <v>Strat</v>
      </c>
      <c r="AA156" s="146">
        <f t="shared" si="123"/>
        <v>0</v>
      </c>
      <c r="AC156" s="16" t="str">
        <f t="shared" si="124"/>
        <v>R</v>
      </c>
      <c r="AD156" s="419" t="str">
        <f t="shared" si="124"/>
        <v>Rugby &amp; N'hampton</v>
      </c>
      <c r="AE156" s="419">
        <f>IF(ISNA(MATCH(AC156,N153:N162,0)),0,VLOOKUP(AC156,N153:S162,5,FALSE))</f>
        <v>0</v>
      </c>
      <c r="AF156" s="419" t="str">
        <f>IF(ISNA(MATCH(AC156,T153:T162,0))," ",VLOOKUP(AC156,T153:Y162,5,FALSE))</f>
        <v xml:space="preserve"> </v>
      </c>
      <c r="AG156" s="419">
        <f>IF(ISNA(MATCH(AC156,L153:L160,0)),0,VLOOKUP(AC156,L153:N160,3,FALSE))</f>
        <v>29.19</v>
      </c>
      <c r="AH156" s="419">
        <f>IF(ISNA(MATCH(AC156,R153:R160,0)),0,VLOOKUP(AC156,R153:T160,3,FALSE))</f>
        <v>26.59</v>
      </c>
      <c r="AI156" s="419" t="str">
        <f>IF(ISNA(MATCH(AC156,L153:L160,0)),0,VLOOKUP(AC156,L153:P160,4,FALSE))</f>
        <v>RR</v>
      </c>
      <c r="AJ156" s="419" t="str">
        <f>IF(ISNA(MATCH(AC156,R153:R160,0)),0,VLOOKUP(AC156,R153:U160,4,FALSE))</f>
        <v>R</v>
      </c>
      <c r="AK156" s="32">
        <f t="shared" si="125"/>
        <v>1</v>
      </c>
      <c r="AL156" s="32">
        <f t="shared" si="126"/>
        <v>1</v>
      </c>
      <c r="AM156" s="32">
        <f>IF(ISNA(MATCH(AC156,L153:L160,0)),0,VLOOKUP(AC156,L153:W160,AM$1,FALSE))</f>
        <v>8</v>
      </c>
      <c r="AN156" s="146">
        <f>IF(ISNA(MATCH(AC156,R153:R160,0)),0,VLOOKUP(AC156,R153:W160,AN$1,FALSE))</f>
        <v>8</v>
      </c>
      <c r="AP156" s="927"/>
      <c r="AQ156" s="927"/>
    </row>
    <row r="157" spans="1:47" ht="15.6" x14ac:dyDescent="0.3">
      <c r="A157" s="417">
        <f t="shared" si="127"/>
        <v>135</v>
      </c>
      <c r="B157" s="362" t="str">
        <f>'Event Details'!D$26</f>
        <v>M</v>
      </c>
      <c r="C157" s="381" t="str">
        <f>'Event Details'!E$26</f>
        <v>Solihull &amp; S.Heath</v>
      </c>
      <c r="D157" s="379"/>
      <c r="E157" s="378"/>
      <c r="F157" s="363" t="str">
        <f>VLOOKUP($B152,IF($H152="F",TeamSheetFemale,TeamSheetMale),$Y157-1,FALSE)</f>
        <v>M</v>
      </c>
      <c r="G157" s="380" t="str">
        <f>VLOOKUP($B152,IF($H152="F",TeamSheetFemale,TeamSheetMale),$Y157,FALSE)</f>
        <v>Ebony Tennant</v>
      </c>
      <c r="H157" s="363" t="str">
        <f>VLOOKUP($B152,IF($H152="F",TeamSheetFemale,TeamSheetMale),$Y157+1,FALSE)</f>
        <v>MM</v>
      </c>
      <c r="I157" s="364" t="str">
        <f>VLOOKUP($B152,IF($H152="F",TeamSheetFemale,TeamSheetMale),$Y157+2,FALSE)</f>
        <v>Maia Collett</v>
      </c>
      <c r="K157" s="341" t="s">
        <v>275</v>
      </c>
      <c r="L157" s="16" t="str">
        <f t="shared" si="120"/>
        <v/>
      </c>
      <c r="M157" s="927"/>
      <c r="N157" s="927"/>
      <c r="O157" s="354" t="str">
        <f>IF(LEN($M157)=1,VLOOKUP(LEFT($M157,1),B153:I160,5,FALSE),IF(LEN($M157)=2,VLOOKUP(LEFT($M157,1),B153:I160,7,FALSE),""))</f>
        <v/>
      </c>
      <c r="P157" s="410" t="str">
        <f>IF(LEN($M157)=1,VLOOKUP(LEFT($M157,1),B153:I160,6,FALSE),IF(LEN($M157)=2,VLOOKUP(LEFT($M157,1),B153:I160,8,FALSE),""))</f>
        <v/>
      </c>
      <c r="Q157" s="371" t="s">
        <v>275</v>
      </c>
      <c r="R157" s="146" t="str">
        <f t="shared" si="121"/>
        <v/>
      </c>
      <c r="S157" s="927"/>
      <c r="T157" s="927"/>
      <c r="U157" s="354" t="str">
        <f>IF(LEN($S157)=1,VLOOKUP(LEFT($S157,1),B153:I160,5,FALSE),IF(LEN($S157)=2,VLOOKUP(LEFT($S157,1),B153:I160,7,FALSE),""))</f>
        <v/>
      </c>
      <c r="V157" s="410" t="str">
        <f>IF(LEN($S157)=1,VLOOKUP(LEFT($S157,1),B153:I160,6,FALSE),IF(LEN($S157)=2,VLOOKUP(LEFT($S157,1),B153:I160,8,FALSE),""))</f>
        <v/>
      </c>
      <c r="W157" s="417">
        <f t="shared" si="128"/>
        <v>4</v>
      </c>
      <c r="Y157" s="16">
        <v>27</v>
      </c>
      <c r="Z157" s="16">
        <f t="shared" si="122"/>
        <v>0</v>
      </c>
      <c r="AA157" s="146">
        <f t="shared" si="123"/>
        <v>0</v>
      </c>
      <c r="AC157" s="16" t="str">
        <f t="shared" si="124"/>
        <v>M</v>
      </c>
      <c r="AD157" s="419" t="str">
        <f t="shared" si="124"/>
        <v>Solihull &amp; S.Heath</v>
      </c>
      <c r="AE157" s="419">
        <f>IF(ISNA(MATCH(AC157,N153:N162,0)),0,VLOOKUP(AC157,N153:S162,5,FALSE))</f>
        <v>0</v>
      </c>
      <c r="AF157" s="419" t="str">
        <f>IF(ISNA(MATCH(AC157,T153:T162,0))," ",VLOOKUP(AC157,T153:Y162,5,FALSE))</f>
        <v xml:space="preserve"> </v>
      </c>
      <c r="AG157" s="419">
        <f>IF(ISNA(MATCH(AC157,L153:L160,0)),0,VLOOKUP(AC157,L153:N160,3,FALSE))</f>
        <v>28.24</v>
      </c>
      <c r="AH157" s="419">
        <f>IF(ISNA(MATCH(AC157,R153:R160,0)),0,VLOOKUP(AC157,R153:T160,3,FALSE))</f>
        <v>14.42</v>
      </c>
      <c r="AI157" s="419" t="str">
        <f>IF(ISNA(MATCH(AC157,L153:L160,0)),0,VLOOKUP(AC157,L153:P160,4,FALSE))</f>
        <v>M</v>
      </c>
      <c r="AJ157" s="419" t="str">
        <f>IF(ISNA(MATCH(AC157,R153:R160,0)),0,VLOOKUP(AC157,R153:U160,4,FALSE))</f>
        <v>MM</v>
      </c>
      <c r="AK157" s="32">
        <f t="shared" si="125"/>
        <v>2</v>
      </c>
      <c r="AL157" s="32">
        <f t="shared" si="126"/>
        <v>2</v>
      </c>
      <c r="AM157" s="32">
        <f>IF(ISNA(MATCH(AC157,L153:L160,0)),0,VLOOKUP(AC157,L153:W160,AM$1,FALSE))</f>
        <v>7</v>
      </c>
      <c r="AN157" s="146">
        <f>IF(ISNA(MATCH(AC157,R153:R160,0)),0,VLOOKUP(AC157,R153:W160,AN$1,FALSE))</f>
        <v>7</v>
      </c>
      <c r="AP157" s="927"/>
      <c r="AQ157" s="927"/>
    </row>
    <row r="158" spans="1:47" ht="15.6" x14ac:dyDescent="0.3">
      <c r="A158" s="417">
        <f t="shared" si="127"/>
        <v>136</v>
      </c>
      <c r="B158" s="362" t="str">
        <f>'Event Details'!D$27</f>
        <v>D</v>
      </c>
      <c r="C158" s="381" t="str">
        <f>'Event Details'!E$27</f>
        <v>Stratford</v>
      </c>
      <c r="D158" s="379"/>
      <c r="E158" s="378"/>
      <c r="F158" s="363" t="str">
        <f>VLOOKUP($B152,IF($H152="F",TeamSheetFemale,TeamSheetMale),$Y158-1,FALSE)</f>
        <v>D</v>
      </c>
      <c r="G158" s="380" t="str">
        <f>VLOOKUP($B152,IF($H152="F",TeamSheetFemale,TeamSheetMale),$Y158,FALSE)</f>
        <v>Ella Smith</v>
      </c>
      <c r="H158" s="363">
        <f>VLOOKUP($B152,IF($H152="F",TeamSheetFemale,TeamSheetMale),$Y158+1,FALSE)</f>
        <v>0</v>
      </c>
      <c r="I158" s="364">
        <f>VLOOKUP($B152,IF($H152="F",TeamSheetFemale,TeamSheetMale),$Y158+2,FALSE)</f>
        <v>0</v>
      </c>
      <c r="K158" s="341" t="s">
        <v>276</v>
      </c>
      <c r="L158" s="16" t="str">
        <f t="shared" si="120"/>
        <v/>
      </c>
      <c r="M158" s="927"/>
      <c r="N158" s="927"/>
      <c r="O158" s="354" t="str">
        <f>IF(LEN($M158)=1,VLOOKUP(LEFT($M158,1),B153:I160,5,FALSE),IF(LEN($M158)=2,VLOOKUP(LEFT($M158,1),B153:I160,7,FALSE),""))</f>
        <v/>
      </c>
      <c r="P158" s="410" t="str">
        <f>IF(LEN($M158)=1,VLOOKUP(LEFT($M158,1),B153:I160,6,FALSE),IF(LEN($M158)=2,VLOOKUP(LEFT($M158,1),B153:I160,8,FALSE),""))</f>
        <v/>
      </c>
      <c r="Q158" s="371" t="s">
        <v>276</v>
      </c>
      <c r="R158" s="146" t="str">
        <f t="shared" si="121"/>
        <v/>
      </c>
      <c r="S158" s="927"/>
      <c r="T158" s="927"/>
      <c r="U158" s="354" t="str">
        <f>IF(LEN($S158)=1,VLOOKUP(LEFT($S158,1),B153:I160,5,FALSE),IF(LEN($S158)=2,VLOOKUP(LEFT($S158,1),B153:I160,7,FALSE),""))</f>
        <v/>
      </c>
      <c r="V158" s="410" t="str">
        <f>IF(LEN($S158)=1,VLOOKUP(LEFT($S158,1),B153:I160,6,FALSE),IF(LEN($S158)=2,VLOOKUP(LEFT($S158,1),B153:I160,8,FALSE),""))</f>
        <v/>
      </c>
      <c r="W158" s="417">
        <f t="shared" si="128"/>
        <v>3</v>
      </c>
      <c r="Y158" s="16">
        <v>32</v>
      </c>
      <c r="Z158" s="16">
        <f t="shared" si="122"/>
        <v>0</v>
      </c>
      <c r="AA158" s="146">
        <f t="shared" si="123"/>
        <v>0</v>
      </c>
      <c r="AC158" s="16" t="str">
        <f t="shared" si="124"/>
        <v>D</v>
      </c>
      <c r="AD158" s="419" t="str">
        <f t="shared" si="124"/>
        <v>Stratford</v>
      </c>
      <c r="AE158" s="419">
        <f>IF(ISNA(MATCH(AC158,N153:N162,0)),0,VLOOKUP(AC158,N153:S162,5,FALSE))</f>
        <v>0</v>
      </c>
      <c r="AF158" s="419" t="str">
        <f>IF(ISNA(MATCH(AC158,T153:T162,0))," ",VLOOKUP(AC158,T153:Y162,5,FALSE))</f>
        <v xml:space="preserve"> </v>
      </c>
      <c r="AG158" s="419">
        <f>IF(ISNA(MATCH(AC158,L153:L160,0)),0,VLOOKUP(AC158,L153:N160,3,FALSE))</f>
        <v>12.59</v>
      </c>
      <c r="AH158" s="419">
        <f>IF(ISNA(MATCH(AC158,R153:R160,0)),0,VLOOKUP(AC158,R153:T160,3,FALSE))</f>
        <v>0</v>
      </c>
      <c r="AI158" s="419" t="str">
        <f>IF(ISNA(MATCH(AC158,L153:L160,0)),0,VLOOKUP(AC158,L153:P160,4,FALSE))</f>
        <v>D</v>
      </c>
      <c r="AJ158" s="419">
        <f>IF(ISNA(MATCH(AC158,R153:R160,0)),0,VLOOKUP(AC158,R153:U160,4,FALSE))</f>
        <v>0</v>
      </c>
      <c r="AK158" s="32">
        <f t="shared" si="125"/>
        <v>4</v>
      </c>
      <c r="AL158" s="32">
        <f t="shared" si="126"/>
        <v>0</v>
      </c>
      <c r="AM158" s="32">
        <f>IF(ISNA(MATCH(AC158,L153:L160,0)),0,VLOOKUP(AC158,L153:W160,AM$1,FALSE))</f>
        <v>5</v>
      </c>
      <c r="AN158" s="146">
        <f>IF(ISNA(MATCH(AC158,R153:R160,0)),0,VLOOKUP(AC158,R153:W160,AN$1,FALSE))</f>
        <v>0</v>
      </c>
      <c r="AP158" s="927"/>
      <c r="AQ158" s="927"/>
    </row>
    <row r="159" spans="1:47" ht="15.6" x14ac:dyDescent="0.3">
      <c r="A159" s="417">
        <f t="shared" si="127"/>
        <v>137</v>
      </c>
      <c r="B159" s="362" t="str">
        <f>'Event Details'!D$28</f>
        <v>F</v>
      </c>
      <c r="C159" s="381" t="str">
        <f>'Event Details'!E$28</f>
        <v>Tamworth</v>
      </c>
      <c r="D159" s="379"/>
      <c r="E159" s="378"/>
      <c r="F159" s="363" t="str">
        <f>VLOOKUP($B152,IF($H152="F",TeamSheetFemale,TeamSheetMale),$Y159-1,FALSE)</f>
        <v>F</v>
      </c>
      <c r="G159" s="380" t="str">
        <f>VLOOKUP($B152,IF($H152="F",TeamSheetFemale,TeamSheetMale),$Y159,FALSE)</f>
        <v>Lorelai Maxwell</v>
      </c>
      <c r="H159" s="363">
        <f>VLOOKUP($B152,IF($H152="F",TeamSheetFemale,TeamSheetMale),$Y159+1,FALSE)</f>
        <v>0</v>
      </c>
      <c r="I159" s="364">
        <f>VLOOKUP($B152,IF($H152="F",TeamSheetFemale,TeamSheetMale),$Y159+2,FALSE)</f>
        <v>0</v>
      </c>
      <c r="K159" s="341" t="s">
        <v>277</v>
      </c>
      <c r="L159" s="16" t="str">
        <f t="shared" si="120"/>
        <v/>
      </c>
      <c r="M159" s="931"/>
      <c r="N159" s="927"/>
      <c r="O159" s="354" t="str">
        <f>IF(LEN($M159)=1,VLOOKUP(LEFT($M159,1),B153:I160,5,FALSE),IF(LEN($M159)=2,VLOOKUP(LEFT($M159,1),B153:I160,7,FALSE),""))</f>
        <v/>
      </c>
      <c r="P159" s="410" t="str">
        <f>IF(LEN($M159)=1,VLOOKUP(LEFT($M159,1),B153:I160,6,FALSE),IF(LEN($M159)=2,VLOOKUP(LEFT($M159,1),B153:I160,8,FALSE),""))</f>
        <v/>
      </c>
      <c r="Q159" s="371" t="s">
        <v>277</v>
      </c>
      <c r="R159" s="146" t="str">
        <f t="shared" si="121"/>
        <v/>
      </c>
      <c r="S159" s="931"/>
      <c r="T159" s="927"/>
      <c r="U159" s="354" t="str">
        <f>IF(LEN($S159)=1,VLOOKUP(LEFT($S159,1),B153:I160,5,FALSE),IF(LEN($S159)=2,VLOOKUP(LEFT($S159,1),B153:I160,7,FALSE),""))</f>
        <v/>
      </c>
      <c r="V159" s="410" t="str">
        <f>IF(LEN($S159)=1,VLOOKUP(LEFT($S159,1),B153:I160,6,FALSE),IF(LEN($S159)=2,VLOOKUP(LEFT($S159,1),B153:I160,8,FALSE),""))</f>
        <v/>
      </c>
      <c r="W159" s="417">
        <f t="shared" si="128"/>
        <v>2</v>
      </c>
      <c r="Y159" s="16">
        <v>37</v>
      </c>
      <c r="Z159" s="16">
        <f t="shared" si="122"/>
        <v>0</v>
      </c>
      <c r="AA159" s="146">
        <f t="shared" si="123"/>
        <v>0</v>
      </c>
      <c r="AC159" s="16" t="str">
        <f t="shared" si="124"/>
        <v>F</v>
      </c>
      <c r="AD159" s="419" t="str">
        <f t="shared" si="124"/>
        <v>Tamworth</v>
      </c>
      <c r="AE159" s="419">
        <f>IF(ISNA(MATCH(AC159,N151:N160,0)),0,VLOOKUP(AC159,N151:S160,5,FALSE))</f>
        <v>0</v>
      </c>
      <c r="AF159" s="419" t="str">
        <f>IF(ISNA(MATCH(AC159,T151:T160,0))," ",VLOOKUP(AC159,T151:Y160,5,FALSE))</f>
        <v xml:space="preserve"> </v>
      </c>
      <c r="AG159" s="419">
        <f>IF(ISNA(MATCH(AC159,L153:L160,0)),0,VLOOKUP(AC159,L153:N160,3,FALSE))</f>
        <v>0</v>
      </c>
      <c r="AH159" s="419">
        <f>IF(ISNA(MATCH(AC159,R153:R160,0)),0,VLOOKUP(AC159,R153:T160,3,FALSE))</f>
        <v>0</v>
      </c>
      <c r="AI159" s="419">
        <f>IF(ISNA(MATCH(AC159,L153:L160,0)),0,VLOOKUP(AC159,L153:P160,4,FALSE))</f>
        <v>0</v>
      </c>
      <c r="AJ159" s="419">
        <f>IF(ISNA(MATCH(AC159,R153:R160,0)),0,VLOOKUP(AC159,R153:U160,4,FALSE))</f>
        <v>0</v>
      </c>
      <c r="AK159" s="32">
        <f t="shared" si="125"/>
        <v>0</v>
      </c>
      <c r="AL159" s="32">
        <f t="shared" si="126"/>
        <v>0</v>
      </c>
      <c r="AM159" s="32">
        <f>IF(ISNA(MATCH(AC159,L153:L160,0)),0,VLOOKUP(AC159,L153:W160,AM$1,FALSE))</f>
        <v>0</v>
      </c>
      <c r="AN159" s="146">
        <f>IF(ISNA(MATCH(AC159,R153:R160,0)),0,VLOOKUP(AC159,R153:W160,AN$1,FALSE))</f>
        <v>0</v>
      </c>
      <c r="AP159" s="931"/>
      <c r="AQ159" s="927"/>
    </row>
    <row r="160" spans="1:47" ht="16.2" thickBot="1" x14ac:dyDescent="0.35">
      <c r="A160" s="418">
        <f t="shared" si="127"/>
        <v>138</v>
      </c>
      <c r="B160" s="365" t="str">
        <f>'Event Details'!D$29</f>
        <v>Y</v>
      </c>
      <c r="C160" s="366" t="str">
        <f>'Event Details'!E$29</f>
        <v>Worcester</v>
      </c>
      <c r="D160" s="361"/>
      <c r="E160" s="370"/>
      <c r="F160" s="367">
        <f>VLOOKUP($B152,IF($H152="F",TeamSheetFemale,TeamSheetMale),$Y160-1,FALSE)</f>
        <v>0</v>
      </c>
      <c r="G160" s="368">
        <f>VLOOKUP($B152,IF($H152="F",TeamSheetFemale,TeamSheetMale),$Y160,FALSE)</f>
        <v>0</v>
      </c>
      <c r="H160" s="367">
        <f>VLOOKUP($B152,IF($H152="F",TeamSheetFemale,TeamSheetMale),$Y160+1,FALSE)</f>
        <v>0</v>
      </c>
      <c r="I160" s="369">
        <f>VLOOKUP($B152,IF($H152="F",TeamSheetFemale,TeamSheetMale),$Y160+2,FALSE)</f>
        <v>0</v>
      </c>
      <c r="K160" s="346" t="s">
        <v>278</v>
      </c>
      <c r="L160" s="25" t="str">
        <f t="shared" si="120"/>
        <v/>
      </c>
      <c r="M160" s="928"/>
      <c r="N160" s="932"/>
      <c r="O160" s="374" t="str">
        <f>IF(LEN($M160)=1,VLOOKUP(LEFT($M160,1),B153:I160,5,FALSE),IF(LEN($M160)=2,VLOOKUP(LEFT($M160,1),B153:I160,7,FALSE),""))</f>
        <v/>
      </c>
      <c r="P160" s="411" t="str">
        <f>IF(LEN($M160)=1,VLOOKUP(LEFT($M160,1),B153:I160,6,FALSE),IF(LEN($M160)=2,VLOOKUP(LEFT($M160,1),B153:I160,8,FALSE),""))</f>
        <v/>
      </c>
      <c r="Q160" s="407" t="s">
        <v>278</v>
      </c>
      <c r="R160" s="523" t="str">
        <f t="shared" si="121"/>
        <v/>
      </c>
      <c r="S160" s="928"/>
      <c r="T160" s="932"/>
      <c r="U160" s="374" t="str">
        <f>IF(LEN($S160)=1,VLOOKUP(LEFT($S160,1),B153:I160,5,FALSE),IF(LEN($S160)=2,VLOOKUP(LEFT($S160,1),B153:I160,7,FALSE),""))</f>
        <v/>
      </c>
      <c r="V160" s="411" t="str">
        <f>IF(LEN($S160)=1,VLOOKUP(LEFT($S160,1),B153:I160,6,FALSE),IF(LEN($S160)=2,VLOOKUP(LEFT($S160,1),B153:I160,8,FALSE),""))</f>
        <v/>
      </c>
      <c r="W160" s="418">
        <f t="shared" si="128"/>
        <v>1</v>
      </c>
      <c r="Y160" s="25">
        <v>42</v>
      </c>
      <c r="Z160" s="25">
        <f t="shared" si="122"/>
        <v>0</v>
      </c>
      <c r="AA160" s="523">
        <f t="shared" si="123"/>
        <v>0</v>
      </c>
      <c r="AC160" s="25" t="str">
        <f t="shared" si="124"/>
        <v>Y</v>
      </c>
      <c r="AD160" s="624" t="str">
        <f t="shared" si="124"/>
        <v>Worcester</v>
      </c>
      <c r="AE160" s="624">
        <f>IF(ISNA(MATCH(AC160,N152:N161,0)),0,VLOOKUP(AC160,N152:S161,5,FALSE))</f>
        <v>0</v>
      </c>
      <c r="AF160" s="624" t="str">
        <f t="shared" ref="AF160" si="129">IF(ISNA(MATCH(AC160,T152:T161,0))," ",VLOOKUP(AC160,T152:Y161,5,FALSE))</f>
        <v xml:space="preserve"> </v>
      </c>
      <c r="AG160" s="624">
        <f>IF(ISNA(MATCH(AC160,L153:L160,0)),0,VLOOKUP(AC160,L153:N160,3,FALSE))</f>
        <v>0</v>
      </c>
      <c r="AH160" s="624">
        <f>IF(ISNA(MATCH(AC160,R153:R160,0)),0,VLOOKUP(AC160,R153:T160,3,FALSE))</f>
        <v>0</v>
      </c>
      <c r="AI160" s="624">
        <f>IF(ISNA(MATCH(AC160,L153:L160,0)),0,VLOOKUP(AC160,L153:P160,4,FALSE))</f>
        <v>0</v>
      </c>
      <c r="AJ160" s="624">
        <f>IF(ISNA(MATCH(AC160,R153:R160,0)),0,VLOOKUP(AC160,R153:U160,4,FALSE))</f>
        <v>0</v>
      </c>
      <c r="AK160" s="116">
        <f t="shared" si="125"/>
        <v>0</v>
      </c>
      <c r="AL160" s="116">
        <f t="shared" si="126"/>
        <v>0</v>
      </c>
      <c r="AM160" s="116">
        <f>IF(ISNA(MATCH(AC160,L153:L160,0)),0,VLOOKUP(AC160,L153:W160,AM$1,FALSE))</f>
        <v>0</v>
      </c>
      <c r="AN160" s="523">
        <f>IF(ISNA(MATCH(AC160,R153:R160,0)),0,VLOOKUP(AC160,R153:W160,AN$1,FALSE))</f>
        <v>0</v>
      </c>
      <c r="AP160" s="928"/>
      <c r="AQ160" s="932"/>
    </row>
    <row r="161" spans="1:47" ht="15" thickBot="1" x14ac:dyDescent="0.35">
      <c r="M161" s="276"/>
      <c r="N161" s="307"/>
      <c r="S161" s="276"/>
      <c r="T161" s="307"/>
      <c r="AP161" s="276"/>
      <c r="AQ161" s="307"/>
    </row>
    <row r="162" spans="1:47" x14ac:dyDescent="0.3">
      <c r="B162" s="400" t="s">
        <v>258</v>
      </c>
      <c r="C162" s="398"/>
      <c r="D162" s="401" t="s">
        <v>165</v>
      </c>
      <c r="E162" s="398"/>
      <c r="F162" s="398"/>
      <c r="G162" s="402" t="s">
        <v>259</v>
      </c>
      <c r="H162" s="403" t="s">
        <v>249</v>
      </c>
      <c r="I162" s="404" t="s">
        <v>168</v>
      </c>
      <c r="K162" s="360"/>
      <c r="L162" s="661"/>
      <c r="M162" s="387" t="s">
        <v>260</v>
      </c>
      <c r="N162" s="387" t="s">
        <v>261</v>
      </c>
      <c r="O162" s="387" t="s">
        <v>262</v>
      </c>
      <c r="P162" s="388" t="s">
        <v>75</v>
      </c>
      <c r="Q162" s="389"/>
      <c r="R162" s="657"/>
      <c r="S162" s="387" t="s">
        <v>260</v>
      </c>
      <c r="T162" s="387" t="s">
        <v>261</v>
      </c>
      <c r="U162" s="387" t="s">
        <v>262</v>
      </c>
      <c r="V162" s="388" t="s">
        <v>75</v>
      </c>
      <c r="W162" s="672" t="s">
        <v>76</v>
      </c>
      <c r="Y162" s="414" t="s">
        <v>263</v>
      </c>
      <c r="Z162" s="656" t="s">
        <v>74</v>
      </c>
      <c r="AA162" s="657" t="s">
        <v>75</v>
      </c>
      <c r="AC162" s="665" t="s">
        <v>71</v>
      </c>
      <c r="AD162" s="657" t="s">
        <v>86</v>
      </c>
      <c r="AE162" s="661" t="s">
        <v>149</v>
      </c>
      <c r="AF162" s="661" t="s">
        <v>94</v>
      </c>
      <c r="AG162" s="661" t="s">
        <v>149</v>
      </c>
      <c r="AH162" s="661" t="s">
        <v>94</v>
      </c>
      <c r="AI162" s="661" t="s">
        <v>149</v>
      </c>
      <c r="AJ162" s="661" t="s">
        <v>94</v>
      </c>
      <c r="AK162" s="1332" t="s">
        <v>149</v>
      </c>
      <c r="AL162" s="661" t="s">
        <v>94</v>
      </c>
      <c r="AM162" s="1406" t="s">
        <v>76</v>
      </c>
      <c r="AN162" s="1407"/>
      <c r="AP162" s="387" t="s">
        <v>260</v>
      </c>
      <c r="AQ162" s="387" t="s">
        <v>261</v>
      </c>
      <c r="AS162" s="1218" t="s">
        <v>165</v>
      </c>
      <c r="AT162" s="1219" t="s">
        <v>79</v>
      </c>
      <c r="AU162" s="1220" t="s">
        <v>80</v>
      </c>
    </row>
    <row r="163" spans="1:47" ht="15" thickBot="1" x14ac:dyDescent="0.35">
      <c r="B163" s="405">
        <v>14</v>
      </c>
      <c r="C163" s="399"/>
      <c r="D163" s="385" t="str">
        <f>VLOOKUP($B163,EventOrder,6,FALSE)</f>
        <v xml:space="preserve">80m hurdles </v>
      </c>
      <c r="E163" s="399"/>
      <c r="F163" s="385"/>
      <c r="G163" s="386" t="str">
        <f>VLOOKUP($B163,EventOrder,4,FALSE)</f>
        <v>U14 Male</v>
      </c>
      <c r="H163" s="396" t="str">
        <f>IF(MID(G163,5,1)="F","F","M")</f>
        <v>M</v>
      </c>
      <c r="I163" s="397">
        <f>VLOOKUP($B163,EventOrder,2,FALSE)</f>
        <v>12</v>
      </c>
      <c r="K163" s="377"/>
      <c r="L163" s="667" t="s">
        <v>149</v>
      </c>
      <c r="M163" s="409" t="s">
        <v>264</v>
      </c>
      <c r="N163" s="409" t="s">
        <v>265</v>
      </c>
      <c r="O163" s="390" t="s">
        <v>266</v>
      </c>
      <c r="P163" s="391"/>
      <c r="Q163" s="392"/>
      <c r="R163" s="659" t="s">
        <v>94</v>
      </c>
      <c r="S163" s="409" t="s">
        <v>264</v>
      </c>
      <c r="T163" s="409" t="s">
        <v>265</v>
      </c>
      <c r="U163" s="390" t="s">
        <v>266</v>
      </c>
      <c r="V163" s="391"/>
      <c r="W163" s="671"/>
      <c r="Y163" s="415" t="s">
        <v>167</v>
      </c>
      <c r="Z163" s="658" t="s">
        <v>149</v>
      </c>
      <c r="AA163" s="659" t="s">
        <v>94</v>
      </c>
      <c r="AC163" s="666"/>
      <c r="AD163" s="668"/>
      <c r="AE163" s="768" t="s">
        <v>75</v>
      </c>
      <c r="AF163" s="768" t="s">
        <v>75</v>
      </c>
      <c r="AG163" s="768" t="s">
        <v>267</v>
      </c>
      <c r="AH163" s="768" t="s">
        <v>267</v>
      </c>
      <c r="AI163" s="768" t="s">
        <v>268</v>
      </c>
      <c r="AJ163" s="768" t="s">
        <v>268</v>
      </c>
      <c r="AK163" s="770" t="s">
        <v>269</v>
      </c>
      <c r="AL163" s="768" t="s">
        <v>269</v>
      </c>
      <c r="AM163" s="667" t="s">
        <v>149</v>
      </c>
      <c r="AN163" s="659" t="s">
        <v>94</v>
      </c>
      <c r="AP163" s="409" t="s">
        <v>264</v>
      </c>
      <c r="AQ163" s="409" t="s">
        <v>265</v>
      </c>
      <c r="AS163" s="1221" t="s">
        <v>270</v>
      </c>
      <c r="AT163" s="1222" t="s">
        <v>270</v>
      </c>
      <c r="AU163" s="1223" t="s">
        <v>270</v>
      </c>
    </row>
    <row r="164" spans="1:47" ht="15.6" x14ac:dyDescent="0.3">
      <c r="A164" s="416">
        <f>(B163*10)+1</f>
        <v>141</v>
      </c>
      <c r="B164" s="362" t="str">
        <f>'Event Details'!D$22</f>
        <v>S</v>
      </c>
      <c r="C164" s="381" t="str">
        <f>'Event Details'!E$22</f>
        <v>BRAT</v>
      </c>
      <c r="D164" s="379"/>
      <c r="E164" s="378"/>
      <c r="F164" s="363" t="str">
        <f>VLOOKUP($B163,IF($H163="F",TeamSheetFemale,TeamSheetMale),$Y164-1,FALSE)</f>
        <v>S</v>
      </c>
      <c r="G164" s="380" t="str">
        <f>VLOOKUP($B163,IF($H163="F",TeamSheetFemale,TeamSheetMale),$Y164,FALSE)</f>
        <v xml:space="preserve">William Tse </v>
      </c>
      <c r="H164" s="363" t="str">
        <f>VLOOKUP($B163,IF($H163="F",TeamSheetFemale,TeamSheetMale),$Y164+1,FALSE)</f>
        <v>SS</v>
      </c>
      <c r="I164" s="364" t="str">
        <f>VLOOKUP($B163,IF($H163="F",TeamSheetFemale,TeamSheetMale),$Y164+2,FALSE)</f>
        <v xml:space="preserve">Harvey Harris </v>
      </c>
      <c r="K164" s="393" t="s">
        <v>271</v>
      </c>
      <c r="L164" s="16" t="str">
        <f t="shared" ref="L164:L171" si="130">LEFT(M164,1)</f>
        <v>S</v>
      </c>
      <c r="M164" s="926" t="s">
        <v>100</v>
      </c>
      <c r="N164" s="926">
        <v>12.8</v>
      </c>
      <c r="O164" s="394" t="str">
        <f>IF(LEN($M164)=1,VLOOKUP(LEFT($M164,1),B164:I171,5,FALSE),IF(LEN($M164)=2,VLOOKUP(LEFT($M164,1),B164:I171,7,FALSE),""))</f>
        <v>S</v>
      </c>
      <c r="P164" s="395" t="str">
        <f>IF(LEN($M164)=1,VLOOKUP(LEFT($M164,1),B164:I171,6,FALSE),IF(LEN($M164)=2,VLOOKUP(LEFT($M164,1),B164:I171,8,FALSE),""))</f>
        <v xml:space="preserve">William Tse </v>
      </c>
      <c r="Q164" s="393" t="s">
        <v>271</v>
      </c>
      <c r="R164" s="146" t="str">
        <f t="shared" ref="R164:R171" si="131">LEFT(S164,1)</f>
        <v>G</v>
      </c>
      <c r="S164" s="926" t="s">
        <v>820</v>
      </c>
      <c r="T164" s="926">
        <v>14.2</v>
      </c>
      <c r="U164" s="394" t="str">
        <f>IF(LEN($S164)=1,VLOOKUP(LEFT($S164,1),B164:I171,5,FALSE),IF(LEN($S164)=2,VLOOKUP(LEFT($S164,1),B164:I171,7,FALSE),""))</f>
        <v>GG</v>
      </c>
      <c r="V164" s="395" t="str">
        <f>IF(LEN($S164)=1,VLOOKUP(LEFT($S164,1),B164:I171,6,FALSE),IF(LEN($S164)=2,VLOOKUP(LEFT($S164,1),B164:I171,8,FALSE),""))</f>
        <v>Finley Aldridge-Cox</v>
      </c>
      <c r="W164" s="417">
        <f>AN$6</f>
        <v>8</v>
      </c>
      <c r="Y164" s="416">
        <v>7</v>
      </c>
      <c r="Z164" s="653" t="str">
        <f t="shared" ref="Z164:Z171" si="132">IF(LEN(M164)&gt;0,VLOOKUP(LEFT(M164,1),ShortName,5,FALSE),0)</f>
        <v>BRAT</v>
      </c>
      <c r="AA164" s="138" t="str">
        <f t="shared" ref="AA164:AA171" si="133">IF(LEN(S164)&gt;0,VLOOKUP(LEFT(S164,1),ShortName,5,FALSE),0)</f>
        <v>Royal</v>
      </c>
      <c r="AC164" s="16" t="str">
        <f t="shared" ref="AC164:AD171" si="134">B164</f>
        <v>S</v>
      </c>
      <c r="AD164" s="419" t="str">
        <f t="shared" si="134"/>
        <v>BRAT</v>
      </c>
      <c r="AE164" s="635">
        <f>IF(ISNA(MATCH(AC164,N164:N173,0)),0,VLOOKUP(AC164,N164:S173,5,FALSE))</f>
        <v>0</v>
      </c>
      <c r="AF164" s="635" t="str">
        <f>IF(ISNA(MATCH(AC164,T164:T173,0))," ",VLOOKUP(AC164,T164:Y173,5,FALSE))</f>
        <v xml:space="preserve"> </v>
      </c>
      <c r="AG164" s="635">
        <f>IF(ISNA(MATCH(AC164,L164:L171,0)),0,VLOOKUP(AC164,L164:N171,3,FALSE))</f>
        <v>12.8</v>
      </c>
      <c r="AH164" s="635">
        <f>IF(ISNA(MATCH(AC164,R164:R171,0)),0,VLOOKUP(AC164,R164:T171,3,FALSE))</f>
        <v>17</v>
      </c>
      <c r="AI164" s="635" t="str">
        <f>IF(ISNA(MATCH(AC164,L164:L171,0)),0,VLOOKUP(AC164,L164:P171,4,FALSE))</f>
        <v>S</v>
      </c>
      <c r="AJ164" s="635" t="str">
        <f>IF(ISNA(MATCH(AC164,R164:R171,0)),0,VLOOKUP(AC164,R164:U171,4,FALSE))</f>
        <v>SS</v>
      </c>
      <c r="AK164" s="49">
        <f t="shared" ref="AK164:AK171" si="135">IF(AM164=0,0,AN$6-(AM164-1))</f>
        <v>1</v>
      </c>
      <c r="AL164" s="49">
        <f t="shared" ref="AL164:AL171" si="136">IF(AN164=0,0,AN$6-(AN164-1))</f>
        <v>3</v>
      </c>
      <c r="AM164" s="49">
        <f>IF(ISNA(MATCH(AC164,L164:L171,0)),0,VLOOKUP(AC164,L164:W171,AM$1,FALSE))</f>
        <v>8</v>
      </c>
      <c r="AN164" s="138">
        <f>IF(ISNA(MATCH(AC164,R164:R171,0)),0,VLOOKUP(AC164,R164:W171,AN$1,FALSE))</f>
        <v>6</v>
      </c>
      <c r="AP164" s="926"/>
      <c r="AQ164" s="926"/>
      <c r="AS164" s="32">
        <f>IF(LEN(N164)&gt;0,1,0)</f>
        <v>1</v>
      </c>
      <c r="AT164" s="32">
        <f>IF(AND(AS164=1,H163="M"),1,0)</f>
        <v>1</v>
      </c>
      <c r="AU164" s="32">
        <f>IF(AND(AS164=1,H163="F"),1,0)</f>
        <v>0</v>
      </c>
    </row>
    <row r="165" spans="1:47" ht="15.6" x14ac:dyDescent="0.3">
      <c r="A165" s="417">
        <f>A164+1</f>
        <v>142</v>
      </c>
      <c r="B165" s="362" t="str">
        <f>'Event Details'!D$23</f>
        <v>U</v>
      </c>
      <c r="C165" s="381" t="str">
        <f>'Event Details'!E$23</f>
        <v>Kidder &amp; Stourport</v>
      </c>
      <c r="D165" s="379"/>
      <c r="E165" s="378"/>
      <c r="F165" s="363" t="str">
        <f>VLOOKUP($B163,IF($H163="F",TeamSheetFemale,TeamSheetMale),$Y165-1,FALSE)</f>
        <v>U</v>
      </c>
      <c r="G165" s="380" t="str">
        <f>VLOOKUP($B163,IF($H163="F",TeamSheetFemale,TeamSheetMale),$Y165,FALSE)</f>
        <v>Will Freeman</v>
      </c>
      <c r="H165" s="363">
        <f>VLOOKUP($B163,IF($H163="F",TeamSheetFemale,TeamSheetMale),$Y165+1,FALSE)</f>
        <v>0</v>
      </c>
      <c r="I165" s="364">
        <f>VLOOKUP($B163,IF($H163="F",TeamSheetFemale,TeamSheetMale),$Y165+2,FALSE)</f>
        <v>0</v>
      </c>
      <c r="K165" s="341" t="s">
        <v>272</v>
      </c>
      <c r="L165" s="16" t="str">
        <f t="shared" si="130"/>
        <v>R</v>
      </c>
      <c r="M165" s="927" t="s">
        <v>118</v>
      </c>
      <c r="N165" s="927">
        <v>13.4</v>
      </c>
      <c r="O165" s="353" t="str">
        <f>IF(LEN($M165)=1,VLOOKUP(LEFT($M165,1),B164:I171,5,FALSE),IF(LEN($M165)=2,VLOOKUP(LEFT($M165,1),B164:I171,7,FALSE),""))</f>
        <v>R</v>
      </c>
      <c r="P165" s="373" t="str">
        <f>IF(LEN($M165)=1,VLOOKUP(LEFT($M165,1),B164:I171,6,FALSE),IF(LEN($M165)=2,VLOOKUP(LEFT($M165,1),B164:I171,8,FALSE),""))</f>
        <v>Robert Copeland</v>
      </c>
      <c r="Q165" s="341" t="s">
        <v>272</v>
      </c>
      <c r="R165" s="146" t="str">
        <f t="shared" si="131"/>
        <v>D</v>
      </c>
      <c r="S165" s="927" t="s">
        <v>513</v>
      </c>
      <c r="T165" s="927">
        <v>14.8</v>
      </c>
      <c r="U165" s="353" t="str">
        <f>IF(LEN($S165)=1,VLOOKUP(LEFT($S165,1),B164:I171,5,FALSE),IF(LEN($S165)=2,VLOOKUP(LEFT($S165,1),B164:I171,7,FALSE),""))</f>
        <v>DD</v>
      </c>
      <c r="V165" s="373" t="str">
        <f>IF(LEN($S165)=1,VLOOKUP(LEFT($S165,1),B164:I171,6,FALSE),IF(LEN($S165)=2,VLOOKUP(LEFT($S165,1),B164:I171,8,FALSE),""))</f>
        <v>Otis Lesatele</v>
      </c>
      <c r="W165" s="417">
        <f>W164-1</f>
        <v>7</v>
      </c>
      <c r="Y165" s="417">
        <v>12</v>
      </c>
      <c r="Z165" s="16" t="str">
        <f t="shared" si="132"/>
        <v>Rugby</v>
      </c>
      <c r="AA165" s="146" t="str">
        <f t="shared" si="133"/>
        <v>Strat</v>
      </c>
      <c r="AC165" s="16" t="str">
        <f t="shared" si="134"/>
        <v>U</v>
      </c>
      <c r="AD165" s="419" t="str">
        <f t="shared" si="134"/>
        <v>Kidder &amp; Stourport</v>
      </c>
      <c r="AE165" s="419">
        <f>IF(ISNA(MATCH(AC165,N164:N173,0)),0,VLOOKUP(AC165,N164:S173,5,FALSE))</f>
        <v>0</v>
      </c>
      <c r="AF165" s="419" t="str">
        <f>IF(ISNA(MATCH(AC165,T164:T173,0))," ",VLOOKUP(AC165,T164:Y173,5,FALSE))</f>
        <v xml:space="preserve"> </v>
      </c>
      <c r="AG165" s="419">
        <f>IF(ISNA(MATCH(AC165,L164:L171,0)),0,VLOOKUP(AC165,L164:N171,3,FALSE))</f>
        <v>15.8</v>
      </c>
      <c r="AH165" s="419">
        <f>IF(ISNA(MATCH(AC165,R164:R171,0)),0,VLOOKUP(AC165,R164:T171,3,FALSE))</f>
        <v>0</v>
      </c>
      <c r="AI165" s="419" t="str">
        <f>IF(ISNA(MATCH(AC165,L164:L171,0)),0,VLOOKUP(AC165,L164:P171,4,FALSE))</f>
        <v>U</v>
      </c>
      <c r="AJ165" s="419">
        <f>IF(ISNA(MATCH(AC165,R164:R171,0)),0,VLOOKUP(AC165,R164:U171,4,FALSE))</f>
        <v>0</v>
      </c>
      <c r="AK165" s="32">
        <f t="shared" si="135"/>
        <v>6</v>
      </c>
      <c r="AL165" s="32">
        <f t="shared" si="136"/>
        <v>0</v>
      </c>
      <c r="AM165" s="32">
        <f>IF(ISNA(MATCH(AC165,L164:L171,0)),0,VLOOKUP(AC165,L164:W171,AM$1,FALSE))</f>
        <v>3</v>
      </c>
      <c r="AN165" s="146">
        <f>IF(ISNA(MATCH(AC165,R164:R171,0)),0,VLOOKUP(AC165,R164:W171,AN$1,FALSE))</f>
        <v>0</v>
      </c>
      <c r="AP165" s="927"/>
      <c r="AQ165" s="927"/>
    </row>
    <row r="166" spans="1:47" ht="15.6" x14ac:dyDescent="0.3">
      <c r="A166" s="417">
        <f t="shared" ref="A166:A171" si="137">A165+1</f>
        <v>143</v>
      </c>
      <c r="B166" s="362" t="str">
        <f>'Event Details'!D$24</f>
        <v>G</v>
      </c>
      <c r="C166" s="381" t="str">
        <f>'Event Details'!E$24</f>
        <v>Royal Sutton</v>
      </c>
      <c r="D166" s="379"/>
      <c r="E166" s="378"/>
      <c r="F166" s="363" t="str">
        <f>VLOOKUP($B163,IF($H163="F",TeamSheetFemale,TeamSheetMale),$Y166-1,FALSE)</f>
        <v>G</v>
      </c>
      <c r="G166" s="380" t="str">
        <f>VLOOKUP($B163,IF($H163="F",TeamSheetFemale,TeamSheetMale),$Y166,FALSE)</f>
        <v>Lewis Deffley</v>
      </c>
      <c r="H166" s="363" t="str">
        <f>VLOOKUP($B163,IF($H163="F",TeamSheetFemale,TeamSheetMale),$Y166+1,FALSE)</f>
        <v>GG</v>
      </c>
      <c r="I166" s="364" t="str">
        <f>VLOOKUP($B163,IF($H163="F",TeamSheetFemale,TeamSheetMale),$Y166+2,FALSE)</f>
        <v>Finley Aldridge-Cox</v>
      </c>
      <c r="K166" s="341" t="s">
        <v>273</v>
      </c>
      <c r="L166" s="16" t="str">
        <f t="shared" si="130"/>
        <v>D</v>
      </c>
      <c r="M166" s="927" t="s">
        <v>136</v>
      </c>
      <c r="N166" s="927">
        <v>13.9</v>
      </c>
      <c r="O166" s="353" t="str">
        <f>IF(LEN($M166)=1,VLOOKUP(LEFT($M166,1),B164:I171,5,FALSE),IF(LEN($M166)=2,VLOOKUP(LEFT($M166,1),B164:I171,7,FALSE),""))</f>
        <v>D</v>
      </c>
      <c r="P166" s="373" t="str">
        <f>IF(LEN($M166)=1,VLOOKUP(LEFT($M166,1),B164:I171,6,FALSE),IF(LEN($M166)=2,VLOOKUP(LEFT($M166,1),B164:I171,8,FALSE),""))</f>
        <v>Fynn Allen</v>
      </c>
      <c r="Q166" s="341" t="s">
        <v>273</v>
      </c>
      <c r="R166" s="146" t="str">
        <f t="shared" si="131"/>
        <v>S</v>
      </c>
      <c r="S166" s="927" t="s">
        <v>818</v>
      </c>
      <c r="T166" s="927">
        <v>17</v>
      </c>
      <c r="U166" s="353" t="str">
        <f>IF(LEN($S166)=1,VLOOKUP(LEFT($S166,1),B164:I171,5,FALSE),IF(LEN($S166)=2,VLOOKUP(LEFT($S166,1),B164:I171,7,FALSE),""))</f>
        <v>SS</v>
      </c>
      <c r="V166" s="373" t="str">
        <f>IF(LEN($S166)=1,VLOOKUP(LEFT($S166,1),B164:I171,6,FALSE),IF(LEN($S166)=2,VLOOKUP(LEFT($S166,1),B164:I171,8,FALSE),""))</f>
        <v xml:space="preserve">Harvey Harris </v>
      </c>
      <c r="W166" s="417">
        <f t="shared" ref="W166:W171" si="138">W165-1</f>
        <v>6</v>
      </c>
      <c r="Y166" s="417">
        <v>17</v>
      </c>
      <c r="Z166" s="16" t="str">
        <f t="shared" si="132"/>
        <v>Strat</v>
      </c>
      <c r="AA166" s="146" t="str">
        <f t="shared" si="133"/>
        <v>BRAT</v>
      </c>
      <c r="AB166" s="32"/>
      <c r="AC166" s="16" t="str">
        <f t="shared" si="134"/>
        <v>G</v>
      </c>
      <c r="AD166" s="419" t="str">
        <f t="shared" si="134"/>
        <v>Royal Sutton</v>
      </c>
      <c r="AE166" s="419">
        <f>IF(ISNA(MATCH(AC166,N164:N173,0)),0,VLOOKUP(AC166,N164:S173,5,FALSE))</f>
        <v>0</v>
      </c>
      <c r="AF166" s="419" t="str">
        <f>IF(ISNA(MATCH(AC166,T164:T173,0))," ",VLOOKUP(AC166,T164:Y173,5,FALSE))</f>
        <v xml:space="preserve"> </v>
      </c>
      <c r="AG166" s="419">
        <f>IF(ISNA(MATCH(AC166,L164:L171,0)),0,VLOOKUP(AC166,L164:N171,3,FALSE))</f>
        <v>15.3</v>
      </c>
      <c r="AH166" s="419">
        <f>IF(ISNA(MATCH(AC166,R164:R171,0)),0,VLOOKUP(AC166,R164:T171,3,FALSE))</f>
        <v>14.2</v>
      </c>
      <c r="AI166" s="419" t="str">
        <f>IF(ISNA(MATCH(AC166,L164:L171,0)),0,VLOOKUP(AC166,L164:P171,4,FALSE))</f>
        <v>G</v>
      </c>
      <c r="AJ166" s="419" t="str">
        <f>IF(ISNA(MATCH(AC166,R164:R171,0)),0,VLOOKUP(AC166,R164:U171,4,FALSE))</f>
        <v>GG</v>
      </c>
      <c r="AK166" s="32">
        <f t="shared" si="135"/>
        <v>4</v>
      </c>
      <c r="AL166" s="32">
        <f t="shared" si="136"/>
        <v>1</v>
      </c>
      <c r="AM166" s="32">
        <f>IF(ISNA(MATCH(AC166,L164:L171,0)),0,VLOOKUP(AC166,L164:W171,AM$1,FALSE))</f>
        <v>5</v>
      </c>
      <c r="AN166" s="146">
        <f>IF(ISNA(MATCH(AC166,R164:R171,0)),0,VLOOKUP(AC166,R164:W171,AN$1,FALSE))</f>
        <v>8</v>
      </c>
      <c r="AP166" s="927"/>
      <c r="AQ166" s="927"/>
    </row>
    <row r="167" spans="1:47" ht="15.6" x14ac:dyDescent="0.3">
      <c r="A167" s="417">
        <f t="shared" si="137"/>
        <v>144</v>
      </c>
      <c r="B167" s="362" t="str">
        <f>'Event Details'!D$25</f>
        <v>R</v>
      </c>
      <c r="C167" s="381" t="str">
        <f>'Event Details'!E$25</f>
        <v>Rugby &amp; N'hampton</v>
      </c>
      <c r="D167" s="379"/>
      <c r="E167" s="378"/>
      <c r="F167" s="363" t="str">
        <f>VLOOKUP($B163,IF($H163="F",TeamSheetFemale,TeamSheetMale),$Y167-1,FALSE)</f>
        <v>R</v>
      </c>
      <c r="G167" s="380" t="str">
        <f>VLOOKUP($B163,IF($H163="F",TeamSheetFemale,TeamSheetMale),$Y167,FALSE)</f>
        <v>Robert Copeland</v>
      </c>
      <c r="H167" s="363" t="str">
        <f>VLOOKUP($B163,IF($H163="F",TeamSheetFemale,TeamSheetMale),$Y167+1,FALSE)</f>
        <v>RR</v>
      </c>
      <c r="I167" s="364" t="str">
        <f>VLOOKUP($B163,IF($H163="F",TeamSheetFemale,TeamSheetMale),$Y167+2,FALSE)</f>
        <v>Bruno Houltby</v>
      </c>
      <c r="K167" s="341" t="s">
        <v>274</v>
      </c>
      <c r="L167" s="16" t="str">
        <f t="shared" si="130"/>
        <v>G</v>
      </c>
      <c r="M167" s="927" t="s">
        <v>110</v>
      </c>
      <c r="N167" s="927">
        <v>15.3</v>
      </c>
      <c r="O167" s="353" t="str">
        <f>IF(LEN($M167)=1,VLOOKUP(LEFT($M167,1),B164:I171,5,FALSE),IF(LEN($M167)=2,VLOOKUP(LEFT($M167,1),B164:I171,7,FALSE),""))</f>
        <v>G</v>
      </c>
      <c r="P167" s="373" t="str">
        <f>IF(LEN($M167)=1,VLOOKUP(LEFT($M167,1),B164:I171,6,FALSE),IF(LEN($M167)=2,VLOOKUP(LEFT($M167,1),B164:I171,8,FALSE),""))</f>
        <v>Lewis Deffley</v>
      </c>
      <c r="Q167" s="341" t="s">
        <v>274</v>
      </c>
      <c r="R167" s="146" t="str">
        <f t="shared" si="131"/>
        <v/>
      </c>
      <c r="S167" s="927"/>
      <c r="T167" s="927"/>
      <c r="U167" s="353" t="str">
        <f>IF(LEN($S167)=1,VLOOKUP(LEFT($S167,1),B164:I171,5,FALSE),IF(LEN($S167)=2,VLOOKUP(LEFT($S167,1),B164:I171,7,FALSE),""))</f>
        <v/>
      </c>
      <c r="V167" s="373" t="str">
        <f>IF(LEN($S167)=1,VLOOKUP(LEFT($S167,1),B164:I171,6,FALSE),IF(LEN($S167)=2,VLOOKUP(LEFT($S167,1),B164:I171,8,FALSE),""))</f>
        <v/>
      </c>
      <c r="W167" s="417">
        <f t="shared" si="138"/>
        <v>5</v>
      </c>
      <c r="Y167" s="417">
        <v>22</v>
      </c>
      <c r="Z167" s="16" t="str">
        <f t="shared" si="132"/>
        <v>Royal</v>
      </c>
      <c r="AA167" s="146">
        <f t="shared" si="133"/>
        <v>0</v>
      </c>
      <c r="AB167" s="32"/>
      <c r="AC167" s="16" t="str">
        <f t="shared" si="134"/>
        <v>R</v>
      </c>
      <c r="AD167" s="419" t="str">
        <f t="shared" si="134"/>
        <v>Rugby &amp; N'hampton</v>
      </c>
      <c r="AE167" s="419">
        <f>IF(ISNA(MATCH(AC167,N164:N173,0)),0,VLOOKUP(AC167,N164:S173,5,FALSE))</f>
        <v>0</v>
      </c>
      <c r="AF167" s="419" t="str">
        <f>IF(ISNA(MATCH(AC167,T164:T173,0))," ",VLOOKUP(AC167,T164:Y173,5,FALSE))</f>
        <v xml:space="preserve"> </v>
      </c>
      <c r="AG167" s="419">
        <f>IF(ISNA(MATCH(AC167,L164:L171,0)),0,VLOOKUP(AC167,L164:N171,3,FALSE))</f>
        <v>13.4</v>
      </c>
      <c r="AH167" s="419">
        <f>IF(ISNA(MATCH(AC167,R164:R171,0)),0,VLOOKUP(AC167,R164:T171,3,FALSE))</f>
        <v>0</v>
      </c>
      <c r="AI167" s="419" t="str">
        <f>IF(ISNA(MATCH(AC167,L164:L171,0)),0,VLOOKUP(AC167,L164:P171,4,FALSE))</f>
        <v>R</v>
      </c>
      <c r="AJ167" s="419">
        <f>IF(ISNA(MATCH(AC167,R164:R171,0)),0,VLOOKUP(AC167,R164:U171,4,FALSE))</f>
        <v>0</v>
      </c>
      <c r="AK167" s="32">
        <f t="shared" si="135"/>
        <v>2</v>
      </c>
      <c r="AL167" s="32">
        <f t="shared" si="136"/>
        <v>0</v>
      </c>
      <c r="AM167" s="32">
        <f>IF(ISNA(MATCH(AC167,L164:L171,0)),0,VLOOKUP(AC167,L164:W171,AM$1,FALSE))</f>
        <v>7</v>
      </c>
      <c r="AN167" s="146">
        <f>IF(ISNA(MATCH(AC167,R164:R171,0)),0,VLOOKUP(AC167,R164:W171,AN$1,FALSE))</f>
        <v>0</v>
      </c>
      <c r="AP167" s="927"/>
      <c r="AQ167" s="927"/>
    </row>
    <row r="168" spans="1:47" ht="15.6" x14ac:dyDescent="0.3">
      <c r="A168" s="417">
        <f t="shared" si="137"/>
        <v>145</v>
      </c>
      <c r="B168" s="362" t="str">
        <f>'Event Details'!D$26</f>
        <v>M</v>
      </c>
      <c r="C168" s="381" t="str">
        <f>'Event Details'!E$26</f>
        <v>Solihull &amp; S.Heath</v>
      </c>
      <c r="D168" s="379"/>
      <c r="E168" s="378"/>
      <c r="F168" s="363" t="str">
        <f>VLOOKUP($B163,IF($H163="F",TeamSheetFemale,TeamSheetMale),$Y168-1,FALSE)</f>
        <v>M</v>
      </c>
      <c r="G168" s="380" t="str">
        <f>VLOOKUP($B163,IF($H163="F",TeamSheetFemale,TeamSheetMale),$Y168,FALSE)</f>
        <v>Ethan Miles</v>
      </c>
      <c r="H168" s="363">
        <f>VLOOKUP($B163,IF($H163="F",TeamSheetFemale,TeamSheetMale),$Y168+1,FALSE)</f>
        <v>0</v>
      </c>
      <c r="I168" s="364">
        <f>VLOOKUP($B163,IF($H163="F",TeamSheetFemale,TeamSheetMale),$Y168+2,FALSE)</f>
        <v>0</v>
      </c>
      <c r="K168" s="341" t="s">
        <v>275</v>
      </c>
      <c r="L168" s="16" t="str">
        <f t="shared" si="130"/>
        <v>M</v>
      </c>
      <c r="M168" s="927" t="s">
        <v>127</v>
      </c>
      <c r="N168" s="927">
        <v>15.4</v>
      </c>
      <c r="O168" s="353" t="str">
        <f>IF(LEN($M168)=1,VLOOKUP(LEFT($M168,1),B164:I171,5,FALSE),IF(LEN($M168)=2,VLOOKUP(LEFT($M168,1),B164:I171,7,FALSE),""))</f>
        <v>M</v>
      </c>
      <c r="P168" s="373" t="str">
        <f>IF(LEN($M168)=1,VLOOKUP(LEFT($M168,1),B164:I171,6,FALSE),IF(LEN($M168)=2,VLOOKUP(LEFT($M168,1),B164:I171,8,FALSE),""))</f>
        <v>Ethan Miles</v>
      </c>
      <c r="Q168" s="341" t="s">
        <v>275</v>
      </c>
      <c r="R168" s="146" t="str">
        <f t="shared" si="131"/>
        <v/>
      </c>
      <c r="S168" s="927"/>
      <c r="T168" s="927"/>
      <c r="U168" s="353" t="str">
        <f>IF(LEN($S168)=1,VLOOKUP(LEFT($S168,1),B164:I171,5,FALSE),IF(LEN($S168)=2,VLOOKUP(LEFT($S168,1),B164:I171,7,FALSE),""))</f>
        <v/>
      </c>
      <c r="V168" s="373" t="str">
        <f>IF(LEN($S168)=1,VLOOKUP(LEFT($S168,1),B164:I171,6,FALSE),IF(LEN($S168)=2,VLOOKUP(LEFT($S168,1),B164:I171,8,FALSE),""))</f>
        <v/>
      </c>
      <c r="W168" s="417">
        <f t="shared" si="138"/>
        <v>4</v>
      </c>
      <c r="Y168" s="417">
        <v>27</v>
      </c>
      <c r="Z168" s="16" t="str">
        <f t="shared" si="132"/>
        <v>Sol</v>
      </c>
      <c r="AA168" s="146">
        <f t="shared" si="133"/>
        <v>0</v>
      </c>
      <c r="AB168" s="32"/>
      <c r="AC168" s="16" t="str">
        <f t="shared" si="134"/>
        <v>M</v>
      </c>
      <c r="AD168" s="419" t="str">
        <f t="shared" si="134"/>
        <v>Solihull &amp; S.Heath</v>
      </c>
      <c r="AE168" s="419">
        <f>IF(ISNA(MATCH(AC168,N164:N173,0)),0,VLOOKUP(AC168,N164:S173,5,FALSE))</f>
        <v>0</v>
      </c>
      <c r="AF168" s="419" t="str">
        <f>IF(ISNA(MATCH(AC168,T164:T173,0))," ",VLOOKUP(AC168,T164:Y173,5,FALSE))</f>
        <v xml:space="preserve"> </v>
      </c>
      <c r="AG168" s="419">
        <f>IF(ISNA(MATCH(AC168,L164:L171,0)),0,VLOOKUP(AC168,L164:N171,3,FALSE))</f>
        <v>15.4</v>
      </c>
      <c r="AH168" s="419">
        <f>IF(ISNA(MATCH(AC168,R164:R171,0)),0,VLOOKUP(AC168,R164:T171,3,FALSE))</f>
        <v>0</v>
      </c>
      <c r="AI168" s="419" t="str">
        <f>IF(ISNA(MATCH(AC168,L164:L171,0)),0,VLOOKUP(AC168,L164:P171,4,FALSE))</f>
        <v>M</v>
      </c>
      <c r="AJ168" s="419">
        <f>IF(ISNA(MATCH(AC168,R164:R171,0)),0,VLOOKUP(AC168,R164:U171,4,FALSE))</f>
        <v>0</v>
      </c>
      <c r="AK168" s="32">
        <f t="shared" si="135"/>
        <v>5</v>
      </c>
      <c r="AL168" s="32">
        <f t="shared" si="136"/>
        <v>0</v>
      </c>
      <c r="AM168" s="32">
        <f>IF(ISNA(MATCH(AC168,L164:L171,0)),0,VLOOKUP(AC168,L164:W171,AM$1,FALSE))</f>
        <v>4</v>
      </c>
      <c r="AN168" s="146">
        <f>IF(ISNA(MATCH(AC168,R164:R171,0)),0,VLOOKUP(AC168,R164:W171,AN$1,FALSE))</f>
        <v>0</v>
      </c>
      <c r="AP168" s="927"/>
      <c r="AQ168" s="927"/>
    </row>
    <row r="169" spans="1:47" ht="15.6" x14ac:dyDescent="0.3">
      <c r="A169" s="417">
        <f t="shared" si="137"/>
        <v>146</v>
      </c>
      <c r="B169" s="362" t="str">
        <f>'Event Details'!D$27</f>
        <v>D</v>
      </c>
      <c r="C169" s="381" t="str">
        <f>'Event Details'!E$27</f>
        <v>Stratford</v>
      </c>
      <c r="D169" s="379"/>
      <c r="E169" s="378"/>
      <c r="F169" s="363" t="str">
        <f>VLOOKUP($B163,IF($H163="F",TeamSheetFemale,TeamSheetMale),$Y169-1,FALSE)</f>
        <v>D</v>
      </c>
      <c r="G169" s="380" t="str">
        <f>VLOOKUP($B163,IF($H163="F",TeamSheetFemale,TeamSheetMale),$Y169,FALSE)</f>
        <v>Fynn Allen</v>
      </c>
      <c r="H169" s="363" t="str">
        <f>VLOOKUP($B163,IF($H163="F",TeamSheetFemale,TeamSheetMale),$Y169+1,FALSE)</f>
        <v>DD</v>
      </c>
      <c r="I169" s="364" t="str">
        <f>VLOOKUP($B163,IF($H163="F",TeamSheetFemale,TeamSheetMale),$Y169+2,FALSE)</f>
        <v>Otis Lesatele</v>
      </c>
      <c r="K169" s="341" t="s">
        <v>276</v>
      </c>
      <c r="L169" s="16" t="str">
        <f t="shared" si="130"/>
        <v>U</v>
      </c>
      <c r="M169" s="927" t="s">
        <v>130</v>
      </c>
      <c r="N169" s="927">
        <v>15.8</v>
      </c>
      <c r="O169" s="353" t="str">
        <f>IF(LEN($M169)=1,VLOOKUP(LEFT($M169,1),B164:I171,5,FALSE),IF(LEN($M169)=2,VLOOKUP(LEFT($M169,1),B164:I171,7,FALSE),""))</f>
        <v>U</v>
      </c>
      <c r="P169" s="373" t="str">
        <f>IF(LEN($M169)=1,VLOOKUP(LEFT($M169,1),B164:I171,6,FALSE),IF(LEN($M169)=2,VLOOKUP(LEFT($M169,1),B164:I171,8,FALSE),""))</f>
        <v>Will Freeman</v>
      </c>
      <c r="Q169" s="341" t="s">
        <v>276</v>
      </c>
      <c r="R169" s="146" t="str">
        <f t="shared" si="131"/>
        <v/>
      </c>
      <c r="S169" s="927"/>
      <c r="T169" s="927"/>
      <c r="U169" s="353" t="str">
        <f>IF(LEN($S169)=1,VLOOKUP(LEFT($S169,1),B164:I171,5,FALSE),IF(LEN($S169)=2,VLOOKUP(LEFT($S169,1),B164:I171,7,FALSE),""))</f>
        <v/>
      </c>
      <c r="V169" s="373" t="str">
        <f>IF(LEN($S169)=1,VLOOKUP(LEFT($S169,1),B164:I171,6,FALSE),IF(LEN($S169)=2,VLOOKUP(LEFT($S169,1),B164:I171,8,FALSE),""))</f>
        <v/>
      </c>
      <c r="W169" s="417">
        <f t="shared" si="138"/>
        <v>3</v>
      </c>
      <c r="Y169" s="417">
        <v>32</v>
      </c>
      <c r="Z169" s="16" t="str">
        <f t="shared" si="132"/>
        <v>K&amp;S</v>
      </c>
      <c r="AA169" s="146">
        <f t="shared" si="133"/>
        <v>0</v>
      </c>
      <c r="AB169" s="32"/>
      <c r="AC169" s="16" t="str">
        <f t="shared" si="134"/>
        <v>D</v>
      </c>
      <c r="AD169" s="419" t="str">
        <f t="shared" si="134"/>
        <v>Stratford</v>
      </c>
      <c r="AE169" s="419">
        <f>IF(ISNA(MATCH(AC169,N164:N173,0)),0,VLOOKUP(AC169,N164:S173,5,FALSE))</f>
        <v>0</v>
      </c>
      <c r="AF169" s="419" t="str">
        <f>IF(ISNA(MATCH(AC169,T164:T173,0))," ",VLOOKUP(AC169,T164:Y173,5,FALSE))</f>
        <v xml:space="preserve"> </v>
      </c>
      <c r="AG169" s="419">
        <f>IF(ISNA(MATCH(AC169,L164:L171,0)),0,VLOOKUP(AC169,L164:N171,3,FALSE))</f>
        <v>13.9</v>
      </c>
      <c r="AH169" s="419">
        <f>IF(ISNA(MATCH(AC169,R164:R171,0)),0,VLOOKUP(AC169,R164:T171,3,FALSE))</f>
        <v>14.8</v>
      </c>
      <c r="AI169" s="419" t="str">
        <f>IF(ISNA(MATCH(AC169,L164:L171,0)),0,VLOOKUP(AC169,L164:P171,4,FALSE))</f>
        <v>D</v>
      </c>
      <c r="AJ169" s="419" t="str">
        <f>IF(ISNA(MATCH(AC169,R164:R171,0)),0,VLOOKUP(AC169,R164:U171,4,FALSE))</f>
        <v>DD</v>
      </c>
      <c r="AK169" s="32">
        <f t="shared" si="135"/>
        <v>3</v>
      </c>
      <c r="AL169" s="32">
        <f t="shared" si="136"/>
        <v>2</v>
      </c>
      <c r="AM169" s="32">
        <f>IF(ISNA(MATCH(AC169,L164:L171,0)),0,VLOOKUP(AC169,L164:W171,AM$1,FALSE))</f>
        <v>6</v>
      </c>
      <c r="AN169" s="146">
        <f>IF(ISNA(MATCH(AC169,R164:R171,0)),0,VLOOKUP(AC169,R164:W171,AN$1,FALSE))</f>
        <v>7</v>
      </c>
      <c r="AP169" s="927"/>
      <c r="AQ169" s="927"/>
    </row>
    <row r="170" spans="1:47" ht="15.6" x14ac:dyDescent="0.3">
      <c r="A170" s="417">
        <f t="shared" si="137"/>
        <v>147</v>
      </c>
      <c r="B170" s="362" t="str">
        <f>'Event Details'!D$28</f>
        <v>F</v>
      </c>
      <c r="C170" s="381" t="str">
        <f>'Event Details'!E$28</f>
        <v>Tamworth</v>
      </c>
      <c r="D170" s="379"/>
      <c r="E170" s="378"/>
      <c r="F170" s="363" t="str">
        <f>VLOOKUP($B163,IF($H163="F",TeamSheetFemale,TeamSheetMale),$Y170-1,FALSE)</f>
        <v>F</v>
      </c>
      <c r="G170" s="380" t="str">
        <f>VLOOKUP($B163,IF($H163="F",TeamSheetFemale,TeamSheetMale),$Y170,FALSE)</f>
        <v>Alfie Kemp</v>
      </c>
      <c r="H170" s="363" t="str">
        <f>VLOOKUP($B163,IF($H163="F",TeamSheetFemale,TeamSheetMale),$Y170+1,FALSE)</f>
        <v>FF</v>
      </c>
      <c r="I170" s="364">
        <f>VLOOKUP($B163,IF($H163="F",TeamSheetFemale,TeamSheetMale),$Y170+2,FALSE)</f>
        <v>0</v>
      </c>
      <c r="K170" s="341" t="s">
        <v>277</v>
      </c>
      <c r="L170" s="16" t="str">
        <f t="shared" si="130"/>
        <v>F</v>
      </c>
      <c r="M170" s="927" t="s">
        <v>142</v>
      </c>
      <c r="N170" s="927">
        <v>18.899999999999999</v>
      </c>
      <c r="O170" s="353" t="str">
        <f>IF(LEN($M170)=1,VLOOKUP(LEFT($M170,1),B164:I171,5,FALSE),IF(LEN($M170)=2,VLOOKUP(LEFT($M170,1),B164:I171,7,FALSE),""))</f>
        <v>F</v>
      </c>
      <c r="P170" s="373" t="str">
        <f>IF(LEN($M170)=1,VLOOKUP(LEFT($M170,1),B164:I171,6,FALSE),IF(LEN($M170)=2,VLOOKUP(LEFT($M170,1),B164:I171,8,FALSE),""))</f>
        <v>Alfie Kemp</v>
      </c>
      <c r="Q170" s="341" t="s">
        <v>277</v>
      </c>
      <c r="R170" s="146" t="str">
        <f t="shared" si="131"/>
        <v/>
      </c>
      <c r="S170" s="927"/>
      <c r="T170" s="927"/>
      <c r="U170" s="353" t="str">
        <f>IF(LEN($S170)=1,VLOOKUP(LEFT($S170,1),B164:I171,5,FALSE),IF(LEN($S170)=2,VLOOKUP(LEFT($S170,1),B164:I171,7,FALSE),""))</f>
        <v/>
      </c>
      <c r="V170" s="373" t="str">
        <f>IF(LEN($S170)=1,VLOOKUP(LEFT($S170,1),B164:I171,6,FALSE),IF(LEN($S170)=2,VLOOKUP(LEFT($S170,1),B164:I171,8,FALSE),""))</f>
        <v/>
      </c>
      <c r="W170" s="417">
        <f t="shared" si="138"/>
        <v>2</v>
      </c>
      <c r="Y170" s="417">
        <v>37</v>
      </c>
      <c r="Z170" s="16" t="str">
        <f t="shared" si="132"/>
        <v>Tam</v>
      </c>
      <c r="AA170" s="146">
        <f t="shared" si="133"/>
        <v>0</v>
      </c>
      <c r="AB170" s="32"/>
      <c r="AC170" s="16" t="str">
        <f t="shared" si="134"/>
        <v>F</v>
      </c>
      <c r="AD170" s="419" t="str">
        <f t="shared" si="134"/>
        <v>Tamworth</v>
      </c>
      <c r="AE170" s="419">
        <f>IF(ISNA(MATCH(AC170,N162:N171,0)),0,VLOOKUP(AC170,N162:S171,5,FALSE))</f>
        <v>0</v>
      </c>
      <c r="AF170" s="419" t="str">
        <f>IF(ISNA(MATCH(AC170,T162:T171,0))," ",VLOOKUP(AC170,T162:Y171,5,FALSE))</f>
        <v xml:space="preserve"> </v>
      </c>
      <c r="AG170" s="419">
        <f>IF(ISNA(MATCH(AC170,L164:L171,0)),0,VLOOKUP(AC170,L164:N171,3,FALSE))</f>
        <v>18.899999999999999</v>
      </c>
      <c r="AH170" s="419">
        <f>IF(ISNA(MATCH(AC170,R164:R171,0)),0,VLOOKUP(AC170,R164:T171,3,FALSE))</f>
        <v>0</v>
      </c>
      <c r="AI170" s="419" t="str">
        <f>IF(ISNA(MATCH(AC170,L164:L171,0)),0,VLOOKUP(AC170,L164:P171,4,FALSE))</f>
        <v>F</v>
      </c>
      <c r="AJ170" s="419">
        <f>IF(ISNA(MATCH(AC170,R164:R171,0)),0,VLOOKUP(AC170,R164:U171,4,FALSE))</f>
        <v>0</v>
      </c>
      <c r="AK170" s="32">
        <f t="shared" si="135"/>
        <v>7</v>
      </c>
      <c r="AL170" s="32">
        <f t="shared" si="136"/>
        <v>0</v>
      </c>
      <c r="AM170" s="32">
        <f>IF(ISNA(MATCH(AC170,L164:L171,0)),0,VLOOKUP(AC170,L164:W171,AM$1,FALSE))</f>
        <v>2</v>
      </c>
      <c r="AN170" s="146">
        <f>IF(ISNA(MATCH(AC170,R164:R171,0)),0,VLOOKUP(AC170,R164:W171,AN$1,FALSE))</f>
        <v>0</v>
      </c>
      <c r="AP170" s="927"/>
      <c r="AQ170" s="927"/>
    </row>
    <row r="171" spans="1:47" ht="16.2" thickBot="1" x14ac:dyDescent="0.35">
      <c r="A171" s="418">
        <f t="shared" si="137"/>
        <v>148</v>
      </c>
      <c r="B171" s="365" t="str">
        <f>'Event Details'!D$29</f>
        <v>Y</v>
      </c>
      <c r="C171" s="366" t="str">
        <f>'Event Details'!E$29</f>
        <v>Worcester</v>
      </c>
      <c r="D171" s="361"/>
      <c r="E171" s="370"/>
      <c r="F171" s="367" t="str">
        <f>VLOOKUP($B163,IF($H163="F",TeamSheetFemale,TeamSheetMale),$Y171-1,FALSE)</f>
        <v>Y</v>
      </c>
      <c r="G171" s="368" t="str">
        <f>VLOOKUP($B163,IF($H163="F",TeamSheetFemale,TeamSheetMale),$Y171,FALSE)</f>
        <v>Zachary Hope</v>
      </c>
      <c r="H171" s="367">
        <f>VLOOKUP($B163,IF($H163="F",TeamSheetFemale,TeamSheetMale),$Y171+1,FALSE)</f>
        <v>0</v>
      </c>
      <c r="I171" s="369">
        <f>VLOOKUP($B163,IF($H163="F",TeamSheetFemale,TeamSheetMale),$Y171+2,FALSE)</f>
        <v>0</v>
      </c>
      <c r="K171" s="346" t="s">
        <v>278</v>
      </c>
      <c r="L171" s="25" t="str">
        <f t="shared" si="130"/>
        <v/>
      </c>
      <c r="M171" s="932"/>
      <c r="N171" s="932"/>
      <c r="O171" s="375" t="str">
        <f>IF(LEN($M171)=1,VLOOKUP(LEFT($M171,1),B164:I171,5,FALSE),IF(LEN($M171)=2,VLOOKUP(LEFT($M171,1),B164:I171,7,FALSE),""))</f>
        <v/>
      </c>
      <c r="P171" s="376" t="str">
        <f>IF(LEN($M171)=1,VLOOKUP(LEFT($M171,1),B164:I171,6,FALSE),IF(LEN($M171)=2,VLOOKUP(LEFT($M171,1),B164:I171,8,FALSE),""))</f>
        <v/>
      </c>
      <c r="Q171" s="346" t="s">
        <v>278</v>
      </c>
      <c r="R171" s="523" t="str">
        <f t="shared" si="131"/>
        <v/>
      </c>
      <c r="S171" s="932"/>
      <c r="T171" s="932"/>
      <c r="U171" s="375" t="str">
        <f>IF(LEN($S171)=1,VLOOKUP(LEFT($S171,1),B164:I171,5,FALSE),IF(LEN($S171)=2,VLOOKUP(LEFT($S171,1),B164:I171,7,FALSE),""))</f>
        <v/>
      </c>
      <c r="V171" s="376" t="str">
        <f>IF(LEN($S171)=1,VLOOKUP(LEFT($S171,1),B164:I171,6,FALSE),IF(LEN($S171)=2,VLOOKUP(LEFT($S171,1),B164:I171,8,FALSE),""))</f>
        <v/>
      </c>
      <c r="W171" s="418">
        <f t="shared" si="138"/>
        <v>1</v>
      </c>
      <c r="Y171" s="418">
        <v>42</v>
      </c>
      <c r="Z171" s="25">
        <f t="shared" si="132"/>
        <v>0</v>
      </c>
      <c r="AA171" s="523">
        <f t="shared" si="133"/>
        <v>0</v>
      </c>
      <c r="AB171" s="32"/>
      <c r="AC171" s="25" t="str">
        <f t="shared" si="134"/>
        <v>Y</v>
      </c>
      <c r="AD171" s="624" t="str">
        <f t="shared" si="134"/>
        <v>Worcester</v>
      </c>
      <c r="AE171" s="624">
        <f>IF(ISNA(MATCH(AC171,N163:N172,0)),0,VLOOKUP(AC171,N163:S172,5,FALSE))</f>
        <v>0</v>
      </c>
      <c r="AF171" s="624" t="str">
        <f t="shared" ref="AF171" si="139">IF(ISNA(MATCH(AC171,T163:T172,0))," ",VLOOKUP(AC171,T163:Y172,5,FALSE))</f>
        <v xml:space="preserve"> </v>
      </c>
      <c r="AG171" s="624">
        <f>IF(ISNA(MATCH(AC171,L164:L171,0)),0,VLOOKUP(AC171,L164:N171,3,FALSE))</f>
        <v>0</v>
      </c>
      <c r="AH171" s="624">
        <f>IF(ISNA(MATCH(AC171,R164:R171,0)),0,VLOOKUP(AC171,R164:T171,3,FALSE))</f>
        <v>0</v>
      </c>
      <c r="AI171" s="624">
        <f>IF(ISNA(MATCH(AC171,L164:L171,0)),0,VLOOKUP(AC171,L164:P171,4,FALSE))</f>
        <v>0</v>
      </c>
      <c r="AJ171" s="624">
        <f>IF(ISNA(MATCH(AC171,R164:R171,0)),0,VLOOKUP(AC171,R164:U171,4,FALSE))</f>
        <v>0</v>
      </c>
      <c r="AK171" s="116">
        <f t="shared" si="135"/>
        <v>0</v>
      </c>
      <c r="AL171" s="116">
        <f t="shared" si="136"/>
        <v>0</v>
      </c>
      <c r="AM171" s="116">
        <f>IF(ISNA(MATCH(AC171,L164:L171,0)),0,VLOOKUP(AC171,L164:W171,AM$1,FALSE))</f>
        <v>0</v>
      </c>
      <c r="AN171" s="523">
        <f>IF(ISNA(MATCH(AC171,R164:R171,0)),0,VLOOKUP(AC171,R164:W171,AN$1,FALSE))</f>
        <v>0</v>
      </c>
      <c r="AP171" s="932"/>
      <c r="AQ171" s="932"/>
    </row>
    <row r="172" spans="1:47" ht="15" thickBot="1" x14ac:dyDescent="0.35">
      <c r="K172" s="1207" t="s">
        <v>280</v>
      </c>
      <c r="M172" s="276"/>
      <c r="N172" s="307"/>
      <c r="S172" s="276"/>
      <c r="T172" s="307"/>
      <c r="AP172" s="276"/>
      <c r="AQ172" s="307"/>
    </row>
    <row r="173" spans="1:47" x14ac:dyDescent="0.3">
      <c r="B173" s="400" t="s">
        <v>258</v>
      </c>
      <c r="C173" s="398"/>
      <c r="D173" s="401" t="s">
        <v>165</v>
      </c>
      <c r="E173" s="398"/>
      <c r="F173" s="398"/>
      <c r="G173" s="402" t="s">
        <v>259</v>
      </c>
      <c r="H173" s="403" t="s">
        <v>249</v>
      </c>
      <c r="I173" s="404" t="s">
        <v>168</v>
      </c>
      <c r="K173" s="360"/>
      <c r="L173" s="661"/>
      <c r="M173" s="387" t="s">
        <v>260</v>
      </c>
      <c r="N173" s="387" t="s">
        <v>261</v>
      </c>
      <c r="O173" s="387" t="s">
        <v>262</v>
      </c>
      <c r="P173" s="388" t="s">
        <v>75</v>
      </c>
      <c r="Q173" s="412"/>
      <c r="R173" s="657"/>
      <c r="S173" s="387" t="s">
        <v>260</v>
      </c>
      <c r="T173" s="387" t="s">
        <v>261</v>
      </c>
      <c r="U173" s="387" t="s">
        <v>262</v>
      </c>
      <c r="V173" s="388" t="s">
        <v>75</v>
      </c>
      <c r="W173" s="672" t="s">
        <v>76</v>
      </c>
      <c r="Y173" s="654" t="s">
        <v>263</v>
      </c>
      <c r="Z173" s="656" t="s">
        <v>74</v>
      </c>
      <c r="AA173" s="657" t="s">
        <v>75</v>
      </c>
      <c r="AC173" s="665" t="s">
        <v>71</v>
      </c>
      <c r="AD173" s="657" t="s">
        <v>86</v>
      </c>
      <c r="AE173" s="661" t="s">
        <v>149</v>
      </c>
      <c r="AF173" s="661" t="s">
        <v>94</v>
      </c>
      <c r="AG173" s="661" t="s">
        <v>149</v>
      </c>
      <c r="AH173" s="661" t="s">
        <v>94</v>
      </c>
      <c r="AI173" s="661" t="s">
        <v>149</v>
      </c>
      <c r="AJ173" s="661" t="s">
        <v>94</v>
      </c>
      <c r="AK173" s="1332" t="s">
        <v>149</v>
      </c>
      <c r="AL173" s="661" t="s">
        <v>94</v>
      </c>
      <c r="AM173" s="1406" t="s">
        <v>76</v>
      </c>
      <c r="AN173" s="1407"/>
      <c r="AP173" s="387" t="s">
        <v>260</v>
      </c>
      <c r="AQ173" s="387" t="s">
        <v>261</v>
      </c>
      <c r="AS173" s="1218" t="s">
        <v>165</v>
      </c>
      <c r="AT173" s="1219" t="s">
        <v>79</v>
      </c>
      <c r="AU173" s="1220" t="s">
        <v>80</v>
      </c>
    </row>
    <row r="174" spans="1:47" ht="15" thickBot="1" x14ac:dyDescent="0.35">
      <c r="B174" s="405">
        <v>15</v>
      </c>
      <c r="C174" s="399"/>
      <c r="D174" s="385" t="str">
        <f>VLOOKUP($B174,EventOrder,6,FALSE)</f>
        <v xml:space="preserve">800m </v>
      </c>
      <c r="E174" s="399"/>
      <c r="F174" s="385"/>
      <c r="G174" s="386" t="str">
        <f>VLOOKUP($B174,EventOrder,4,FALSE)</f>
        <v>U16 Male</v>
      </c>
      <c r="H174" s="396" t="str">
        <f>IF(MID(G174,5,1)="F","F","M")</f>
        <v>M</v>
      </c>
      <c r="I174" s="397">
        <f>VLOOKUP($B174,EventOrder,2,FALSE)</f>
        <v>12.1</v>
      </c>
      <c r="K174" s="372"/>
      <c r="L174" s="667" t="s">
        <v>149</v>
      </c>
      <c r="M174" s="409" t="s">
        <v>264</v>
      </c>
      <c r="N174" s="409" t="s">
        <v>265</v>
      </c>
      <c r="O174" s="409" t="s">
        <v>266</v>
      </c>
      <c r="P174" s="408"/>
      <c r="Q174" s="413"/>
      <c r="R174" s="659" t="s">
        <v>94</v>
      </c>
      <c r="S174" s="409" t="s">
        <v>264</v>
      </c>
      <c r="T174" s="409" t="s">
        <v>265</v>
      </c>
      <c r="U174" s="409" t="s">
        <v>266</v>
      </c>
      <c r="V174" s="408"/>
      <c r="W174" s="671"/>
      <c r="Y174" s="655" t="s">
        <v>167</v>
      </c>
      <c r="Z174" s="658" t="s">
        <v>149</v>
      </c>
      <c r="AA174" s="659" t="s">
        <v>94</v>
      </c>
      <c r="AC174" s="666"/>
      <c r="AD174" s="668"/>
      <c r="AE174" s="768" t="s">
        <v>75</v>
      </c>
      <c r="AF174" s="768" t="s">
        <v>75</v>
      </c>
      <c r="AG174" s="768" t="s">
        <v>267</v>
      </c>
      <c r="AH174" s="768" t="s">
        <v>267</v>
      </c>
      <c r="AI174" s="768" t="s">
        <v>268</v>
      </c>
      <c r="AJ174" s="768" t="s">
        <v>268</v>
      </c>
      <c r="AK174" s="770" t="s">
        <v>269</v>
      </c>
      <c r="AL174" s="768" t="s">
        <v>269</v>
      </c>
      <c r="AM174" s="667" t="s">
        <v>149</v>
      </c>
      <c r="AN174" s="659" t="s">
        <v>94</v>
      </c>
      <c r="AP174" s="409" t="s">
        <v>264</v>
      </c>
      <c r="AQ174" s="409" t="s">
        <v>265</v>
      </c>
      <c r="AS174" s="1221" t="s">
        <v>270</v>
      </c>
      <c r="AT174" s="1222" t="s">
        <v>270</v>
      </c>
      <c r="AU174" s="1223" t="s">
        <v>270</v>
      </c>
    </row>
    <row r="175" spans="1:47" ht="15.6" x14ac:dyDescent="0.3">
      <c r="A175" s="416">
        <f>(B174*10)+1</f>
        <v>151</v>
      </c>
      <c r="B175" s="362" t="str">
        <f>'Event Details'!D$22</f>
        <v>S</v>
      </c>
      <c r="C175" s="381" t="str">
        <f>'Event Details'!E$22</f>
        <v>BRAT</v>
      </c>
      <c r="D175" s="379"/>
      <c r="E175" s="378"/>
      <c r="F175" s="363" t="str">
        <f>VLOOKUP($B174,IF($H174="F",TeamSheetFemale,TeamSheetMale),$Y175-1,FALSE)</f>
        <v>S</v>
      </c>
      <c r="G175" s="380" t="str">
        <f>VLOOKUP($B174,IF($H174="F",TeamSheetFemale,TeamSheetMale),$Y175,FALSE)</f>
        <v>Noah Gordon</v>
      </c>
      <c r="H175" s="363" t="str">
        <f>VLOOKUP($B174,IF($H174="F",TeamSheetFemale,TeamSheetMale),$Y175+1,FALSE)</f>
        <v>SS</v>
      </c>
      <c r="I175" s="364" t="str">
        <f>VLOOKUP($B174,IF($H174="F",TeamSheetFemale,TeamSheetMale),$Y175+2,FALSE)</f>
        <v>Mustopha Bailey</v>
      </c>
      <c r="K175" s="393" t="s">
        <v>271</v>
      </c>
      <c r="L175" s="16" t="str">
        <f t="shared" ref="L175:L182" si="140">LEFT(M175,1)</f>
        <v>M</v>
      </c>
      <c r="M175" s="926" t="s">
        <v>127</v>
      </c>
      <c r="N175" s="926" t="s">
        <v>999</v>
      </c>
      <c r="O175" s="394" t="str">
        <f>IF(LEN($M175)=1,VLOOKUP(LEFT($M175,1),B175:I182,5,FALSE),IF(LEN($M175)=2,VLOOKUP(LEFT($M175,1),B175:I182,7,FALSE),""))</f>
        <v>M</v>
      </c>
      <c r="P175" s="395" t="str">
        <f>IF(LEN($M175)=1,VLOOKUP(LEFT($M175,1),B175:I182,6,FALSE),IF(LEN($M175)=2,VLOOKUP(LEFT($M175,1),B175:I182,8,FALSE),""))</f>
        <v>Zakariya Rush</v>
      </c>
      <c r="Q175" s="406" t="s">
        <v>271</v>
      </c>
      <c r="R175" s="146" t="str">
        <f t="shared" ref="R175:R182" si="141">LEFT(S175,1)</f>
        <v>M</v>
      </c>
      <c r="S175" s="926" t="s">
        <v>821</v>
      </c>
      <c r="T175" s="926" t="s">
        <v>1005</v>
      </c>
      <c r="U175" s="394" t="str">
        <f>IF(LEN($S175)=1,VLOOKUP(LEFT($S175,1),B175:I182,5,FALSE),IF(LEN($S175)=2,VLOOKUP(LEFT($S175,1),B175:I182,7,FALSE),""))</f>
        <v>MM</v>
      </c>
      <c r="V175" s="395" t="str">
        <f>IF(LEN($S175)=1,VLOOKUP(LEFT($S175,1),B175:I182,6,FALSE),IF(LEN($S175)=2,VLOOKUP(LEFT($S175,1),B175:I182,8,FALSE),""))</f>
        <v>Luca Woodley</v>
      </c>
      <c r="W175" s="417">
        <f>AN$6</f>
        <v>8</v>
      </c>
      <c r="Y175" s="653">
        <v>7</v>
      </c>
      <c r="Z175" s="653" t="str">
        <f t="shared" ref="Z175:Z182" si="142">IF(LEN(M175)&gt;0,VLOOKUP(LEFT(M175,1),ShortName,5,FALSE),0)</f>
        <v>Sol</v>
      </c>
      <c r="AA175" s="138" t="str">
        <f t="shared" ref="AA175:AA182" si="143">IF(LEN(S175)&gt;0,VLOOKUP(LEFT(S175,1),ShortName,5,FALSE),0)</f>
        <v>Sol</v>
      </c>
      <c r="AC175" s="16" t="str">
        <f t="shared" ref="AC175:AD182" si="144">B175</f>
        <v>S</v>
      </c>
      <c r="AD175" s="419" t="str">
        <f t="shared" si="144"/>
        <v>BRAT</v>
      </c>
      <c r="AE175" s="635">
        <f>IF(ISNA(MATCH(AC175,N175:N184,0)),0,VLOOKUP(AC175,N175:S184,5,FALSE))</f>
        <v>0</v>
      </c>
      <c r="AF175" s="635" t="str">
        <f>IF(ISNA(MATCH(AC175,T175:T184,0))," ",VLOOKUP(AC175,T175:Y184,5,FALSE))</f>
        <v xml:space="preserve"> </v>
      </c>
      <c r="AG175" s="635" t="str">
        <f>IF(ISNA(MATCH(AC175,L175:L182,0)),0,VLOOKUP(AC175,L175:N182,3,FALSE))</f>
        <v>2.14.7</v>
      </c>
      <c r="AH175" s="635" t="str">
        <f>IF(ISNA(MATCH(AC175,R175:R182,0)),0,VLOOKUP(AC175,R175:T182,3,FALSE))</f>
        <v>2.15.6</v>
      </c>
      <c r="AI175" s="635" t="str">
        <f>IF(ISNA(MATCH(AC175,L175:L182,0)),0,VLOOKUP(AC175,L175:P182,4,FALSE))</f>
        <v>S</v>
      </c>
      <c r="AJ175" s="635" t="str">
        <f>IF(ISNA(MATCH(AC175,R175:R182,0)),0,VLOOKUP(AC175,R175:U182,4,FALSE))</f>
        <v>SS</v>
      </c>
      <c r="AK175" s="49">
        <f t="shared" ref="AK175:AK182" si="145">IF(AM175=0,0,AN$6-(AM175-1))</f>
        <v>5</v>
      </c>
      <c r="AL175" s="49">
        <f t="shared" ref="AL175:AL182" si="146">IF(AN175=0,0,AN$6-(AN175-1))</f>
        <v>3</v>
      </c>
      <c r="AM175" s="49">
        <f>IF(ISNA(MATCH(AC175,L175:L182,0)),0,VLOOKUP(AC175,L175:W182,AM$1,FALSE))</f>
        <v>4</v>
      </c>
      <c r="AN175" s="138">
        <f>IF(ISNA(MATCH(AC175,R175:R182,0)),0,VLOOKUP(AC175,R175:W182,AN$1,FALSE))</f>
        <v>6</v>
      </c>
      <c r="AP175" s="926"/>
      <c r="AQ175" s="926"/>
      <c r="AS175" s="32">
        <f>IF(LEN(N175)&gt;0,1,0)</f>
        <v>1</v>
      </c>
      <c r="AT175" s="32">
        <f>IF(AND(AS175=1,H174="M"),1,0)</f>
        <v>1</v>
      </c>
      <c r="AU175" s="32">
        <f>IF(AND(AS175=1,H174="F"),1,0)</f>
        <v>0</v>
      </c>
    </row>
    <row r="176" spans="1:47" ht="15.6" x14ac:dyDescent="0.3">
      <c r="A176" s="417">
        <f>A175+1</f>
        <v>152</v>
      </c>
      <c r="B176" s="362" t="str">
        <f>'Event Details'!D$23</f>
        <v>U</v>
      </c>
      <c r="C176" s="381" t="str">
        <f>'Event Details'!E$23</f>
        <v>Kidder &amp; Stourport</v>
      </c>
      <c r="D176" s="379"/>
      <c r="E176" s="378"/>
      <c r="F176" s="363">
        <f>VLOOKUP($B174,IF($H174="F",TeamSheetFemale,TeamSheetMale),$Y176-1,FALSE)</f>
        <v>0</v>
      </c>
      <c r="G176" s="380">
        <f>VLOOKUP($B174,IF($H174="F",TeamSheetFemale,TeamSheetMale),$Y176,FALSE)</f>
        <v>0</v>
      </c>
      <c r="H176" s="363">
        <f>VLOOKUP($B174,IF($H174="F",TeamSheetFemale,TeamSheetMale),$Y176+1,FALSE)</f>
        <v>0</v>
      </c>
      <c r="I176" s="364">
        <f>VLOOKUP($B174,IF($H174="F",TeamSheetFemale,TeamSheetMale),$Y176+2,FALSE)</f>
        <v>0</v>
      </c>
      <c r="K176" s="341" t="s">
        <v>272</v>
      </c>
      <c r="L176" s="16" t="str">
        <f t="shared" si="140"/>
        <v>F</v>
      </c>
      <c r="M176" s="927" t="s">
        <v>142</v>
      </c>
      <c r="N176" s="927" t="s">
        <v>1000</v>
      </c>
      <c r="O176" s="354" t="str">
        <f>IF(LEN($M176)=1,VLOOKUP(LEFT($M176,1),B175:I182,5,FALSE),IF(LEN($M176)=2,VLOOKUP(LEFT($M176,1),B175:I182,7,FALSE),""))</f>
        <v>F</v>
      </c>
      <c r="P176" s="410" t="str">
        <f>IF(LEN($M176)=1,VLOOKUP(LEFT($M176,1),B175:I182,6,FALSE),IF(LEN($M176)=2,VLOOKUP(LEFT($M176,1),B175:I182,8,FALSE),""))</f>
        <v>Alex Haywood</v>
      </c>
      <c r="Q176" s="371" t="s">
        <v>272</v>
      </c>
      <c r="R176" s="146" t="str">
        <f t="shared" si="141"/>
        <v>R</v>
      </c>
      <c r="S176" s="927" t="s">
        <v>819</v>
      </c>
      <c r="T176" s="927" t="s">
        <v>1006</v>
      </c>
      <c r="U176" s="354" t="str">
        <f>IF(LEN($S176)=1,VLOOKUP(LEFT($S176,1),B175:I182,5,FALSE),IF(LEN($S176)=2,VLOOKUP(LEFT($S176,1),B175:I182,7,FALSE),""))</f>
        <v>RR</v>
      </c>
      <c r="V176" s="410" t="str">
        <f>IF(LEN($S176)=1,VLOOKUP(LEFT($S176,1),B175:I182,6,FALSE),IF(LEN($S176)=2,VLOOKUP(LEFT($S176,1),B175:I182,8,FALSE),""))</f>
        <v>Isaac Brierley York</v>
      </c>
      <c r="W176" s="417">
        <f>W175-1</f>
        <v>7</v>
      </c>
      <c r="Y176" s="16">
        <v>12</v>
      </c>
      <c r="Z176" s="16" t="str">
        <f t="shared" si="142"/>
        <v>Tam</v>
      </c>
      <c r="AA176" s="146" t="str">
        <f t="shared" si="143"/>
        <v>Rugby</v>
      </c>
      <c r="AC176" s="16" t="str">
        <f t="shared" si="144"/>
        <v>U</v>
      </c>
      <c r="AD176" s="419" t="str">
        <f t="shared" si="144"/>
        <v>Kidder &amp; Stourport</v>
      </c>
      <c r="AE176" s="419">
        <f>IF(ISNA(MATCH(AC176,N175:N184,0)),0,VLOOKUP(AC176,N175:S184,5,FALSE))</f>
        <v>0</v>
      </c>
      <c r="AF176" s="419" t="str">
        <f>IF(ISNA(MATCH(AC176,T175:T184,0))," ",VLOOKUP(AC176,T175:Y184,5,FALSE))</f>
        <v xml:space="preserve"> </v>
      </c>
      <c r="AG176" s="419">
        <f>IF(ISNA(MATCH(AC176,L175:L182,0)),0,VLOOKUP(AC176,L175:N182,3,FALSE))</f>
        <v>0</v>
      </c>
      <c r="AH176" s="419">
        <f>IF(ISNA(MATCH(AC176,R175:R182,0)),0,VLOOKUP(AC176,R175:T182,3,FALSE))</f>
        <v>0</v>
      </c>
      <c r="AI176" s="419">
        <f>IF(ISNA(MATCH(AC176,L175:L182,0)),0,VLOOKUP(AC176,L175:P182,4,FALSE))</f>
        <v>0</v>
      </c>
      <c r="AJ176" s="419">
        <f>IF(ISNA(MATCH(AC176,R175:R182,0)),0,VLOOKUP(AC176,R175:U182,4,FALSE))</f>
        <v>0</v>
      </c>
      <c r="AK176" s="32">
        <f t="shared" si="145"/>
        <v>0</v>
      </c>
      <c r="AL176" s="32">
        <f t="shared" si="146"/>
        <v>0</v>
      </c>
      <c r="AM176" s="32">
        <f>IF(ISNA(MATCH(AC176,L175:L182,0)),0,VLOOKUP(AC176,L175:W182,AM$1,FALSE))</f>
        <v>0</v>
      </c>
      <c r="AN176" s="146">
        <f>IF(ISNA(MATCH(AC176,R175:R182,0)),0,VLOOKUP(AC176,R175:W182,AN$1,FALSE))</f>
        <v>0</v>
      </c>
      <c r="AP176" s="927"/>
      <c r="AQ176" s="927"/>
    </row>
    <row r="177" spans="1:47" ht="15.6" x14ac:dyDescent="0.3">
      <c r="A177" s="417">
        <f t="shared" ref="A177:A182" si="147">A176+1</f>
        <v>153</v>
      </c>
      <c r="B177" s="362" t="str">
        <f>'Event Details'!D$24</f>
        <v>G</v>
      </c>
      <c r="C177" s="381" t="str">
        <f>'Event Details'!E$24</f>
        <v>Royal Sutton</v>
      </c>
      <c r="D177" s="379"/>
      <c r="E177" s="378"/>
      <c r="F177" s="363" t="str">
        <f>VLOOKUP($B174,IF($H174="F",TeamSheetFemale,TeamSheetMale),$Y177-1,FALSE)</f>
        <v>G</v>
      </c>
      <c r="G177" s="380" t="str">
        <f>VLOOKUP($B174,IF($H174="F",TeamSheetFemale,TeamSheetMale),$Y177,FALSE)</f>
        <v>Yuvan Sidhu</v>
      </c>
      <c r="H177" s="363" t="str">
        <f>VLOOKUP($B174,IF($H174="F",TeamSheetFemale,TeamSheetMale),$Y177+1,FALSE)</f>
        <v>GG</v>
      </c>
      <c r="I177" s="364">
        <f>VLOOKUP($B174,IF($H174="F",TeamSheetFemale,TeamSheetMale),$Y177+2,FALSE)</f>
        <v>0</v>
      </c>
      <c r="K177" s="341" t="s">
        <v>273</v>
      </c>
      <c r="L177" s="16" t="str">
        <f t="shared" si="140"/>
        <v>D</v>
      </c>
      <c r="M177" s="927" t="s">
        <v>136</v>
      </c>
      <c r="N177" s="927" t="s">
        <v>1001</v>
      </c>
      <c r="O177" s="354" t="str">
        <f>IF(LEN($M177)=1,VLOOKUP(LEFT($M177,1),B175:I182,5,FALSE),IF(LEN($M177)=2,VLOOKUP(LEFT($M177,1),B175:I182,7,FALSE),""))</f>
        <v>D</v>
      </c>
      <c r="P177" s="410" t="str">
        <f>IF(LEN($M177)=1,VLOOKUP(LEFT($M177,1),B175:I182,6,FALSE),IF(LEN($M177)=2,VLOOKUP(LEFT($M177,1),B175:I182,8,FALSE),""))</f>
        <v xml:space="preserve">Carter McKenzie </v>
      </c>
      <c r="Q177" s="371" t="s">
        <v>273</v>
      </c>
      <c r="R177" s="146" t="str">
        <f t="shared" si="141"/>
        <v>S</v>
      </c>
      <c r="S177" s="927" t="s">
        <v>818</v>
      </c>
      <c r="T177" s="927" t="s">
        <v>1007</v>
      </c>
      <c r="U177" s="354" t="str">
        <f>IF(LEN($S177)=1,VLOOKUP(LEFT($S177,1),B175:I182,5,FALSE),IF(LEN($S177)=2,VLOOKUP(LEFT($S177,1),B175:I182,7,FALSE),""))</f>
        <v>SS</v>
      </c>
      <c r="V177" s="410" t="str">
        <f>IF(LEN($S177)=1,VLOOKUP(LEFT($S177,1),B175:I182,6,FALSE),IF(LEN($S177)=2,VLOOKUP(LEFT($S177,1),B175:I182,8,FALSE),""))</f>
        <v>Mustopha Bailey</v>
      </c>
      <c r="W177" s="417">
        <f t="shared" ref="W177:W182" si="148">W176-1</f>
        <v>6</v>
      </c>
      <c r="Y177" s="16">
        <v>17</v>
      </c>
      <c r="Z177" s="16" t="str">
        <f t="shared" si="142"/>
        <v>Strat</v>
      </c>
      <c r="AA177" s="146" t="str">
        <f t="shared" si="143"/>
        <v>BRAT</v>
      </c>
      <c r="AC177" s="16" t="str">
        <f t="shared" si="144"/>
        <v>G</v>
      </c>
      <c r="AD177" s="419" t="str">
        <f t="shared" si="144"/>
        <v>Royal Sutton</v>
      </c>
      <c r="AE177" s="419">
        <f>IF(ISNA(MATCH(AC177,N175:N184,0)),0,VLOOKUP(AC177,N175:S184,5,FALSE))</f>
        <v>0</v>
      </c>
      <c r="AF177" s="419" t="str">
        <f>IF(ISNA(MATCH(AC177,T175:T184,0))," ",VLOOKUP(AC177,T175:Y184,5,FALSE))</f>
        <v xml:space="preserve"> </v>
      </c>
      <c r="AG177" s="419">
        <f>IF(ISNA(MATCH(AC177,L175:L182,0)),0,VLOOKUP(AC177,L175:N182,3,FALSE))</f>
        <v>0</v>
      </c>
      <c r="AH177" s="419">
        <f>IF(ISNA(MATCH(AC177,R175:R182,0)),0,VLOOKUP(AC177,R175:T182,3,FALSE))</f>
        <v>0</v>
      </c>
      <c r="AI177" s="419">
        <f>IF(ISNA(MATCH(AC177,L175:L182,0)),0,VLOOKUP(AC177,L175:P182,4,FALSE))</f>
        <v>0</v>
      </c>
      <c r="AJ177" s="419">
        <f>IF(ISNA(MATCH(AC177,R175:R182,0)),0,VLOOKUP(AC177,R175:U182,4,FALSE))</f>
        <v>0</v>
      </c>
      <c r="AK177" s="32">
        <f t="shared" si="145"/>
        <v>0</v>
      </c>
      <c r="AL177" s="32">
        <f t="shared" si="146"/>
        <v>0</v>
      </c>
      <c r="AM177" s="32">
        <f>IF(ISNA(MATCH(AC177,L175:L182,0)),0,VLOOKUP(AC177,L175:W182,AM$1,FALSE))</f>
        <v>0</v>
      </c>
      <c r="AN177" s="146">
        <f>IF(ISNA(MATCH(AC177,R175:R182,0)),0,VLOOKUP(AC177,R175:W182,AN$1,FALSE))</f>
        <v>0</v>
      </c>
      <c r="AP177" s="927"/>
      <c r="AQ177" s="927"/>
    </row>
    <row r="178" spans="1:47" ht="15.6" x14ac:dyDescent="0.3">
      <c r="A178" s="417">
        <f t="shared" si="147"/>
        <v>154</v>
      </c>
      <c r="B178" s="362" t="str">
        <f>'Event Details'!D$25</f>
        <v>R</v>
      </c>
      <c r="C178" s="381" t="str">
        <f>'Event Details'!E$25</f>
        <v>Rugby &amp; N'hampton</v>
      </c>
      <c r="D178" s="379"/>
      <c r="E178" s="378"/>
      <c r="F178" s="363" t="str">
        <f>VLOOKUP($B174,IF($H174="F",TeamSheetFemale,TeamSheetMale),$Y178-1,FALSE)</f>
        <v>R</v>
      </c>
      <c r="G178" s="380" t="str">
        <f>VLOOKUP($B174,IF($H174="F",TeamSheetFemale,TeamSheetMale),$Y178,FALSE)</f>
        <v>Toby Read</v>
      </c>
      <c r="H178" s="363" t="str">
        <f>VLOOKUP($B174,IF($H174="F",TeamSheetFemale,TeamSheetMale),$Y178+1,FALSE)</f>
        <v>RR</v>
      </c>
      <c r="I178" s="364" t="str">
        <f>VLOOKUP($B174,IF($H174="F",TeamSheetFemale,TeamSheetMale),$Y178+2,FALSE)</f>
        <v>Isaac Brierley York</v>
      </c>
      <c r="K178" s="341" t="s">
        <v>274</v>
      </c>
      <c r="L178" s="16" t="str">
        <f t="shared" si="140"/>
        <v>R</v>
      </c>
      <c r="M178" s="927" t="s">
        <v>118</v>
      </c>
      <c r="N178" s="927" t="s">
        <v>1002</v>
      </c>
      <c r="O178" s="354" t="str">
        <f>IF(LEN($M178)=1,VLOOKUP(LEFT($M178,1),B175:I182,5,FALSE),IF(LEN($M178)=2,VLOOKUP(LEFT($M178,1),B175:I182,7,FALSE),""))</f>
        <v>R</v>
      </c>
      <c r="P178" s="410" t="str">
        <f>IF(LEN($M178)=1,VLOOKUP(LEFT($M178,1),B175:I182,6,FALSE),IF(LEN($M178)=2,VLOOKUP(LEFT($M178,1),B175:I182,8,FALSE),""))</f>
        <v>Toby Read</v>
      </c>
      <c r="Q178" s="371" t="s">
        <v>274</v>
      </c>
      <c r="R178" s="146" t="str">
        <f t="shared" si="141"/>
        <v>F</v>
      </c>
      <c r="S178" s="927" t="s">
        <v>576</v>
      </c>
      <c r="T178" s="927" t="s">
        <v>1008</v>
      </c>
      <c r="U178" s="354" t="str">
        <f>IF(LEN($S178)=1,VLOOKUP(LEFT($S178,1),B175:I182,5,FALSE),IF(LEN($S178)=2,VLOOKUP(LEFT($S178,1),B175:I182,7,FALSE),""))</f>
        <v>FF</v>
      </c>
      <c r="V178" s="410" t="str">
        <f>IF(LEN($S178)=1,VLOOKUP(LEFT($S178,1),B175:I182,6,FALSE),IF(LEN($S178)=2,VLOOKUP(LEFT($S178,1),B175:I182,8,FALSE),""))</f>
        <v>Alex Hall</v>
      </c>
      <c r="W178" s="417">
        <f t="shared" si="148"/>
        <v>5</v>
      </c>
      <c r="Y178" s="16">
        <v>22</v>
      </c>
      <c r="Z178" s="16" t="str">
        <f t="shared" si="142"/>
        <v>Rugby</v>
      </c>
      <c r="AA178" s="146" t="str">
        <f t="shared" si="143"/>
        <v>Tam</v>
      </c>
      <c r="AC178" s="16" t="str">
        <f t="shared" si="144"/>
        <v>R</v>
      </c>
      <c r="AD178" s="419" t="str">
        <f t="shared" si="144"/>
        <v>Rugby &amp; N'hampton</v>
      </c>
      <c r="AE178" s="419">
        <f>IF(ISNA(MATCH(AC178,N175:N184,0)),0,VLOOKUP(AC178,N175:S184,5,FALSE))</f>
        <v>0</v>
      </c>
      <c r="AF178" s="419" t="str">
        <f>IF(ISNA(MATCH(AC178,T175:T184,0))," ",VLOOKUP(AC178,T175:Y184,5,FALSE))</f>
        <v xml:space="preserve"> </v>
      </c>
      <c r="AG178" s="419" t="str">
        <f>IF(ISNA(MATCH(AC178,L175:L182,0)),0,VLOOKUP(AC178,L175:N182,3,FALSE))</f>
        <v>2.14.2</v>
      </c>
      <c r="AH178" s="419" t="str">
        <f>IF(ISNA(MATCH(AC178,R175:R182,0)),0,VLOOKUP(AC178,R175:T182,3,FALSE))</f>
        <v>2.14.9</v>
      </c>
      <c r="AI178" s="419" t="str">
        <f>IF(ISNA(MATCH(AC178,L175:L182,0)),0,VLOOKUP(AC178,L175:P182,4,FALSE))</f>
        <v>R</v>
      </c>
      <c r="AJ178" s="419" t="str">
        <f>IF(ISNA(MATCH(AC178,R175:R182,0)),0,VLOOKUP(AC178,R175:U182,4,FALSE))</f>
        <v>RR</v>
      </c>
      <c r="AK178" s="32">
        <f t="shared" si="145"/>
        <v>4</v>
      </c>
      <c r="AL178" s="32">
        <f t="shared" si="146"/>
        <v>2</v>
      </c>
      <c r="AM178" s="32">
        <f>IF(ISNA(MATCH(AC178,L175:L182,0)),0,VLOOKUP(AC178,L175:W182,AM$1,FALSE))</f>
        <v>5</v>
      </c>
      <c r="AN178" s="146">
        <f>IF(ISNA(MATCH(AC178,R175:R182,0)),0,VLOOKUP(AC178,R175:W182,AN$1,FALSE))</f>
        <v>7</v>
      </c>
      <c r="AP178" s="927"/>
      <c r="AQ178" s="927"/>
    </row>
    <row r="179" spans="1:47" ht="15.6" x14ac:dyDescent="0.3">
      <c r="A179" s="417">
        <f t="shared" si="147"/>
        <v>155</v>
      </c>
      <c r="B179" s="362" t="str">
        <f>'Event Details'!D$26</f>
        <v>M</v>
      </c>
      <c r="C179" s="381" t="str">
        <f>'Event Details'!E$26</f>
        <v>Solihull &amp; S.Heath</v>
      </c>
      <c r="D179" s="379"/>
      <c r="E179" s="378"/>
      <c r="F179" s="363" t="str">
        <f>VLOOKUP($B174,IF($H174="F",TeamSheetFemale,TeamSheetMale),$Y179-1,FALSE)</f>
        <v>M</v>
      </c>
      <c r="G179" s="380" t="str">
        <f>VLOOKUP($B174,IF($H174="F",TeamSheetFemale,TeamSheetMale),$Y179,FALSE)</f>
        <v>Zakariya Rush</v>
      </c>
      <c r="H179" s="363" t="str">
        <f>VLOOKUP($B174,IF($H174="F",TeamSheetFemale,TeamSheetMale),$Y179+1,FALSE)</f>
        <v>MM</v>
      </c>
      <c r="I179" s="364" t="str">
        <f>VLOOKUP($B174,IF($H174="F",TeamSheetFemale,TeamSheetMale),$Y179+2,FALSE)</f>
        <v>Luca Woodley</v>
      </c>
      <c r="K179" s="341" t="s">
        <v>275</v>
      </c>
      <c r="L179" s="16" t="str">
        <f t="shared" si="140"/>
        <v>S</v>
      </c>
      <c r="M179" s="927" t="s">
        <v>100</v>
      </c>
      <c r="N179" s="927" t="s">
        <v>1003</v>
      </c>
      <c r="O179" s="354" t="str">
        <f>IF(LEN($M179)=1,VLOOKUP(LEFT($M179,1),B175:I182,5,FALSE),IF(LEN($M179)=2,VLOOKUP(LEFT($M179,1),B175:I182,7,FALSE),""))</f>
        <v>S</v>
      </c>
      <c r="P179" s="410" t="str">
        <f>IF(LEN($M179)=1,VLOOKUP(LEFT($M179,1),B175:I182,6,FALSE),IF(LEN($M179)=2,VLOOKUP(LEFT($M179,1),B175:I182,8,FALSE),""))</f>
        <v>Noah Gordon</v>
      </c>
      <c r="Q179" s="371" t="s">
        <v>275</v>
      </c>
      <c r="R179" s="146" t="str">
        <f t="shared" si="141"/>
        <v>D</v>
      </c>
      <c r="S179" s="927" t="s">
        <v>513</v>
      </c>
      <c r="T179" s="927" t="s">
        <v>1009</v>
      </c>
      <c r="U179" s="354" t="str">
        <f>IF(LEN($S179)=1,VLOOKUP(LEFT($S179,1),B175:I182,5,FALSE),IF(LEN($S179)=2,VLOOKUP(LEFT($S179,1),B175:I182,7,FALSE),""))</f>
        <v>DD</v>
      </c>
      <c r="V179" s="410" t="str">
        <f>IF(LEN($S179)=1,VLOOKUP(LEFT($S179,1),B175:I182,6,FALSE),IF(LEN($S179)=2,VLOOKUP(LEFT($S179,1),B175:I182,8,FALSE),""))</f>
        <v>Morgan Nabney</v>
      </c>
      <c r="W179" s="417">
        <f t="shared" si="148"/>
        <v>4</v>
      </c>
      <c r="Y179" s="16">
        <v>27</v>
      </c>
      <c r="Z179" s="16" t="str">
        <f t="shared" si="142"/>
        <v>BRAT</v>
      </c>
      <c r="AA179" s="146" t="str">
        <f t="shared" si="143"/>
        <v>Strat</v>
      </c>
      <c r="AC179" s="16" t="str">
        <f t="shared" si="144"/>
        <v>M</v>
      </c>
      <c r="AD179" s="419" t="str">
        <f t="shared" si="144"/>
        <v>Solihull &amp; S.Heath</v>
      </c>
      <c r="AE179" s="419">
        <f>IF(ISNA(MATCH(AC179,N175:N184,0)),0,VLOOKUP(AC179,N175:S184,5,FALSE))</f>
        <v>0</v>
      </c>
      <c r="AF179" s="419" t="str">
        <f>IF(ISNA(MATCH(AC179,T175:T184,0))," ",VLOOKUP(AC179,T175:Y184,5,FALSE))</f>
        <v xml:space="preserve"> </v>
      </c>
      <c r="AG179" s="419" t="str">
        <f>IF(ISNA(MATCH(AC179,L175:L182,0)),0,VLOOKUP(AC179,L175:N182,3,FALSE))</f>
        <v>2.03.2</v>
      </c>
      <c r="AH179" s="419" t="str">
        <f>IF(ISNA(MATCH(AC179,R175:R182,0)),0,VLOOKUP(AC179,R175:T182,3,FALSE))</f>
        <v>2.12.0</v>
      </c>
      <c r="AI179" s="419" t="str">
        <f>IF(ISNA(MATCH(AC179,L175:L182,0)),0,VLOOKUP(AC179,L175:P182,4,FALSE))</f>
        <v>M</v>
      </c>
      <c r="AJ179" s="419" t="str">
        <f>IF(ISNA(MATCH(AC179,R175:R182,0)),0,VLOOKUP(AC179,R175:U182,4,FALSE))</f>
        <v>MM</v>
      </c>
      <c r="AK179" s="32">
        <f t="shared" si="145"/>
        <v>1</v>
      </c>
      <c r="AL179" s="32">
        <f t="shared" si="146"/>
        <v>1</v>
      </c>
      <c r="AM179" s="32">
        <f>IF(ISNA(MATCH(AC179,L175:L182,0)),0,VLOOKUP(AC179,L175:W182,AM$1,FALSE))</f>
        <v>8</v>
      </c>
      <c r="AN179" s="146">
        <f>IF(ISNA(MATCH(AC179,R175:R182,0)),0,VLOOKUP(AC179,R175:W182,AN$1,FALSE))</f>
        <v>8</v>
      </c>
      <c r="AP179" s="927"/>
      <c r="AQ179" s="927"/>
    </row>
    <row r="180" spans="1:47" ht="15.6" x14ac:dyDescent="0.3">
      <c r="A180" s="417">
        <f t="shared" si="147"/>
        <v>156</v>
      </c>
      <c r="B180" s="362" t="str">
        <f>'Event Details'!D$27</f>
        <v>D</v>
      </c>
      <c r="C180" s="381" t="str">
        <f>'Event Details'!E$27</f>
        <v>Stratford</v>
      </c>
      <c r="D180" s="379"/>
      <c r="E180" s="378"/>
      <c r="F180" s="363" t="str">
        <f>VLOOKUP($B174,IF($H174="F",TeamSheetFemale,TeamSheetMale),$Y180-1,FALSE)</f>
        <v>D</v>
      </c>
      <c r="G180" s="380" t="str">
        <f>VLOOKUP($B174,IF($H174="F",TeamSheetFemale,TeamSheetMale),$Y180,FALSE)</f>
        <v xml:space="preserve">Carter McKenzie </v>
      </c>
      <c r="H180" s="363" t="str">
        <f>VLOOKUP($B174,IF($H174="F",TeamSheetFemale,TeamSheetMale),$Y180+1,FALSE)</f>
        <v>DD</v>
      </c>
      <c r="I180" s="364" t="str">
        <f>VLOOKUP($B174,IF($H174="F",TeamSheetFemale,TeamSheetMale),$Y180+2,FALSE)</f>
        <v>Morgan Nabney</v>
      </c>
      <c r="K180" s="341" t="s">
        <v>276</v>
      </c>
      <c r="L180" s="16" t="str">
        <f t="shared" si="140"/>
        <v>Y</v>
      </c>
      <c r="M180" s="927" t="s">
        <v>151</v>
      </c>
      <c r="N180" s="927" t="s">
        <v>1004</v>
      </c>
      <c r="O180" s="354" t="str">
        <f>IF(LEN($M180)=1,VLOOKUP(LEFT($M180,1),B175:I182,5,FALSE),IF(LEN($M180)=2,VLOOKUP(LEFT($M180,1),B175:I182,7,FALSE),""))</f>
        <v>Y</v>
      </c>
      <c r="P180" s="410" t="str">
        <f>IF(LEN($M180)=1,VLOOKUP(LEFT($M180,1),B175:I182,6,FALSE),IF(LEN($M180)=2,VLOOKUP(LEFT($M180,1),B175:I182,8,FALSE),""))</f>
        <v>Huw Mabey</v>
      </c>
      <c r="Q180" s="371" t="s">
        <v>276</v>
      </c>
      <c r="R180" s="146" t="str">
        <f t="shared" si="141"/>
        <v/>
      </c>
      <c r="S180" s="927"/>
      <c r="T180" s="927"/>
      <c r="U180" s="354" t="str">
        <f>IF(LEN($S180)=1,VLOOKUP(LEFT($S180,1),B175:I182,5,FALSE),IF(LEN($S180)=2,VLOOKUP(LEFT($S180,1),B175:I182,7,FALSE),""))</f>
        <v/>
      </c>
      <c r="V180" s="410" t="str">
        <f>IF(LEN($S180)=1,VLOOKUP(LEFT($S180,1),B175:I182,6,FALSE),IF(LEN($S180)=2,VLOOKUP(LEFT($S180,1),B175:I182,8,FALSE),""))</f>
        <v/>
      </c>
      <c r="W180" s="417">
        <f t="shared" si="148"/>
        <v>3</v>
      </c>
      <c r="Y180" s="16">
        <v>32</v>
      </c>
      <c r="Z180" s="16" t="str">
        <f t="shared" si="142"/>
        <v>Worc</v>
      </c>
      <c r="AA180" s="146">
        <f t="shared" si="143"/>
        <v>0</v>
      </c>
      <c r="AC180" s="16" t="str">
        <f t="shared" si="144"/>
        <v>D</v>
      </c>
      <c r="AD180" s="419" t="str">
        <f t="shared" si="144"/>
        <v>Stratford</v>
      </c>
      <c r="AE180" s="419">
        <f>IF(ISNA(MATCH(AC180,N175:N184,0)),0,VLOOKUP(AC180,N175:S184,5,FALSE))</f>
        <v>0</v>
      </c>
      <c r="AF180" s="419" t="str">
        <f>IF(ISNA(MATCH(AC180,T175:T184,0))," ",VLOOKUP(AC180,T175:Y184,5,FALSE))</f>
        <v xml:space="preserve"> </v>
      </c>
      <c r="AG180" s="419" t="str">
        <f>IF(ISNA(MATCH(AC180,L175:L182,0)),0,VLOOKUP(AC180,L175:N182,3,FALSE))</f>
        <v>2.13.2</v>
      </c>
      <c r="AH180" s="419" t="str">
        <f>IF(ISNA(MATCH(AC180,R175:R182,0)),0,VLOOKUP(AC180,R175:T182,3,FALSE))</f>
        <v>2.25.2</v>
      </c>
      <c r="AI180" s="419" t="str">
        <f>IF(ISNA(MATCH(AC180,L175:L182,0)),0,VLOOKUP(AC180,L175:P182,4,FALSE))</f>
        <v>D</v>
      </c>
      <c r="AJ180" s="419" t="str">
        <f>IF(ISNA(MATCH(AC180,R175:R182,0)),0,VLOOKUP(AC180,R175:U182,4,FALSE))</f>
        <v>DD</v>
      </c>
      <c r="AK180" s="32">
        <f t="shared" si="145"/>
        <v>3</v>
      </c>
      <c r="AL180" s="32">
        <f t="shared" si="146"/>
        <v>5</v>
      </c>
      <c r="AM180" s="32">
        <f>IF(ISNA(MATCH(AC180,L175:L182,0)),0,VLOOKUP(AC180,L175:W182,AM$1,FALSE))</f>
        <v>6</v>
      </c>
      <c r="AN180" s="146">
        <f>IF(ISNA(MATCH(AC180,R175:R182,0)),0,VLOOKUP(AC180,R175:W182,AN$1,FALSE))</f>
        <v>4</v>
      </c>
      <c r="AP180" s="927"/>
      <c r="AQ180" s="927"/>
    </row>
    <row r="181" spans="1:47" ht="15.6" x14ac:dyDescent="0.3">
      <c r="A181" s="417">
        <f t="shared" si="147"/>
        <v>157</v>
      </c>
      <c r="B181" s="362" t="str">
        <f>'Event Details'!D$28</f>
        <v>F</v>
      </c>
      <c r="C181" s="381" t="str">
        <f>'Event Details'!E$28</f>
        <v>Tamworth</v>
      </c>
      <c r="D181" s="379"/>
      <c r="E181" s="378"/>
      <c r="F181" s="363" t="str">
        <f>VLOOKUP($B174,IF($H174="F",TeamSheetFemale,TeamSheetMale),$Y181-1,FALSE)</f>
        <v>F</v>
      </c>
      <c r="G181" s="380" t="str">
        <f>VLOOKUP($B174,IF($H174="F",TeamSheetFemale,TeamSheetMale),$Y181,FALSE)</f>
        <v>Alex Haywood</v>
      </c>
      <c r="H181" s="363" t="str">
        <f>VLOOKUP($B174,IF($H174="F",TeamSheetFemale,TeamSheetMale),$Y181+1,FALSE)</f>
        <v>FF</v>
      </c>
      <c r="I181" s="364" t="str">
        <f>VLOOKUP($B174,IF($H174="F",TeamSheetFemale,TeamSheetMale),$Y181+2,FALSE)</f>
        <v>Alex Hall</v>
      </c>
      <c r="K181" s="341" t="s">
        <v>277</v>
      </c>
      <c r="L181" s="16" t="str">
        <f t="shared" si="140"/>
        <v/>
      </c>
      <c r="M181" s="927"/>
      <c r="N181" s="927"/>
      <c r="O181" s="354" t="str">
        <f>IF(LEN($M181)=1,VLOOKUP(LEFT($M181,1),B175:I182,5,FALSE),IF(LEN($M181)=2,VLOOKUP(LEFT($M181,1),B175:I182,7,FALSE),""))</f>
        <v/>
      </c>
      <c r="P181" s="410" t="str">
        <f>IF(LEN($M181)=1,VLOOKUP(LEFT($M181,1),B175:I182,6,FALSE),IF(LEN($M181)=2,VLOOKUP(LEFT($M181,1),B175:I182,8,FALSE),""))</f>
        <v/>
      </c>
      <c r="Q181" s="371" t="s">
        <v>277</v>
      </c>
      <c r="R181" s="146" t="str">
        <f t="shared" si="141"/>
        <v/>
      </c>
      <c r="S181" s="927"/>
      <c r="T181" s="927"/>
      <c r="U181" s="354" t="str">
        <f>IF(LEN($S181)=1,VLOOKUP(LEFT($S181,1),B175:I182,5,FALSE),IF(LEN($S181)=2,VLOOKUP(LEFT($S181,1),B175:I182,7,FALSE),""))</f>
        <v/>
      </c>
      <c r="V181" s="410" t="str">
        <f>IF(LEN($S181)=1,VLOOKUP(LEFT($S181,1),B175:I182,6,FALSE),IF(LEN($S181)=2,VLOOKUP(LEFT($S181,1),B175:I182,8,FALSE),""))</f>
        <v/>
      </c>
      <c r="W181" s="417">
        <f t="shared" si="148"/>
        <v>2</v>
      </c>
      <c r="Y181" s="16">
        <v>37</v>
      </c>
      <c r="Z181" s="16">
        <f t="shared" si="142"/>
        <v>0</v>
      </c>
      <c r="AA181" s="146">
        <f t="shared" si="143"/>
        <v>0</v>
      </c>
      <c r="AC181" s="16" t="str">
        <f t="shared" si="144"/>
        <v>F</v>
      </c>
      <c r="AD181" s="419" t="str">
        <f t="shared" si="144"/>
        <v>Tamworth</v>
      </c>
      <c r="AE181" s="419">
        <f>IF(ISNA(MATCH(AC181,N173:N182,0)),0,VLOOKUP(AC181,N173:S182,5,FALSE))</f>
        <v>0</v>
      </c>
      <c r="AF181" s="419" t="str">
        <f>IF(ISNA(MATCH(AC181,T173:T182,0))," ",VLOOKUP(AC181,T173:Y182,5,FALSE))</f>
        <v xml:space="preserve"> </v>
      </c>
      <c r="AG181" s="419" t="str">
        <f>IF(ISNA(MATCH(AC181,L175:L182,0)),0,VLOOKUP(AC181,L175:N182,3,FALSE))</f>
        <v>2.05.7</v>
      </c>
      <c r="AH181" s="419" t="str">
        <f>IF(ISNA(MATCH(AC181,R175:R182,0)),0,VLOOKUP(AC181,R175:T182,3,FALSE))</f>
        <v>2.22.6</v>
      </c>
      <c r="AI181" s="419" t="str">
        <f>IF(ISNA(MATCH(AC181,L175:L182,0)),0,VLOOKUP(AC181,L175:P182,4,FALSE))</f>
        <v>F</v>
      </c>
      <c r="AJ181" s="419" t="str">
        <f>IF(ISNA(MATCH(AC181,R175:R182,0)),0,VLOOKUP(AC181,R175:U182,4,FALSE))</f>
        <v>FF</v>
      </c>
      <c r="AK181" s="32">
        <f t="shared" si="145"/>
        <v>2</v>
      </c>
      <c r="AL181" s="32">
        <f t="shared" si="146"/>
        <v>4</v>
      </c>
      <c r="AM181" s="32">
        <f>IF(ISNA(MATCH(AC181,L175:L182,0)),0,VLOOKUP(AC181,L175:W182,AM$1,FALSE))</f>
        <v>7</v>
      </c>
      <c r="AN181" s="146">
        <f>IF(ISNA(MATCH(AC181,R175:R182,0)),0,VLOOKUP(AC181,R175:W182,AN$1,FALSE))</f>
        <v>5</v>
      </c>
      <c r="AP181" s="927"/>
      <c r="AQ181" s="927"/>
    </row>
    <row r="182" spans="1:47" ht="16.2" thickBot="1" x14ac:dyDescent="0.35">
      <c r="A182" s="418">
        <f t="shared" si="147"/>
        <v>158</v>
      </c>
      <c r="B182" s="365" t="str">
        <f>'Event Details'!D$29</f>
        <v>Y</v>
      </c>
      <c r="C182" s="366" t="str">
        <f>'Event Details'!E$29</f>
        <v>Worcester</v>
      </c>
      <c r="D182" s="361"/>
      <c r="E182" s="370"/>
      <c r="F182" s="367" t="str">
        <f>VLOOKUP($B174,IF($H174="F",TeamSheetFemale,TeamSheetMale),$Y182-1,FALSE)</f>
        <v>Y</v>
      </c>
      <c r="G182" s="368" t="str">
        <f>VLOOKUP($B174,IF($H174="F",TeamSheetFemale,TeamSheetMale),$Y182,FALSE)</f>
        <v>Huw Mabey</v>
      </c>
      <c r="H182" s="367">
        <f>VLOOKUP($B174,IF($H174="F",TeamSheetFemale,TeamSheetMale),$Y182+1,FALSE)</f>
        <v>0</v>
      </c>
      <c r="I182" s="369">
        <f>VLOOKUP($B174,IF($H174="F",TeamSheetFemale,TeamSheetMale),$Y182+2,FALSE)</f>
        <v>0</v>
      </c>
      <c r="K182" s="346" t="s">
        <v>278</v>
      </c>
      <c r="L182" s="25" t="str">
        <f t="shared" si="140"/>
        <v/>
      </c>
      <c r="M182" s="932"/>
      <c r="N182" s="932"/>
      <c r="O182" s="374" t="str">
        <f>IF(LEN($M182)=1,VLOOKUP(LEFT($M182,1),B175:I182,5,FALSE),IF(LEN($M182)=2,VLOOKUP(LEFT($M182,1),B175:I182,7,FALSE),""))</f>
        <v/>
      </c>
      <c r="P182" s="411" t="str">
        <f>IF(LEN($M182)=1,VLOOKUP(LEFT($M182,1),B175:I182,6,FALSE),IF(LEN($M182)=2,VLOOKUP(LEFT($M182,1),B175:I182,8,FALSE),""))</f>
        <v/>
      </c>
      <c r="Q182" s="407" t="s">
        <v>278</v>
      </c>
      <c r="R182" s="523" t="str">
        <f t="shared" si="141"/>
        <v/>
      </c>
      <c r="S182" s="932"/>
      <c r="T182" s="932"/>
      <c r="U182" s="374" t="str">
        <f>IF(LEN($S182)=1,VLOOKUP(LEFT($S182,1),B175:I182,5,FALSE),IF(LEN($S182)=2,VLOOKUP(LEFT($S182,1),B175:I182,7,FALSE),""))</f>
        <v/>
      </c>
      <c r="V182" s="411" t="str">
        <f>IF(LEN($S182)=1,VLOOKUP(LEFT($S182,1),B175:I182,6,FALSE),IF(LEN($S182)=2,VLOOKUP(LEFT($S182,1),B175:I182,8,FALSE),""))</f>
        <v/>
      </c>
      <c r="W182" s="418">
        <f t="shared" si="148"/>
        <v>1</v>
      </c>
      <c r="Y182" s="25">
        <v>42</v>
      </c>
      <c r="Z182" s="25">
        <f t="shared" si="142"/>
        <v>0</v>
      </c>
      <c r="AA182" s="523">
        <f t="shared" si="143"/>
        <v>0</v>
      </c>
      <c r="AC182" s="25" t="str">
        <f t="shared" si="144"/>
        <v>Y</v>
      </c>
      <c r="AD182" s="624" t="str">
        <f t="shared" si="144"/>
        <v>Worcester</v>
      </c>
      <c r="AE182" s="624">
        <f>IF(ISNA(MATCH(AC182,N174:N183,0)),0,VLOOKUP(AC182,N174:S183,5,FALSE))</f>
        <v>0</v>
      </c>
      <c r="AF182" s="624" t="str">
        <f t="shared" ref="AF182" si="149">IF(ISNA(MATCH(AC182,T174:T183,0))," ",VLOOKUP(AC182,T174:Y183,5,FALSE))</f>
        <v xml:space="preserve"> </v>
      </c>
      <c r="AG182" s="624" t="str">
        <f>IF(ISNA(MATCH(AC182,L175:L182,0)),0,VLOOKUP(AC182,L175:N182,3,FALSE))</f>
        <v>2.26.2</v>
      </c>
      <c r="AH182" s="624">
        <f>IF(ISNA(MATCH(AC182,R175:R182,0)),0,VLOOKUP(AC182,R175:T182,3,FALSE))</f>
        <v>0</v>
      </c>
      <c r="AI182" s="624" t="str">
        <f>IF(ISNA(MATCH(AC182,L175:L182,0)),0,VLOOKUP(AC182,L175:P182,4,FALSE))</f>
        <v>Y</v>
      </c>
      <c r="AJ182" s="624">
        <f>IF(ISNA(MATCH(AC182,R175:R182,0)),0,VLOOKUP(AC182,R175:U182,4,FALSE))</f>
        <v>0</v>
      </c>
      <c r="AK182" s="116">
        <f t="shared" si="145"/>
        <v>6</v>
      </c>
      <c r="AL182" s="116">
        <f t="shared" si="146"/>
        <v>0</v>
      </c>
      <c r="AM182" s="116">
        <f>IF(ISNA(MATCH(AC182,L175:L182,0)),0,VLOOKUP(AC182,L175:W182,AM$1,FALSE))</f>
        <v>3</v>
      </c>
      <c r="AN182" s="523">
        <f>IF(ISNA(MATCH(AC182,R175:R182,0)),0,VLOOKUP(AC182,R175:W182,AN$1,FALSE))</f>
        <v>0</v>
      </c>
      <c r="AP182" s="932"/>
      <c r="AQ182" s="932"/>
    </row>
    <row r="183" spans="1:47" ht="15" thickBot="1" x14ac:dyDescent="0.35">
      <c r="K183" s="1207"/>
      <c r="M183" s="276"/>
      <c r="N183" s="276"/>
      <c r="S183" s="276"/>
      <c r="T183" s="276"/>
      <c r="AP183" s="276"/>
      <c r="AQ183" s="276"/>
    </row>
    <row r="184" spans="1:47" x14ac:dyDescent="0.3">
      <c r="B184" s="400" t="s">
        <v>258</v>
      </c>
      <c r="C184" s="398"/>
      <c r="D184" s="401" t="s">
        <v>165</v>
      </c>
      <c r="E184" s="398"/>
      <c r="F184" s="398"/>
      <c r="G184" s="402" t="s">
        <v>259</v>
      </c>
      <c r="H184" s="403" t="s">
        <v>249</v>
      </c>
      <c r="I184" s="404" t="s">
        <v>168</v>
      </c>
      <c r="K184" s="360"/>
      <c r="L184" s="661"/>
      <c r="M184" s="387" t="s">
        <v>260</v>
      </c>
      <c r="N184" s="387" t="s">
        <v>261</v>
      </c>
      <c r="O184" s="387" t="s">
        <v>262</v>
      </c>
      <c r="P184" s="388" t="s">
        <v>75</v>
      </c>
      <c r="Q184" s="389"/>
      <c r="R184" s="657"/>
      <c r="S184" s="387" t="s">
        <v>260</v>
      </c>
      <c r="T184" s="387" t="s">
        <v>261</v>
      </c>
      <c r="U184" s="387" t="s">
        <v>262</v>
      </c>
      <c r="V184" s="388" t="s">
        <v>75</v>
      </c>
      <c r="W184" s="672" t="s">
        <v>76</v>
      </c>
      <c r="Y184" s="414" t="s">
        <v>263</v>
      </c>
      <c r="Z184" s="656" t="s">
        <v>74</v>
      </c>
      <c r="AA184" s="657" t="s">
        <v>75</v>
      </c>
      <c r="AC184" s="665" t="s">
        <v>71</v>
      </c>
      <c r="AD184" s="657" t="s">
        <v>86</v>
      </c>
      <c r="AE184" s="661" t="s">
        <v>149</v>
      </c>
      <c r="AF184" s="661" t="s">
        <v>94</v>
      </c>
      <c r="AG184" s="661" t="s">
        <v>149</v>
      </c>
      <c r="AH184" s="661" t="s">
        <v>94</v>
      </c>
      <c r="AI184" s="661" t="s">
        <v>149</v>
      </c>
      <c r="AJ184" s="661" t="s">
        <v>94</v>
      </c>
      <c r="AK184" s="1332" t="s">
        <v>149</v>
      </c>
      <c r="AL184" s="661" t="s">
        <v>94</v>
      </c>
      <c r="AM184" s="1406" t="s">
        <v>76</v>
      </c>
      <c r="AN184" s="1407"/>
      <c r="AP184" s="387" t="s">
        <v>260</v>
      </c>
      <c r="AQ184" s="387" t="s">
        <v>261</v>
      </c>
      <c r="AS184" s="1218" t="s">
        <v>165</v>
      </c>
      <c r="AT184" s="1219" t="s">
        <v>79</v>
      </c>
      <c r="AU184" s="1220" t="s">
        <v>80</v>
      </c>
    </row>
    <row r="185" spans="1:47" ht="15" thickBot="1" x14ac:dyDescent="0.35">
      <c r="B185" s="405">
        <v>16</v>
      </c>
      <c r="C185" s="399"/>
      <c r="D185" s="385" t="str">
        <f>VLOOKUP($B185,EventOrder,6,FALSE)</f>
        <v>Long Jump Pit 1</v>
      </c>
      <c r="E185" s="399"/>
      <c r="F185" s="385"/>
      <c r="G185" s="386" t="str">
        <f>VLOOKUP($B185,EventOrder,4,FALSE)</f>
        <v>U12 Male</v>
      </c>
      <c r="H185" s="396" t="str">
        <f>IF(MID(G185,5,1)="F","F","M")</f>
        <v>M</v>
      </c>
      <c r="I185" s="397">
        <f>VLOOKUP($B185,EventOrder,2,FALSE)</f>
        <v>12.3</v>
      </c>
      <c r="K185" s="377"/>
      <c r="L185" s="667" t="s">
        <v>149</v>
      </c>
      <c r="M185" s="409" t="s">
        <v>264</v>
      </c>
      <c r="N185" s="409" t="s">
        <v>265</v>
      </c>
      <c r="O185" s="390" t="s">
        <v>266</v>
      </c>
      <c r="P185" s="391"/>
      <c r="Q185" s="392"/>
      <c r="R185" s="659" t="s">
        <v>94</v>
      </c>
      <c r="S185" s="409" t="s">
        <v>264</v>
      </c>
      <c r="T185" s="409" t="s">
        <v>265</v>
      </c>
      <c r="U185" s="390" t="s">
        <v>266</v>
      </c>
      <c r="V185" s="391"/>
      <c r="W185" s="671"/>
      <c r="Y185" s="415" t="s">
        <v>167</v>
      </c>
      <c r="Z185" s="658" t="s">
        <v>149</v>
      </c>
      <c r="AA185" s="659" t="s">
        <v>94</v>
      </c>
      <c r="AC185" s="666"/>
      <c r="AD185" s="668"/>
      <c r="AE185" s="768" t="s">
        <v>75</v>
      </c>
      <c r="AF185" s="768" t="s">
        <v>75</v>
      </c>
      <c r="AG185" s="768" t="s">
        <v>267</v>
      </c>
      <c r="AH185" s="768" t="s">
        <v>267</v>
      </c>
      <c r="AI185" s="768" t="s">
        <v>268</v>
      </c>
      <c r="AJ185" s="768" t="s">
        <v>268</v>
      </c>
      <c r="AK185" s="770" t="s">
        <v>269</v>
      </c>
      <c r="AL185" s="768" t="s">
        <v>269</v>
      </c>
      <c r="AM185" s="667" t="s">
        <v>149</v>
      </c>
      <c r="AN185" s="659" t="s">
        <v>94</v>
      </c>
      <c r="AP185" s="409" t="s">
        <v>264</v>
      </c>
      <c r="AQ185" s="409" t="s">
        <v>265</v>
      </c>
      <c r="AS185" s="1221" t="s">
        <v>270</v>
      </c>
      <c r="AT185" s="1222" t="s">
        <v>270</v>
      </c>
      <c r="AU185" s="1223" t="s">
        <v>270</v>
      </c>
    </row>
    <row r="186" spans="1:47" ht="15.6" x14ac:dyDescent="0.3">
      <c r="A186" s="416">
        <f>(B185*10)+1</f>
        <v>161</v>
      </c>
      <c r="B186" s="362" t="str">
        <f>'Event Details'!D$22</f>
        <v>S</v>
      </c>
      <c r="C186" s="381" t="str">
        <f>'Event Details'!E$22</f>
        <v>BRAT</v>
      </c>
      <c r="D186" s="379"/>
      <c r="E186" s="378"/>
      <c r="F186" s="363" t="str">
        <f>VLOOKUP($B185,IF($H185="F",TeamSheetFemale,TeamSheetMale),$Y186-1,FALSE)</f>
        <v>S</v>
      </c>
      <c r="G186" s="380" t="str">
        <f>VLOOKUP($B185,IF($H185="F",TeamSheetFemale,TeamSheetMale),$Y186,FALSE)</f>
        <v xml:space="preserve">Leo Parekh </v>
      </c>
      <c r="H186" s="363" t="str">
        <f>VLOOKUP($B185,IF($H185="F",TeamSheetFemale,TeamSheetMale),$Y186+1,FALSE)</f>
        <v>SS</v>
      </c>
      <c r="I186" s="364" t="str">
        <f>VLOOKUP($B185,IF($H185="F",TeamSheetFemale,TeamSheetMale),$Y186+2,FALSE)</f>
        <v>Zachary Asanga</v>
      </c>
      <c r="K186" s="393" t="s">
        <v>271</v>
      </c>
      <c r="L186" s="16" t="str">
        <f t="shared" ref="L186:L193" si="150">LEFT(M186,1)</f>
        <v>R</v>
      </c>
      <c r="M186" s="926" t="s">
        <v>118</v>
      </c>
      <c r="N186" s="926">
        <v>4.07</v>
      </c>
      <c r="O186" s="394" t="str">
        <f>IF(LEN($M186)=1,VLOOKUP(LEFT($M186,1),B186:I193,5,FALSE),IF(LEN($M186)=2,VLOOKUP(LEFT($M186,1),B186:I193,7,FALSE),""))</f>
        <v>R</v>
      </c>
      <c r="P186" s="395" t="str">
        <f>IF(LEN($M186)=1,VLOOKUP(LEFT($M186,1),B186:I193,6,FALSE),IF(LEN($M186)=2,VLOOKUP(LEFT($M186,1),B186:I193,8,FALSE),""))</f>
        <v>Feranmi Remi-Omosowon</v>
      </c>
      <c r="Q186" s="393" t="s">
        <v>271</v>
      </c>
      <c r="R186" s="146" t="str">
        <f t="shared" ref="R186:R193" si="151">LEFT(S186,1)</f>
        <v>R</v>
      </c>
      <c r="S186" s="926" t="s">
        <v>819</v>
      </c>
      <c r="T186" s="926">
        <v>3.58</v>
      </c>
      <c r="U186" s="394" t="str">
        <f>IF(LEN($S186)=1,VLOOKUP(LEFT($S186,1),B186:I193,5,FALSE),IF(LEN($S186)=2,VLOOKUP(LEFT($S186,1),B186:I193,7,FALSE),""))</f>
        <v>RR</v>
      </c>
      <c r="V186" s="395" t="str">
        <f>IF(LEN($S186)=1,VLOOKUP(LEFT($S186,1),B186:I193,6,FALSE),IF(LEN($S186)=2,VLOOKUP(LEFT($S186,1),B186:I193,8,FALSE),""))</f>
        <v>Sebastian Armstrong</v>
      </c>
      <c r="W186" s="417">
        <f>AN$6</f>
        <v>8</v>
      </c>
      <c r="Y186" s="416">
        <v>7</v>
      </c>
      <c r="Z186" s="653" t="str">
        <f t="shared" ref="Z186:Z193" si="152">IF(LEN(M186)&gt;0,VLOOKUP(LEFT(M186,1),ShortName,5,FALSE),0)</f>
        <v>Rugby</v>
      </c>
      <c r="AA186" s="138" t="str">
        <f t="shared" ref="AA186:AA193" si="153">IF(LEN(S186)&gt;0,VLOOKUP(LEFT(S186,1),ShortName,5,FALSE),0)</f>
        <v>Rugby</v>
      </c>
      <c r="AC186" s="16" t="str">
        <f t="shared" ref="AC186:AD193" si="154">B186</f>
        <v>S</v>
      </c>
      <c r="AD186" s="419" t="str">
        <f t="shared" si="154"/>
        <v>BRAT</v>
      </c>
      <c r="AE186" s="635">
        <f>IF(ISNA(MATCH(AC186,N186:N195,0)),0,VLOOKUP(AC186,N186:S195,5,FALSE))</f>
        <v>0</v>
      </c>
      <c r="AF186" s="635" t="str">
        <f>IF(ISNA(MATCH(AC186,T186:T195,0))," ",VLOOKUP(AC186,T186:Y195,5,FALSE))</f>
        <v xml:space="preserve"> </v>
      </c>
      <c r="AG186" s="635">
        <f>IF(ISNA(MATCH(AC186,L186:L193,0)),0,VLOOKUP(AC186,L186:N193,3,FALSE))</f>
        <v>3.6</v>
      </c>
      <c r="AH186" s="635">
        <f>IF(ISNA(MATCH(AC186,R186:R193,0)),0,VLOOKUP(AC186,R186:T193,3,FALSE))</f>
        <v>3.57</v>
      </c>
      <c r="AI186" s="635" t="str">
        <f>IF(ISNA(MATCH(AC186,L186:L193,0)),0,VLOOKUP(AC186,L186:P193,4,FALSE))</f>
        <v>S</v>
      </c>
      <c r="AJ186" s="635" t="str">
        <f>IF(ISNA(MATCH(AC186,R186:R193,0)),0,VLOOKUP(AC186,R186:U193,4,FALSE))</f>
        <v>SS</v>
      </c>
      <c r="AK186" s="49">
        <f t="shared" ref="AK186:AK193" si="155">IF(AM186=0,0,AN$6-(AM186-1))</f>
        <v>3</v>
      </c>
      <c r="AL186" s="49">
        <f t="shared" ref="AL186:AL193" si="156">IF(AN186=0,0,AN$6-(AN186-1))</f>
        <v>2</v>
      </c>
      <c r="AM186" s="49">
        <f>IF(ISNA(MATCH(AC186,L186:L193,0)),0,VLOOKUP(AC186,L186:W193,AM$1,FALSE))</f>
        <v>6</v>
      </c>
      <c r="AN186" s="138">
        <f>IF(ISNA(MATCH(AC186,R186:R193,0)),0,VLOOKUP(AC186,R186:W193,AN$1,FALSE))</f>
        <v>7</v>
      </c>
      <c r="AP186" s="926"/>
      <c r="AQ186" s="926"/>
      <c r="AS186" s="32">
        <f>IF(LEN(N186)&gt;0,1,0)</f>
        <v>1</v>
      </c>
      <c r="AT186" s="32">
        <f>IF(AND(AS186=1,H185="M"),1,0)</f>
        <v>1</v>
      </c>
      <c r="AU186" s="32">
        <f>IF(AND(AS186=1,H185="F"),1,0)</f>
        <v>0</v>
      </c>
    </row>
    <row r="187" spans="1:47" ht="15.6" x14ac:dyDescent="0.3">
      <c r="A187" s="417">
        <f>A186+1</f>
        <v>162</v>
      </c>
      <c r="B187" s="362" t="str">
        <f>'Event Details'!D$23</f>
        <v>U</v>
      </c>
      <c r="C187" s="381" t="str">
        <f>'Event Details'!E$23</f>
        <v>Kidder &amp; Stourport</v>
      </c>
      <c r="D187" s="379"/>
      <c r="E187" s="378"/>
      <c r="F187" s="363" t="str">
        <f>VLOOKUP($B185,IF($H185="F",TeamSheetFemale,TeamSheetMale),$Y187-1,FALSE)</f>
        <v>U</v>
      </c>
      <c r="G187" s="380" t="str">
        <f>VLOOKUP($B185,IF($H185="F",TeamSheetFemale,TeamSheetMale),$Y187,FALSE)</f>
        <v>Hugo Ford</v>
      </c>
      <c r="H187" s="363" t="str">
        <f>VLOOKUP($B185,IF($H185="F",TeamSheetFemale,TeamSheetMale),$Y187+1,FALSE)</f>
        <v>UU</v>
      </c>
      <c r="I187" s="364" t="str">
        <f>VLOOKUP($B185,IF($H185="F",TeamSheetFemale,TeamSheetMale),$Y187+2,FALSE)</f>
        <v>Ted Bates</v>
      </c>
      <c r="K187" s="341" t="s">
        <v>272</v>
      </c>
      <c r="L187" s="16" t="str">
        <f t="shared" si="150"/>
        <v>Y</v>
      </c>
      <c r="M187" s="927" t="s">
        <v>151</v>
      </c>
      <c r="N187" s="927">
        <v>3.95</v>
      </c>
      <c r="O187" s="353" t="str">
        <f>IF(LEN($M187)=1,VLOOKUP(LEFT($M187,1),B186:I193,5,FALSE),IF(LEN($M187)=2,VLOOKUP(LEFT($M187,1),B186:I193,7,FALSE),""))</f>
        <v>Y</v>
      </c>
      <c r="P187" s="373" t="str">
        <f>IF(LEN($M187)=1,VLOOKUP(LEFT($M187,1),B186:I193,6,FALSE),IF(LEN($M187)=2,VLOOKUP(LEFT($M187,1),B186:I193,8,FALSE),""))</f>
        <v>Thomas Jenkinson</v>
      </c>
      <c r="Q187" s="341" t="s">
        <v>272</v>
      </c>
      <c r="R187" s="146" t="str">
        <f t="shared" si="151"/>
        <v>S</v>
      </c>
      <c r="S187" s="927" t="s">
        <v>818</v>
      </c>
      <c r="T187" s="927">
        <v>3.57</v>
      </c>
      <c r="U187" s="353" t="str">
        <f>IF(LEN($S187)=1,VLOOKUP(LEFT($S187,1),B186:I193,5,FALSE),IF(LEN($S187)=2,VLOOKUP(LEFT($S187,1),B186:I193,7,FALSE),""))</f>
        <v>SS</v>
      </c>
      <c r="V187" s="373" t="str">
        <f>IF(LEN($S187)=1,VLOOKUP(LEFT($S187,1),B186:I193,6,FALSE),IF(LEN($S187)=2,VLOOKUP(LEFT($S187,1),B186:I193,8,FALSE),""))</f>
        <v>Zachary Asanga</v>
      </c>
      <c r="W187" s="417">
        <f>W186-1</f>
        <v>7</v>
      </c>
      <c r="Y187" s="417">
        <v>12</v>
      </c>
      <c r="Z187" s="16" t="str">
        <f t="shared" si="152"/>
        <v>Worc</v>
      </c>
      <c r="AA187" s="146" t="str">
        <f t="shared" si="153"/>
        <v>BRAT</v>
      </c>
      <c r="AC187" s="16" t="str">
        <f t="shared" si="154"/>
        <v>U</v>
      </c>
      <c r="AD187" s="419" t="str">
        <f t="shared" si="154"/>
        <v>Kidder &amp; Stourport</v>
      </c>
      <c r="AE187" s="419">
        <f>IF(ISNA(MATCH(AC187,N186:N195,0)),0,VLOOKUP(AC187,N186:S195,5,FALSE))</f>
        <v>0</v>
      </c>
      <c r="AF187" s="419" t="str">
        <f>IF(ISNA(MATCH(AC187,T186:T195,0))," ",VLOOKUP(AC187,T186:Y195,5,FALSE))</f>
        <v xml:space="preserve"> </v>
      </c>
      <c r="AG187" s="419">
        <f>IF(ISNA(MATCH(AC187,L186:L193,0)),0,VLOOKUP(AC187,L186:N193,3,FALSE))</f>
        <v>3.57</v>
      </c>
      <c r="AH187" s="419">
        <f>IF(ISNA(MATCH(AC187,R186:R193,0)),0,VLOOKUP(AC187,R186:T193,3,FALSE))</f>
        <v>2.91</v>
      </c>
      <c r="AI187" s="419" t="str">
        <f>IF(ISNA(MATCH(AC187,L186:L193,0)),0,VLOOKUP(AC187,L186:P193,4,FALSE))</f>
        <v>U</v>
      </c>
      <c r="AJ187" s="419" t="str">
        <f>IF(ISNA(MATCH(AC187,R186:R193,0)),0,VLOOKUP(AC187,R186:U193,4,FALSE))</f>
        <v>UU</v>
      </c>
      <c r="AK187" s="32">
        <f t="shared" si="155"/>
        <v>5</v>
      </c>
      <c r="AL187" s="32">
        <f t="shared" si="156"/>
        <v>7</v>
      </c>
      <c r="AM187" s="32">
        <f>IF(ISNA(MATCH(AC187,L186:L193,0)),0,VLOOKUP(AC187,L186:W193,AM$1,FALSE))</f>
        <v>4</v>
      </c>
      <c r="AN187" s="146">
        <f>IF(ISNA(MATCH(AC187,R186:R193,0)),0,VLOOKUP(AC187,R186:W193,AN$1,FALSE))</f>
        <v>2</v>
      </c>
      <c r="AP187" s="927"/>
      <c r="AQ187" s="927"/>
    </row>
    <row r="188" spans="1:47" ht="15.6" x14ac:dyDescent="0.3">
      <c r="A188" s="417">
        <f t="shared" ref="A188:A193" si="157">A187+1</f>
        <v>163</v>
      </c>
      <c r="B188" s="362" t="str">
        <f>'Event Details'!D$24</f>
        <v>G</v>
      </c>
      <c r="C188" s="381" t="str">
        <f>'Event Details'!E$24</f>
        <v>Royal Sutton</v>
      </c>
      <c r="D188" s="379"/>
      <c r="E188" s="378"/>
      <c r="F188" s="363" t="str">
        <f>VLOOKUP($B185,IF($H185="F",TeamSheetFemale,TeamSheetMale),$Y188-1,FALSE)</f>
        <v>G</v>
      </c>
      <c r="G188" s="380" t="str">
        <f>VLOOKUP($B185,IF($H185="F",TeamSheetFemale,TeamSheetMale),$Y188,FALSE)</f>
        <v>Woody Forrester</v>
      </c>
      <c r="H188" s="363" t="str">
        <f>VLOOKUP($B185,IF($H185="F",TeamSheetFemale,TeamSheetMale),$Y188+1,FALSE)</f>
        <v>GG</v>
      </c>
      <c r="I188" s="364" t="str">
        <f>VLOOKUP($B185,IF($H185="F",TeamSheetFemale,TeamSheetMale),$Y188+2,FALSE)</f>
        <v>Daniel Wood</v>
      </c>
      <c r="K188" s="341" t="s">
        <v>273</v>
      </c>
      <c r="L188" s="16" t="str">
        <f t="shared" si="150"/>
        <v>S</v>
      </c>
      <c r="M188" s="927" t="s">
        <v>100</v>
      </c>
      <c r="N188" s="927">
        <v>3.6</v>
      </c>
      <c r="O188" s="353" t="str">
        <f>IF(LEN($M188)=1,VLOOKUP(LEFT($M188,1),B186:I193,5,FALSE),IF(LEN($M188)=2,VLOOKUP(LEFT($M188,1),B186:I193,7,FALSE),""))</f>
        <v>S</v>
      </c>
      <c r="P188" s="373" t="str">
        <f>IF(LEN($M188)=1,VLOOKUP(LEFT($M188,1),B186:I193,6,FALSE),IF(LEN($M188)=2,VLOOKUP(LEFT($M188,1),B186:I193,8,FALSE),""))</f>
        <v xml:space="preserve">Leo Parekh </v>
      </c>
      <c r="Q188" s="341" t="s">
        <v>273</v>
      </c>
      <c r="R188" s="146" t="str">
        <f t="shared" si="151"/>
        <v>M</v>
      </c>
      <c r="S188" s="927" t="s">
        <v>821</v>
      </c>
      <c r="T188" s="927">
        <v>3.49</v>
      </c>
      <c r="U188" s="353" t="str">
        <f>IF(LEN($S188)=1,VLOOKUP(LEFT($S188,1),B186:I193,5,FALSE),IF(LEN($S188)=2,VLOOKUP(LEFT($S188,1),B186:I193,7,FALSE),""))</f>
        <v>MM</v>
      </c>
      <c r="V188" s="373" t="str">
        <f>IF(LEN($S188)=1,VLOOKUP(LEFT($S188,1),B186:I193,6,FALSE),IF(LEN($S188)=2,VLOOKUP(LEFT($S188,1),B186:I193,8,FALSE),""))</f>
        <v>Kai Gudmunsen</v>
      </c>
      <c r="W188" s="417">
        <f t="shared" ref="W188:W193" si="158">W187-1</f>
        <v>6</v>
      </c>
      <c r="Y188" s="417">
        <v>17</v>
      </c>
      <c r="Z188" s="16" t="str">
        <f t="shared" si="152"/>
        <v>BRAT</v>
      </c>
      <c r="AA188" s="146" t="str">
        <f t="shared" si="153"/>
        <v>Sol</v>
      </c>
      <c r="AB188" s="32"/>
      <c r="AC188" s="16" t="str">
        <f t="shared" si="154"/>
        <v>G</v>
      </c>
      <c r="AD188" s="419" t="str">
        <f t="shared" si="154"/>
        <v>Royal Sutton</v>
      </c>
      <c r="AE188" s="419">
        <f>IF(ISNA(MATCH(AC188,N186:N195,0)),0,VLOOKUP(AC188,N186:S195,5,FALSE))</f>
        <v>0</v>
      </c>
      <c r="AF188" s="419" t="str">
        <f>IF(ISNA(MATCH(AC188,T186:T195,0))," ",VLOOKUP(AC188,T186:Y195,5,FALSE))</f>
        <v xml:space="preserve"> </v>
      </c>
      <c r="AG188" s="419">
        <f>IF(ISNA(MATCH(AC188,L186:L193,0)),0,VLOOKUP(AC188,L186:N193,3,FALSE))</f>
        <v>3.45</v>
      </c>
      <c r="AH188" s="419">
        <f>IF(ISNA(MATCH(AC188,R186:R193,0)),0,VLOOKUP(AC188,R186:T193,3,FALSE))</f>
        <v>3.19</v>
      </c>
      <c r="AI188" s="419" t="str">
        <f>IF(ISNA(MATCH(AC188,L186:L193,0)),0,VLOOKUP(AC188,L186:P193,4,FALSE))</f>
        <v>G</v>
      </c>
      <c r="AJ188" s="419" t="str">
        <f>IF(ISNA(MATCH(AC188,R186:R193,0)),0,VLOOKUP(AC188,R186:U193,4,FALSE))</f>
        <v>GG</v>
      </c>
      <c r="AK188" s="32">
        <f t="shared" si="155"/>
        <v>7</v>
      </c>
      <c r="AL188" s="32">
        <f t="shared" si="156"/>
        <v>6</v>
      </c>
      <c r="AM188" s="32">
        <f>IF(ISNA(MATCH(AC188,L186:L193,0)),0,VLOOKUP(AC188,L186:W193,AM$1,FALSE))</f>
        <v>2</v>
      </c>
      <c r="AN188" s="146">
        <f>IF(ISNA(MATCH(AC188,R186:R193,0)),0,VLOOKUP(AC188,R186:W193,AN$1,FALSE))</f>
        <v>3</v>
      </c>
      <c r="AP188" s="927"/>
      <c r="AQ188" s="927"/>
    </row>
    <row r="189" spans="1:47" ht="15.6" x14ac:dyDescent="0.3">
      <c r="A189" s="417">
        <f t="shared" si="157"/>
        <v>164</v>
      </c>
      <c r="B189" s="362" t="str">
        <f>'Event Details'!D$25</f>
        <v>R</v>
      </c>
      <c r="C189" s="381" t="str">
        <f>'Event Details'!E$25</f>
        <v>Rugby &amp; N'hampton</v>
      </c>
      <c r="D189" s="379"/>
      <c r="E189" s="378"/>
      <c r="F189" s="363" t="str">
        <f>VLOOKUP($B185,IF($H185="F",TeamSheetFemale,TeamSheetMale),$Y189-1,FALSE)</f>
        <v>R</v>
      </c>
      <c r="G189" s="380" t="str">
        <f>VLOOKUP($B185,IF($H185="F",TeamSheetFemale,TeamSheetMale),$Y189,FALSE)</f>
        <v>Feranmi Remi-Omosowon</v>
      </c>
      <c r="H189" s="363" t="str">
        <f>VLOOKUP($B185,IF($H185="F",TeamSheetFemale,TeamSheetMale),$Y189+1,FALSE)</f>
        <v>RR</v>
      </c>
      <c r="I189" s="364" t="str">
        <f>VLOOKUP($B185,IF($H185="F",TeamSheetFemale,TeamSheetMale),$Y189+2,FALSE)</f>
        <v>Sebastian Armstrong</v>
      </c>
      <c r="K189" s="341" t="s">
        <v>274</v>
      </c>
      <c r="L189" s="16" t="str">
        <f t="shared" si="150"/>
        <v>D</v>
      </c>
      <c r="M189" s="927" t="s">
        <v>513</v>
      </c>
      <c r="N189" s="927">
        <v>3.58</v>
      </c>
      <c r="O189" s="353" t="str">
        <f>IF(LEN($M189)=1,VLOOKUP(LEFT($M189,1),B186:I193,5,FALSE),IF(LEN($M189)=2,VLOOKUP(LEFT($M189,1),B186:I193,7,FALSE),""))</f>
        <v>DD</v>
      </c>
      <c r="P189" s="373" t="str">
        <f>IF(LEN($M189)=1,VLOOKUP(LEFT($M189,1),B186:I193,6,FALSE),IF(LEN($M189)=2,VLOOKUP(LEFT($M189,1),B186:I193,8,FALSE),""))</f>
        <v>Simon Zawada</v>
      </c>
      <c r="Q189" s="341" t="s">
        <v>274</v>
      </c>
      <c r="R189" s="146" t="str">
        <f t="shared" si="151"/>
        <v>D</v>
      </c>
      <c r="S189" s="927" t="s">
        <v>136</v>
      </c>
      <c r="T189" s="927">
        <v>3.46</v>
      </c>
      <c r="U189" s="353" t="str">
        <f>IF(LEN($S189)=1,VLOOKUP(LEFT($S189,1),B186:I193,5,FALSE),IF(LEN($S189)=2,VLOOKUP(LEFT($S189,1),B186:I193,7,FALSE),""))</f>
        <v>D</v>
      </c>
      <c r="V189" s="373" t="str">
        <f>IF(LEN($S189)=1,VLOOKUP(LEFT($S189,1),B186:I193,6,FALSE),IF(LEN($S189)=2,VLOOKUP(LEFT($S189,1),B186:I193,8,FALSE),""))</f>
        <v>Rafe White</v>
      </c>
      <c r="W189" s="417">
        <f t="shared" si="158"/>
        <v>5</v>
      </c>
      <c r="Y189" s="417">
        <v>22</v>
      </c>
      <c r="Z189" s="16" t="str">
        <f t="shared" si="152"/>
        <v>Strat</v>
      </c>
      <c r="AA189" s="146" t="str">
        <f t="shared" si="153"/>
        <v>Strat</v>
      </c>
      <c r="AB189" s="32"/>
      <c r="AC189" s="16" t="str">
        <f t="shared" si="154"/>
        <v>R</v>
      </c>
      <c r="AD189" s="419" t="str">
        <f t="shared" si="154"/>
        <v>Rugby &amp; N'hampton</v>
      </c>
      <c r="AE189" s="419">
        <f>IF(ISNA(MATCH(AC189,N186:N195,0)),0,VLOOKUP(AC189,N186:S195,5,FALSE))</f>
        <v>0</v>
      </c>
      <c r="AF189" s="419" t="str">
        <f>IF(ISNA(MATCH(AC189,T186:T195,0))," ",VLOOKUP(AC189,T186:Y195,5,FALSE))</f>
        <v xml:space="preserve"> </v>
      </c>
      <c r="AG189" s="419">
        <f>IF(ISNA(MATCH(AC189,L186:L193,0)),0,VLOOKUP(AC189,L186:N193,3,FALSE))</f>
        <v>4.07</v>
      </c>
      <c r="AH189" s="419">
        <f>IF(ISNA(MATCH(AC189,R186:R193,0)),0,VLOOKUP(AC189,R186:T193,3,FALSE))</f>
        <v>3.58</v>
      </c>
      <c r="AI189" s="419" t="str">
        <f>IF(ISNA(MATCH(AC189,L186:L193,0)),0,VLOOKUP(AC189,L186:P193,4,FALSE))</f>
        <v>R</v>
      </c>
      <c r="AJ189" s="419" t="str">
        <f>IF(ISNA(MATCH(AC189,R186:R193,0)),0,VLOOKUP(AC189,R186:U193,4,FALSE))</f>
        <v>RR</v>
      </c>
      <c r="AK189" s="32">
        <f t="shared" si="155"/>
        <v>1</v>
      </c>
      <c r="AL189" s="32">
        <f t="shared" si="156"/>
        <v>1</v>
      </c>
      <c r="AM189" s="32">
        <f>IF(ISNA(MATCH(AC189,L186:L193,0)),0,VLOOKUP(AC189,L186:W193,AM$1,FALSE))</f>
        <v>8</v>
      </c>
      <c r="AN189" s="146">
        <f>IF(ISNA(MATCH(AC189,R186:R193,0)),0,VLOOKUP(AC189,R186:W193,AN$1,FALSE))</f>
        <v>8</v>
      </c>
      <c r="AP189" s="927"/>
      <c r="AQ189" s="927"/>
    </row>
    <row r="190" spans="1:47" ht="15.6" x14ac:dyDescent="0.3">
      <c r="A190" s="417">
        <f t="shared" si="157"/>
        <v>165</v>
      </c>
      <c r="B190" s="362" t="str">
        <f>'Event Details'!D$26</f>
        <v>M</v>
      </c>
      <c r="C190" s="381" t="str">
        <f>'Event Details'!E$26</f>
        <v>Solihull &amp; S.Heath</v>
      </c>
      <c r="D190" s="379"/>
      <c r="E190" s="378"/>
      <c r="F190" s="363" t="str">
        <f>VLOOKUP($B185,IF($H185="F",TeamSheetFemale,TeamSheetMale),$Y190-1,FALSE)</f>
        <v>M</v>
      </c>
      <c r="G190" s="380" t="str">
        <f>VLOOKUP($B185,IF($H185="F",TeamSheetFemale,TeamSheetMale),$Y190,FALSE)</f>
        <v>Edison Hughes</v>
      </c>
      <c r="H190" s="363" t="str">
        <f>VLOOKUP($B185,IF($H185="F",TeamSheetFemale,TeamSheetMale),$Y190+1,FALSE)</f>
        <v>MM</v>
      </c>
      <c r="I190" s="364" t="str">
        <f>VLOOKUP($B185,IF($H185="F",TeamSheetFemale,TeamSheetMale),$Y190+2,FALSE)</f>
        <v>Kai Gudmunsen</v>
      </c>
      <c r="K190" s="341" t="s">
        <v>275</v>
      </c>
      <c r="L190" s="16" t="str">
        <f t="shared" si="150"/>
        <v>U</v>
      </c>
      <c r="M190" s="927" t="s">
        <v>130</v>
      </c>
      <c r="N190" s="927">
        <v>3.57</v>
      </c>
      <c r="O190" s="353" t="str">
        <f>IF(LEN($M190)=1,VLOOKUP(LEFT($M190,1),B186:I193,5,FALSE),IF(LEN($M190)=2,VLOOKUP(LEFT($M190,1),B186:I193,7,FALSE),""))</f>
        <v>U</v>
      </c>
      <c r="P190" s="373" t="str">
        <f>IF(LEN($M190)=1,VLOOKUP(LEFT($M190,1),B186:I193,6,FALSE),IF(LEN($M190)=2,VLOOKUP(LEFT($M190,1),B186:I193,8,FALSE),""))</f>
        <v>Hugo Ford</v>
      </c>
      <c r="Q190" s="341" t="s">
        <v>275</v>
      </c>
      <c r="R190" s="146" t="str">
        <f t="shared" si="151"/>
        <v>Y</v>
      </c>
      <c r="S190" s="927" t="s">
        <v>822</v>
      </c>
      <c r="T190" s="927">
        <v>3.27</v>
      </c>
      <c r="U190" s="353" t="str">
        <f>IF(LEN($S190)=1,VLOOKUP(LEFT($S190,1),B186:I193,5,FALSE),IF(LEN($S190)=2,VLOOKUP(LEFT($S190,1),B186:I193,7,FALSE),""))</f>
        <v>YY</v>
      </c>
      <c r="V190" s="373" t="str">
        <f>IF(LEN($S190)=1,VLOOKUP(LEFT($S190,1),B186:I193,6,FALSE),IF(LEN($S190)=2,VLOOKUP(LEFT($S190,1),B186:I193,8,FALSE),""))</f>
        <v>Felix Whakahau</v>
      </c>
      <c r="W190" s="417">
        <f t="shared" si="158"/>
        <v>4</v>
      </c>
      <c r="Y190" s="417">
        <v>27</v>
      </c>
      <c r="Z190" s="16" t="str">
        <f t="shared" si="152"/>
        <v>K&amp;S</v>
      </c>
      <c r="AA190" s="146" t="str">
        <f t="shared" si="153"/>
        <v>Worc</v>
      </c>
      <c r="AB190" s="32"/>
      <c r="AC190" s="16" t="str">
        <f t="shared" si="154"/>
        <v>M</v>
      </c>
      <c r="AD190" s="419" t="str">
        <f t="shared" si="154"/>
        <v>Solihull &amp; S.Heath</v>
      </c>
      <c r="AE190" s="419">
        <f>IF(ISNA(MATCH(AC190,N186:N195,0)),0,VLOOKUP(AC190,N186:S195,5,FALSE))</f>
        <v>0</v>
      </c>
      <c r="AF190" s="419" t="str">
        <f>IF(ISNA(MATCH(AC190,T186:T195,0))," ",VLOOKUP(AC190,T186:Y195,5,FALSE))</f>
        <v xml:space="preserve"> </v>
      </c>
      <c r="AG190" s="419">
        <f>IF(ISNA(MATCH(AC190,L186:L193,0)),0,VLOOKUP(AC190,L186:N193,3,FALSE))</f>
        <v>3.5</v>
      </c>
      <c r="AH190" s="419">
        <f>IF(ISNA(MATCH(AC190,R186:R193,0)),0,VLOOKUP(AC190,R186:T193,3,FALSE))</f>
        <v>3.49</v>
      </c>
      <c r="AI190" s="419" t="str">
        <f>IF(ISNA(MATCH(AC190,L186:L193,0)),0,VLOOKUP(AC190,L186:P193,4,FALSE))</f>
        <v>M</v>
      </c>
      <c r="AJ190" s="419" t="str">
        <f>IF(ISNA(MATCH(AC190,R186:R193,0)),0,VLOOKUP(AC190,R186:U193,4,FALSE))</f>
        <v>MM</v>
      </c>
      <c r="AK190" s="32">
        <f t="shared" si="155"/>
        <v>6</v>
      </c>
      <c r="AL190" s="32">
        <f t="shared" si="156"/>
        <v>3</v>
      </c>
      <c r="AM190" s="32">
        <f>IF(ISNA(MATCH(AC190,L186:L193,0)),0,VLOOKUP(AC190,L186:W193,AM$1,FALSE))</f>
        <v>3</v>
      </c>
      <c r="AN190" s="146">
        <f>IF(ISNA(MATCH(AC190,R186:R193,0)),0,VLOOKUP(AC190,R186:W193,AN$1,FALSE))</f>
        <v>6</v>
      </c>
      <c r="AP190" s="927"/>
      <c r="AQ190" s="927"/>
    </row>
    <row r="191" spans="1:47" ht="15.6" x14ac:dyDescent="0.3">
      <c r="A191" s="417">
        <f t="shared" si="157"/>
        <v>166</v>
      </c>
      <c r="B191" s="362" t="str">
        <f>'Event Details'!D$27</f>
        <v>D</v>
      </c>
      <c r="C191" s="381" t="str">
        <f>'Event Details'!E$27</f>
        <v>Stratford</v>
      </c>
      <c r="D191" s="379"/>
      <c r="E191" s="378"/>
      <c r="F191" s="363" t="str">
        <f>VLOOKUP($B185,IF($H185="F",TeamSheetFemale,TeamSheetMale),$Y191-1,FALSE)</f>
        <v>D</v>
      </c>
      <c r="G191" s="380" t="str">
        <f>VLOOKUP($B185,IF($H185="F",TeamSheetFemale,TeamSheetMale),$Y191,FALSE)</f>
        <v>Rafe White</v>
      </c>
      <c r="H191" s="363" t="str">
        <f>VLOOKUP($B185,IF($H185="F",TeamSheetFemale,TeamSheetMale),$Y191+1,FALSE)</f>
        <v>DD</v>
      </c>
      <c r="I191" s="364" t="str">
        <f>VLOOKUP($B185,IF($H185="F",TeamSheetFemale,TeamSheetMale),$Y191+2,FALSE)</f>
        <v>Simon Zawada</v>
      </c>
      <c r="K191" s="341" t="s">
        <v>276</v>
      </c>
      <c r="L191" s="16" t="str">
        <f t="shared" si="150"/>
        <v>M</v>
      </c>
      <c r="M191" s="927" t="s">
        <v>127</v>
      </c>
      <c r="N191" s="927">
        <v>3.5</v>
      </c>
      <c r="O191" s="353" t="str">
        <f>IF(LEN($M191)=1,VLOOKUP(LEFT($M191,1),B186:I193,5,FALSE),IF(LEN($M191)=2,VLOOKUP(LEFT($M191,1),B186:I193,7,FALSE),""))</f>
        <v>M</v>
      </c>
      <c r="P191" s="373" t="str">
        <f>IF(LEN($M191)=1,VLOOKUP(LEFT($M191,1),B186:I193,6,FALSE),IF(LEN($M191)=2,VLOOKUP(LEFT($M191,1),B186:I193,8,FALSE),""))</f>
        <v>Edison Hughes</v>
      </c>
      <c r="Q191" s="341" t="s">
        <v>276</v>
      </c>
      <c r="R191" s="146" t="str">
        <f t="shared" si="151"/>
        <v>G</v>
      </c>
      <c r="S191" s="927" t="s">
        <v>820</v>
      </c>
      <c r="T191" s="927">
        <v>3.19</v>
      </c>
      <c r="U191" s="353" t="str">
        <f>IF(LEN($S191)=1,VLOOKUP(LEFT($S191,1),B186:I193,5,FALSE),IF(LEN($S191)=2,VLOOKUP(LEFT($S191,1),B186:I193,7,FALSE),""))</f>
        <v>GG</v>
      </c>
      <c r="V191" s="373" t="str">
        <f>IF(LEN($S191)=1,VLOOKUP(LEFT($S191,1),B186:I193,6,FALSE),IF(LEN($S191)=2,VLOOKUP(LEFT($S191,1),B186:I193,8,FALSE),""))</f>
        <v>Daniel Wood</v>
      </c>
      <c r="W191" s="417">
        <f t="shared" si="158"/>
        <v>3</v>
      </c>
      <c r="Y191" s="417">
        <v>32</v>
      </c>
      <c r="Z191" s="16" t="str">
        <f t="shared" si="152"/>
        <v>Sol</v>
      </c>
      <c r="AA191" s="146" t="str">
        <f t="shared" si="153"/>
        <v>Royal</v>
      </c>
      <c r="AB191" s="32"/>
      <c r="AC191" s="16" t="str">
        <f t="shared" si="154"/>
        <v>D</v>
      </c>
      <c r="AD191" s="419" t="str">
        <f t="shared" si="154"/>
        <v>Stratford</v>
      </c>
      <c r="AE191" s="419">
        <f>IF(ISNA(MATCH(AC191,N186:N195,0)),0,VLOOKUP(AC191,N186:S195,5,FALSE))</f>
        <v>0</v>
      </c>
      <c r="AF191" s="419" t="str">
        <f>IF(ISNA(MATCH(AC191,T186:T195,0))," ",VLOOKUP(AC191,T186:Y195,5,FALSE))</f>
        <v xml:space="preserve"> </v>
      </c>
      <c r="AG191" s="419">
        <f>IF(ISNA(MATCH(AC191,L186:L193,0)),0,VLOOKUP(AC191,L186:N193,3,FALSE))</f>
        <v>3.58</v>
      </c>
      <c r="AH191" s="419">
        <f>IF(ISNA(MATCH(AC191,R186:R193,0)),0,VLOOKUP(AC191,R186:T193,3,FALSE))</f>
        <v>3.46</v>
      </c>
      <c r="AI191" s="419" t="str">
        <f>IF(ISNA(MATCH(AC191,L186:L193,0)),0,VLOOKUP(AC191,L186:P193,4,FALSE))</f>
        <v>DD</v>
      </c>
      <c r="AJ191" s="419" t="str">
        <f>IF(ISNA(MATCH(AC191,R186:R193,0)),0,VLOOKUP(AC191,R186:U193,4,FALSE))</f>
        <v>D</v>
      </c>
      <c r="AK191" s="32">
        <f t="shared" si="155"/>
        <v>4</v>
      </c>
      <c r="AL191" s="32">
        <f t="shared" si="156"/>
        <v>4</v>
      </c>
      <c r="AM191" s="32">
        <f>IF(ISNA(MATCH(AC191,L186:L193,0)),0,VLOOKUP(AC191,L186:W193,AM$1,FALSE))</f>
        <v>5</v>
      </c>
      <c r="AN191" s="146">
        <f>IF(ISNA(MATCH(AC191,R186:R193,0)),0,VLOOKUP(AC191,R186:W193,AN$1,FALSE))</f>
        <v>5</v>
      </c>
      <c r="AP191" s="927"/>
      <c r="AQ191" s="927"/>
    </row>
    <row r="192" spans="1:47" ht="15.6" x14ac:dyDescent="0.3">
      <c r="A192" s="417">
        <f t="shared" si="157"/>
        <v>167</v>
      </c>
      <c r="B192" s="362" t="str">
        <f>'Event Details'!D$28</f>
        <v>F</v>
      </c>
      <c r="C192" s="381" t="str">
        <f>'Event Details'!E$28</f>
        <v>Tamworth</v>
      </c>
      <c r="D192" s="379"/>
      <c r="E192" s="378"/>
      <c r="F192" s="363" t="str">
        <f>VLOOKUP($B185,IF($H185="F",TeamSheetFemale,TeamSheetMale),$Y192-1,FALSE)</f>
        <v>F</v>
      </c>
      <c r="G192" s="380" t="str">
        <f>VLOOKUP($B185,IF($H185="F",TeamSheetFemale,TeamSheetMale),$Y192,FALSE)</f>
        <v>Evan Darby</v>
      </c>
      <c r="H192" s="363" t="str">
        <f>VLOOKUP($B185,IF($H185="F",TeamSheetFemale,TeamSheetMale),$Y192+1,FALSE)</f>
        <v>FF</v>
      </c>
      <c r="I192" s="364" t="str">
        <f>VLOOKUP($B185,IF($H185="F",TeamSheetFemale,TeamSheetMale),$Y192+2,FALSE)</f>
        <v>Oliver Eaton</v>
      </c>
      <c r="K192" s="341" t="s">
        <v>277</v>
      </c>
      <c r="L192" s="16" t="str">
        <f t="shared" si="150"/>
        <v>G</v>
      </c>
      <c r="M192" s="927" t="s">
        <v>110</v>
      </c>
      <c r="N192" s="927">
        <v>3.45</v>
      </c>
      <c r="O192" s="353" t="str">
        <f>IF(LEN($M192)=1,VLOOKUP(LEFT($M192,1),B186:I193,5,FALSE),IF(LEN($M192)=2,VLOOKUP(LEFT($M192,1),B186:I193,7,FALSE),""))</f>
        <v>G</v>
      </c>
      <c r="P192" s="373" t="str">
        <f>IF(LEN($M192)=1,VLOOKUP(LEFT($M192,1),B186:I193,6,FALSE),IF(LEN($M192)=2,VLOOKUP(LEFT($M192,1),B186:I193,8,FALSE),""))</f>
        <v>Woody Forrester</v>
      </c>
      <c r="Q192" s="341" t="s">
        <v>277</v>
      </c>
      <c r="R192" s="146" t="str">
        <f t="shared" si="151"/>
        <v>U</v>
      </c>
      <c r="S192" s="927" t="s">
        <v>726</v>
      </c>
      <c r="T192" s="927">
        <v>2.91</v>
      </c>
      <c r="U192" s="353" t="str">
        <f>IF(LEN($S192)=1,VLOOKUP(LEFT($S192,1),B186:I193,5,FALSE),IF(LEN($S192)=2,VLOOKUP(LEFT($S192,1),B186:I193,7,FALSE),""))</f>
        <v>UU</v>
      </c>
      <c r="V192" s="373" t="str">
        <f>IF(LEN($S192)=1,VLOOKUP(LEFT($S192,1),B186:I193,6,FALSE),IF(LEN($S192)=2,VLOOKUP(LEFT($S192,1),B186:I193,8,FALSE),""))</f>
        <v>Ted Bates</v>
      </c>
      <c r="W192" s="417">
        <f t="shared" si="158"/>
        <v>2</v>
      </c>
      <c r="Y192" s="417">
        <v>37</v>
      </c>
      <c r="Z192" s="16" t="str">
        <f t="shared" si="152"/>
        <v>Royal</v>
      </c>
      <c r="AA192" s="146" t="str">
        <f t="shared" si="153"/>
        <v>K&amp;S</v>
      </c>
      <c r="AB192" s="32"/>
      <c r="AC192" s="16" t="str">
        <f t="shared" si="154"/>
        <v>F</v>
      </c>
      <c r="AD192" s="419" t="str">
        <f t="shared" si="154"/>
        <v>Tamworth</v>
      </c>
      <c r="AE192" s="419">
        <f>IF(ISNA(MATCH(AC192,N184:N193,0)),0,VLOOKUP(AC192,N184:S193,5,FALSE))</f>
        <v>0</v>
      </c>
      <c r="AF192" s="419" t="str">
        <f>IF(ISNA(MATCH(AC192,T184:T193,0))," ",VLOOKUP(AC192,T184:Y193,5,FALSE))</f>
        <v xml:space="preserve"> </v>
      </c>
      <c r="AG192" s="419">
        <f>IF(ISNA(MATCH(AC192,L186:L193,0)),0,VLOOKUP(AC192,L186:N193,3,FALSE))</f>
        <v>3.23</v>
      </c>
      <c r="AH192" s="419">
        <f>IF(ISNA(MATCH(AC192,R186:R193,0)),0,VLOOKUP(AC192,R186:T193,3,FALSE))</f>
        <v>2.34</v>
      </c>
      <c r="AI192" s="419" t="str">
        <f>IF(ISNA(MATCH(AC192,L186:L193,0)),0,VLOOKUP(AC192,L186:P193,4,FALSE))</f>
        <v>F</v>
      </c>
      <c r="AJ192" s="419" t="str">
        <f>IF(ISNA(MATCH(AC192,R186:R193,0)),0,VLOOKUP(AC192,R186:U193,4,FALSE))</f>
        <v>FF</v>
      </c>
      <c r="AK192" s="32">
        <f t="shared" si="155"/>
        <v>8</v>
      </c>
      <c r="AL192" s="32">
        <f t="shared" si="156"/>
        <v>8</v>
      </c>
      <c r="AM192" s="32">
        <f>IF(ISNA(MATCH(AC192,L186:L193,0)),0,VLOOKUP(AC192,L186:W193,AM$1,FALSE))</f>
        <v>1</v>
      </c>
      <c r="AN192" s="146">
        <f>IF(ISNA(MATCH(AC192,R186:R193,0)),0,VLOOKUP(AC192,R186:W193,AN$1,FALSE))</f>
        <v>1</v>
      </c>
      <c r="AP192" s="927"/>
      <c r="AQ192" s="927"/>
    </row>
    <row r="193" spans="1:47" ht="16.2" thickBot="1" x14ac:dyDescent="0.35">
      <c r="A193" s="418">
        <f t="shared" si="157"/>
        <v>168</v>
      </c>
      <c r="B193" s="365" t="str">
        <f>'Event Details'!D$29</f>
        <v>Y</v>
      </c>
      <c r="C193" s="366" t="str">
        <f>'Event Details'!E$29</f>
        <v>Worcester</v>
      </c>
      <c r="D193" s="361"/>
      <c r="E193" s="370"/>
      <c r="F193" s="367" t="str">
        <f>VLOOKUP($B185,IF($H185="F",TeamSheetFemale,TeamSheetMale),$Y193-1,FALSE)</f>
        <v>Y</v>
      </c>
      <c r="G193" s="368" t="str">
        <f>VLOOKUP($B185,IF($H185="F",TeamSheetFemale,TeamSheetMale),$Y193,FALSE)</f>
        <v>Thomas Jenkinson</v>
      </c>
      <c r="H193" s="367" t="str">
        <f>VLOOKUP($B185,IF($H185="F",TeamSheetFemale,TeamSheetMale),$Y193+1,FALSE)</f>
        <v>YY</v>
      </c>
      <c r="I193" s="369" t="str">
        <f>VLOOKUP($B185,IF($H185="F",TeamSheetFemale,TeamSheetMale),$Y193+2,FALSE)</f>
        <v>Felix Whakahau</v>
      </c>
      <c r="K193" s="346" t="s">
        <v>278</v>
      </c>
      <c r="L193" s="25" t="str">
        <f t="shared" si="150"/>
        <v>F</v>
      </c>
      <c r="M193" s="928" t="s">
        <v>142</v>
      </c>
      <c r="N193" s="932">
        <v>3.23</v>
      </c>
      <c r="O193" s="375" t="str">
        <f>IF(LEN($M193)=1,VLOOKUP(LEFT($M193,1),B186:I193,5,FALSE),IF(LEN($M193)=2,VLOOKUP(LEFT($M193,1),B186:I193,7,FALSE),""))</f>
        <v>F</v>
      </c>
      <c r="P193" s="376" t="str">
        <f>IF(LEN($M193)=1,VLOOKUP(LEFT($M193,1),B186:I193,6,FALSE),IF(LEN($M193)=2,VLOOKUP(LEFT($M193,1),B186:I193,8,FALSE),""))</f>
        <v>Evan Darby</v>
      </c>
      <c r="Q193" s="346" t="s">
        <v>278</v>
      </c>
      <c r="R193" s="523" t="str">
        <f t="shared" si="151"/>
        <v>F</v>
      </c>
      <c r="S193" s="928" t="s">
        <v>576</v>
      </c>
      <c r="T193" s="932">
        <v>2.34</v>
      </c>
      <c r="U193" s="375" t="str">
        <f>IF(LEN($S193)=1,VLOOKUP(LEFT($S193,1),B186:I193,5,FALSE),IF(LEN($S193)=2,VLOOKUP(LEFT($S193,1),B186:I193,7,FALSE),""))</f>
        <v>FF</v>
      </c>
      <c r="V193" s="376" t="str">
        <f>IF(LEN($S193)=1,VLOOKUP(LEFT($S193,1),B186:I193,6,FALSE),IF(LEN($S193)=2,VLOOKUP(LEFT($S193,1),B186:I193,8,FALSE),""))</f>
        <v>Oliver Eaton</v>
      </c>
      <c r="W193" s="418">
        <f t="shared" si="158"/>
        <v>1</v>
      </c>
      <c r="Y193" s="418">
        <v>42</v>
      </c>
      <c r="Z193" s="25" t="str">
        <f t="shared" si="152"/>
        <v>Tam</v>
      </c>
      <c r="AA193" s="523" t="str">
        <f t="shared" si="153"/>
        <v>Tam</v>
      </c>
      <c r="AB193" s="32"/>
      <c r="AC193" s="25" t="str">
        <f t="shared" si="154"/>
        <v>Y</v>
      </c>
      <c r="AD193" s="624" t="str">
        <f t="shared" si="154"/>
        <v>Worcester</v>
      </c>
      <c r="AE193" s="624">
        <f>IF(ISNA(MATCH(AC193,N185:N194,0)),0,VLOOKUP(AC193,N185:S194,5,FALSE))</f>
        <v>0</v>
      </c>
      <c r="AF193" s="624" t="str">
        <f t="shared" ref="AF193" si="159">IF(ISNA(MATCH(AC193,T185:T194,0))," ",VLOOKUP(AC193,T185:Y194,5,FALSE))</f>
        <v xml:space="preserve"> </v>
      </c>
      <c r="AG193" s="624">
        <f>IF(ISNA(MATCH(AC193,L186:L193,0)),0,VLOOKUP(AC193,L186:N193,3,FALSE))</f>
        <v>3.95</v>
      </c>
      <c r="AH193" s="624">
        <f>IF(ISNA(MATCH(AC193,R186:R193,0)),0,VLOOKUP(AC193,R186:T193,3,FALSE))</f>
        <v>3.27</v>
      </c>
      <c r="AI193" s="624" t="str">
        <f>IF(ISNA(MATCH(AC193,L186:L193,0)),0,VLOOKUP(AC193,L186:P193,4,FALSE))</f>
        <v>Y</v>
      </c>
      <c r="AJ193" s="624" t="str">
        <f>IF(ISNA(MATCH(AC193,R186:R193,0)),0,VLOOKUP(AC193,R186:U193,4,FALSE))</f>
        <v>YY</v>
      </c>
      <c r="AK193" s="116">
        <f t="shared" si="155"/>
        <v>2</v>
      </c>
      <c r="AL193" s="116">
        <f t="shared" si="156"/>
        <v>5</v>
      </c>
      <c r="AM193" s="116">
        <f>IF(ISNA(MATCH(AC193,L186:L193,0)),0,VLOOKUP(AC193,L186:W193,AM$1,FALSE))</f>
        <v>7</v>
      </c>
      <c r="AN193" s="523">
        <f>IF(ISNA(MATCH(AC193,R186:R193,0)),0,VLOOKUP(AC193,R186:W193,AN$1,FALSE))</f>
        <v>4</v>
      </c>
      <c r="AP193" s="928"/>
      <c r="AQ193" s="932"/>
    </row>
    <row r="194" spans="1:47" ht="15" thickBot="1" x14ac:dyDescent="0.35">
      <c r="M194" s="276"/>
      <c r="N194" s="307"/>
      <c r="S194" s="276"/>
      <c r="T194" s="307"/>
      <c r="AP194" s="276"/>
      <c r="AQ194" s="307"/>
    </row>
    <row r="195" spans="1:47" x14ac:dyDescent="0.3">
      <c r="B195" s="400" t="s">
        <v>258</v>
      </c>
      <c r="C195" s="398"/>
      <c r="D195" s="401" t="s">
        <v>165</v>
      </c>
      <c r="E195" s="398"/>
      <c r="F195" s="398"/>
      <c r="G195" s="402" t="s">
        <v>259</v>
      </c>
      <c r="H195" s="403" t="s">
        <v>249</v>
      </c>
      <c r="I195" s="404" t="s">
        <v>168</v>
      </c>
      <c r="K195" s="360"/>
      <c r="L195" s="661"/>
      <c r="M195" s="387" t="s">
        <v>260</v>
      </c>
      <c r="N195" s="387" t="s">
        <v>261</v>
      </c>
      <c r="O195" s="387" t="s">
        <v>262</v>
      </c>
      <c r="P195" s="388" t="s">
        <v>75</v>
      </c>
      <c r="Q195" s="412"/>
      <c r="R195" s="657"/>
      <c r="S195" s="387" t="s">
        <v>260</v>
      </c>
      <c r="T195" s="387" t="s">
        <v>261</v>
      </c>
      <c r="U195" s="387" t="s">
        <v>262</v>
      </c>
      <c r="V195" s="388" t="s">
        <v>75</v>
      </c>
      <c r="W195" s="672" t="s">
        <v>76</v>
      </c>
      <c r="Y195" s="654" t="s">
        <v>263</v>
      </c>
      <c r="Z195" s="656" t="s">
        <v>74</v>
      </c>
      <c r="AA195" s="657" t="s">
        <v>75</v>
      </c>
      <c r="AC195" s="665" t="s">
        <v>71</v>
      </c>
      <c r="AD195" s="657" t="s">
        <v>86</v>
      </c>
      <c r="AE195" s="661" t="s">
        <v>149</v>
      </c>
      <c r="AF195" s="661" t="s">
        <v>94</v>
      </c>
      <c r="AG195" s="661" t="s">
        <v>149</v>
      </c>
      <c r="AH195" s="661" t="s">
        <v>94</v>
      </c>
      <c r="AI195" s="661" t="s">
        <v>149</v>
      </c>
      <c r="AJ195" s="661" t="s">
        <v>94</v>
      </c>
      <c r="AK195" s="1332" t="s">
        <v>149</v>
      </c>
      <c r="AL195" s="661" t="s">
        <v>94</v>
      </c>
      <c r="AM195" s="1406" t="s">
        <v>76</v>
      </c>
      <c r="AN195" s="1407"/>
      <c r="AP195" s="387" t="s">
        <v>260</v>
      </c>
      <c r="AQ195" s="387" t="s">
        <v>261</v>
      </c>
      <c r="AS195" s="1218" t="s">
        <v>165</v>
      </c>
      <c r="AT195" s="1219" t="s">
        <v>79</v>
      </c>
      <c r="AU195" s="1220" t="s">
        <v>80</v>
      </c>
    </row>
    <row r="196" spans="1:47" ht="15" thickBot="1" x14ac:dyDescent="0.35">
      <c r="B196" s="405">
        <v>17</v>
      </c>
      <c r="C196" s="399"/>
      <c r="D196" s="385" t="str">
        <f>VLOOKUP($B196,EventOrder,6,FALSE)</f>
        <v xml:space="preserve">High Jump </v>
      </c>
      <c r="E196" s="399"/>
      <c r="F196" s="385"/>
      <c r="G196" s="386" t="str">
        <f>VLOOKUP($B196,EventOrder,4,FALSE)</f>
        <v>U16 Female</v>
      </c>
      <c r="H196" s="396" t="str">
        <f>IF(MID(G196,5,1)="F","F","M")</f>
        <v>F</v>
      </c>
      <c r="I196" s="397">
        <f>VLOOKUP($B196,EventOrder,2,FALSE)</f>
        <v>12.3</v>
      </c>
      <c r="K196" s="372"/>
      <c r="L196" s="667" t="s">
        <v>149</v>
      </c>
      <c r="M196" s="409" t="s">
        <v>264</v>
      </c>
      <c r="N196" s="409" t="s">
        <v>265</v>
      </c>
      <c r="O196" s="409" t="s">
        <v>266</v>
      </c>
      <c r="P196" s="408"/>
      <c r="Q196" s="413"/>
      <c r="R196" s="659" t="s">
        <v>94</v>
      </c>
      <c r="S196" s="409" t="s">
        <v>264</v>
      </c>
      <c r="T196" s="409" t="s">
        <v>265</v>
      </c>
      <c r="U196" s="409" t="s">
        <v>266</v>
      </c>
      <c r="V196" s="408"/>
      <c r="W196" s="671"/>
      <c r="Y196" s="655" t="s">
        <v>167</v>
      </c>
      <c r="Z196" s="658" t="s">
        <v>149</v>
      </c>
      <c r="AA196" s="659" t="s">
        <v>94</v>
      </c>
      <c r="AC196" s="666"/>
      <c r="AD196" s="668"/>
      <c r="AE196" s="768" t="s">
        <v>75</v>
      </c>
      <c r="AF196" s="768" t="s">
        <v>75</v>
      </c>
      <c r="AG196" s="768" t="s">
        <v>267</v>
      </c>
      <c r="AH196" s="768" t="s">
        <v>267</v>
      </c>
      <c r="AI196" s="768" t="s">
        <v>268</v>
      </c>
      <c r="AJ196" s="768" t="s">
        <v>268</v>
      </c>
      <c r="AK196" s="770" t="s">
        <v>269</v>
      </c>
      <c r="AL196" s="768" t="s">
        <v>269</v>
      </c>
      <c r="AM196" s="667" t="s">
        <v>149</v>
      </c>
      <c r="AN196" s="659" t="s">
        <v>94</v>
      </c>
      <c r="AP196" s="409" t="s">
        <v>264</v>
      </c>
      <c r="AQ196" s="409" t="s">
        <v>265</v>
      </c>
      <c r="AS196" s="1221" t="s">
        <v>270</v>
      </c>
      <c r="AT196" s="1222" t="s">
        <v>270</v>
      </c>
      <c r="AU196" s="1223" t="s">
        <v>270</v>
      </c>
    </row>
    <row r="197" spans="1:47" ht="15.6" x14ac:dyDescent="0.3">
      <c r="A197" s="416">
        <f>(B196*10)+1</f>
        <v>171</v>
      </c>
      <c r="B197" s="362" t="str">
        <f>'Event Details'!D$22</f>
        <v>S</v>
      </c>
      <c r="C197" s="381" t="str">
        <f>'Event Details'!E$22</f>
        <v>BRAT</v>
      </c>
      <c r="D197" s="379"/>
      <c r="E197" s="378"/>
      <c r="F197" s="363" t="str">
        <f>VLOOKUP($B196,IF($H196="F",TeamSheetFemale,TeamSheetMale),$Y197-1,FALSE)</f>
        <v>S</v>
      </c>
      <c r="G197" s="380" t="str">
        <f>VLOOKUP($B196,IF($H196="F",TeamSheetFemale,TeamSheetMale),$Y197,FALSE)</f>
        <v>Josephine Colclough</v>
      </c>
      <c r="H197" s="363" t="str">
        <f>VLOOKUP($B196,IF($H196="F",TeamSheetFemale,TeamSheetMale),$Y197+1,FALSE)</f>
        <v>SS</v>
      </c>
      <c r="I197" s="364" t="str">
        <f>VLOOKUP($B196,IF($H196="F",TeamSheetFemale,TeamSheetMale),$Y197+2,FALSE)</f>
        <v>Amber Stevens</v>
      </c>
      <c r="K197" s="393" t="s">
        <v>271</v>
      </c>
      <c r="L197" s="16" t="str">
        <f t="shared" ref="L197:L204" si="160">LEFT(M197,1)</f>
        <v>D</v>
      </c>
      <c r="M197" s="926" t="s">
        <v>136</v>
      </c>
      <c r="N197" s="926">
        <v>1.59</v>
      </c>
      <c r="O197" s="394" t="str">
        <f>IF(LEN($M197)=1,VLOOKUP(LEFT($M197,1),B197:I204,5,FALSE),IF(LEN($M197)=2,VLOOKUP(LEFT($M197,1),B197:I204,7,FALSE),""))</f>
        <v>D</v>
      </c>
      <c r="P197" s="395" t="str">
        <f>IF(LEN($M197)=1,VLOOKUP(LEFT($M197,1),B197:I204,6,FALSE),IF(LEN($M197)=2,VLOOKUP(LEFT($M197,1),B197:I204,8,FALSE),""))</f>
        <v>Annabel Stacey</v>
      </c>
      <c r="Q197" s="406" t="s">
        <v>271</v>
      </c>
      <c r="R197" s="146" t="str">
        <f t="shared" ref="R197:R204" si="161">LEFT(S197,1)</f>
        <v>D</v>
      </c>
      <c r="S197" s="926" t="s">
        <v>513</v>
      </c>
      <c r="T197" s="926">
        <v>1.45</v>
      </c>
      <c r="U197" s="394" t="str">
        <f>IF(LEN($S197)=1,VLOOKUP(LEFT($S197,1),B197:I204,5,FALSE),IF(LEN($S197)=2,VLOOKUP(LEFT($S197,1),B197:I204,7,FALSE),""))</f>
        <v>DD</v>
      </c>
      <c r="V197" s="395" t="str">
        <f>IF(LEN($S197)=1,VLOOKUP(LEFT($S197,1),B197:I204,6,FALSE),IF(LEN($S197)=2,VLOOKUP(LEFT($S197,1),B197:I204,8,FALSE),""))</f>
        <v>Lila Gallinagh</v>
      </c>
      <c r="W197" s="417">
        <f>AN$6</f>
        <v>8</v>
      </c>
      <c r="Y197" s="653">
        <v>7</v>
      </c>
      <c r="Z197" s="653" t="str">
        <f t="shared" ref="Z197:Z204" si="162">IF(LEN(M197)&gt;0,VLOOKUP(LEFT(M197,1),ShortName,5,FALSE),0)</f>
        <v>Strat</v>
      </c>
      <c r="AA197" s="138" t="str">
        <f t="shared" ref="AA197:AA204" si="163">IF(LEN(S197)&gt;0,VLOOKUP(LEFT(S197,1),ShortName,5,FALSE),0)</f>
        <v>Strat</v>
      </c>
      <c r="AC197" s="16" t="str">
        <f t="shared" ref="AC197:AD204" si="164">B197</f>
        <v>S</v>
      </c>
      <c r="AD197" s="419" t="str">
        <f t="shared" si="164"/>
        <v>BRAT</v>
      </c>
      <c r="AE197" s="635">
        <f>IF(ISNA(MATCH(AC197,N197:N206,0)),0,VLOOKUP(AC197,N197:S206,5,FALSE))</f>
        <v>0</v>
      </c>
      <c r="AF197" s="635" t="str">
        <f>IF(ISNA(MATCH(AC197,T197:T206,0))," ",VLOOKUP(AC197,T197:Y206,5,FALSE))</f>
        <v xml:space="preserve"> </v>
      </c>
      <c r="AG197" s="635">
        <f>IF(ISNA(MATCH(AC197,L197:L204,0)),0,VLOOKUP(AC197,L197:N204,3,FALSE))</f>
        <v>1.4</v>
      </c>
      <c r="AH197" s="635">
        <f>IF(ISNA(MATCH(AC197,R197:R204,0)),0,VLOOKUP(AC197,R197:T204,3,FALSE))</f>
        <v>1.35</v>
      </c>
      <c r="AI197" s="635" t="str">
        <f>IF(ISNA(MATCH(AC197,L197:L204,0)),0,VLOOKUP(AC197,L197:P204,4,FALSE))</f>
        <v>S</v>
      </c>
      <c r="AJ197" s="635" t="str">
        <f>IF(ISNA(MATCH(AC197,R197:R204,0)),0,VLOOKUP(AC197,R197:U204,4,FALSE))</f>
        <v>SS</v>
      </c>
      <c r="AK197" s="49">
        <f t="shared" ref="AK197:AK204" si="165">IF(AM197=0,0,AN$6-(AM197-1))</f>
        <v>5</v>
      </c>
      <c r="AL197" s="49">
        <f t="shared" ref="AL197:AL204" si="166">IF(AN197=0,0,AN$6-(AN197-1))</f>
        <v>3</v>
      </c>
      <c r="AM197" s="49">
        <f>IF(ISNA(MATCH(AC197,L197:L204,0)),0,VLOOKUP(AC197,L197:W204,AM$1,FALSE))</f>
        <v>4</v>
      </c>
      <c r="AN197" s="138">
        <f>IF(ISNA(MATCH(AC197,R197:R204,0)),0,VLOOKUP(AC197,R197:W204,AN$1,FALSE))</f>
        <v>6</v>
      </c>
      <c r="AP197" s="926"/>
      <c r="AQ197" s="926"/>
      <c r="AS197" s="32">
        <f>IF(LEN(N197)&gt;0,1,0)</f>
        <v>1</v>
      </c>
      <c r="AT197" s="32">
        <f>IF(AND(AS197=1,H196="M"),1,0)</f>
        <v>0</v>
      </c>
      <c r="AU197" s="32">
        <f>IF(AND(AS197=1,H196="F"),1,0)</f>
        <v>1</v>
      </c>
    </row>
    <row r="198" spans="1:47" ht="15.6" x14ac:dyDescent="0.3">
      <c r="A198" s="417">
        <f>A197+1</f>
        <v>172</v>
      </c>
      <c r="B198" s="362" t="str">
        <f>'Event Details'!D$23</f>
        <v>U</v>
      </c>
      <c r="C198" s="381" t="str">
        <f>'Event Details'!E$23</f>
        <v>Kidder &amp; Stourport</v>
      </c>
      <c r="D198" s="379"/>
      <c r="E198" s="378"/>
      <c r="F198" s="363">
        <f>VLOOKUP($B196,IF($H196="F",TeamSheetFemale,TeamSheetMale),$Y198-1,FALSE)</f>
        <v>0</v>
      </c>
      <c r="G198" s="380">
        <f>VLOOKUP($B196,IF($H196="F",TeamSheetFemale,TeamSheetMale),$Y198,FALSE)</f>
        <v>0</v>
      </c>
      <c r="H198" s="363">
        <f>VLOOKUP($B196,IF($H196="F",TeamSheetFemale,TeamSheetMale),$Y198+1,FALSE)</f>
        <v>0</v>
      </c>
      <c r="I198" s="364">
        <f>VLOOKUP($B196,IF($H196="F",TeamSheetFemale,TeamSheetMale),$Y198+2,FALSE)</f>
        <v>0</v>
      </c>
      <c r="K198" s="341" t="s">
        <v>272</v>
      </c>
      <c r="L198" s="16" t="str">
        <f t="shared" si="160"/>
        <v>F</v>
      </c>
      <c r="M198" s="927" t="s">
        <v>142</v>
      </c>
      <c r="N198" s="927">
        <v>1.59</v>
      </c>
      <c r="O198" s="354" t="str">
        <f>IF(LEN($M198)=1,VLOOKUP(LEFT($M198,1),B197:I204,5,FALSE),IF(LEN($M198)=2,VLOOKUP(LEFT($M198,1),B197:I204,7,FALSE),""))</f>
        <v>F</v>
      </c>
      <c r="P198" s="410" t="str">
        <f>IF(LEN($M198)=1,VLOOKUP(LEFT($M198,1),B197:I204,6,FALSE),IF(LEN($M198)=2,VLOOKUP(LEFT($M198,1),B197:I204,8,FALSE),""))</f>
        <v>Tilly Farmer</v>
      </c>
      <c r="Q198" s="371" t="s">
        <v>272</v>
      </c>
      <c r="R198" s="146" t="str">
        <f t="shared" si="161"/>
        <v>F</v>
      </c>
      <c r="S198" s="927" t="s">
        <v>576</v>
      </c>
      <c r="T198" s="927">
        <v>1.35</v>
      </c>
      <c r="U198" s="354" t="str">
        <f>IF(LEN($S198)=1,VLOOKUP(LEFT($S198,1),B197:I204,5,FALSE),IF(LEN($S198)=2,VLOOKUP(LEFT($S198,1),B197:I204,7,FALSE),""))</f>
        <v>FF</v>
      </c>
      <c r="V198" s="410" t="str">
        <f>IF(LEN($S198)=1,VLOOKUP(LEFT($S198,1),B197:I204,6,FALSE),IF(LEN($S198)=2,VLOOKUP(LEFT($S198,1),B197:I204,8,FALSE),""))</f>
        <v>Matilda Husselbee</v>
      </c>
      <c r="W198" s="417">
        <f>W197-1</f>
        <v>7</v>
      </c>
      <c r="Y198" s="16">
        <v>12</v>
      </c>
      <c r="Z198" s="16" t="str">
        <f t="shared" si="162"/>
        <v>Tam</v>
      </c>
      <c r="AA198" s="146" t="str">
        <f t="shared" si="163"/>
        <v>Tam</v>
      </c>
      <c r="AC198" s="16" t="str">
        <f t="shared" si="164"/>
        <v>U</v>
      </c>
      <c r="AD198" s="419" t="str">
        <f t="shared" si="164"/>
        <v>Kidder &amp; Stourport</v>
      </c>
      <c r="AE198" s="419">
        <f>IF(ISNA(MATCH(AC198,N197:N206,0)),0,VLOOKUP(AC198,N197:S206,5,FALSE))</f>
        <v>0</v>
      </c>
      <c r="AF198" s="419" t="str">
        <f>IF(ISNA(MATCH(AC198,T197:T206,0))," ",VLOOKUP(AC198,T197:Y206,5,FALSE))</f>
        <v xml:space="preserve"> </v>
      </c>
      <c r="AG198" s="419">
        <f>IF(ISNA(MATCH(AC198,L197:L204,0)),0,VLOOKUP(AC198,L197:N204,3,FALSE))</f>
        <v>0</v>
      </c>
      <c r="AH198" s="419">
        <f>IF(ISNA(MATCH(AC198,R197:R204,0)),0,VLOOKUP(AC198,R197:T204,3,FALSE))</f>
        <v>0</v>
      </c>
      <c r="AI198" s="419">
        <f>IF(ISNA(MATCH(AC198,L197:L204,0)),0,VLOOKUP(AC198,L197:P204,4,FALSE))</f>
        <v>0</v>
      </c>
      <c r="AJ198" s="419">
        <f>IF(ISNA(MATCH(AC198,R197:R204,0)),0,VLOOKUP(AC198,R197:U204,4,FALSE))</f>
        <v>0</v>
      </c>
      <c r="AK198" s="32">
        <f t="shared" si="165"/>
        <v>0</v>
      </c>
      <c r="AL198" s="32">
        <f t="shared" si="166"/>
        <v>0</v>
      </c>
      <c r="AM198" s="32">
        <f>IF(ISNA(MATCH(AC198,L197:L204,0)),0,VLOOKUP(AC198,L197:W204,AM$1,FALSE))</f>
        <v>0</v>
      </c>
      <c r="AN198" s="146">
        <f>IF(ISNA(MATCH(AC198,R197:R204,0)),0,VLOOKUP(AC198,R197:W204,AN$1,FALSE))</f>
        <v>0</v>
      </c>
      <c r="AP198" s="927"/>
      <c r="AQ198" s="927"/>
    </row>
    <row r="199" spans="1:47" ht="15.6" x14ac:dyDescent="0.3">
      <c r="A199" s="417">
        <f t="shared" ref="A199:A204" si="167">A198+1</f>
        <v>173</v>
      </c>
      <c r="B199" s="362" t="str">
        <f>'Event Details'!D$24</f>
        <v>G</v>
      </c>
      <c r="C199" s="381" t="str">
        <f>'Event Details'!E$24</f>
        <v>Royal Sutton</v>
      </c>
      <c r="D199" s="379"/>
      <c r="E199" s="378"/>
      <c r="F199" s="363" t="str">
        <f>VLOOKUP($B196,IF($H196="F",TeamSheetFemale,TeamSheetMale),$Y199-1,FALSE)</f>
        <v>G</v>
      </c>
      <c r="G199" s="380" t="str">
        <f>VLOOKUP($B196,IF($H196="F",TeamSheetFemale,TeamSheetMale),$Y199,FALSE)</f>
        <v>Gracie Young</v>
      </c>
      <c r="H199" s="363" t="str">
        <f>VLOOKUP($B196,IF($H196="F",TeamSheetFemale,TeamSheetMale),$Y199+1,FALSE)</f>
        <v>GG</v>
      </c>
      <c r="I199" s="364" t="str">
        <f>VLOOKUP($B196,IF($H196="F",TeamSheetFemale,TeamSheetMale),$Y199+2,FALSE)</f>
        <v>Aiza Ulhaq</v>
      </c>
      <c r="K199" s="341" t="s">
        <v>273</v>
      </c>
      <c r="L199" s="16" t="str">
        <f t="shared" si="160"/>
        <v>G</v>
      </c>
      <c r="M199" s="927" t="s">
        <v>110</v>
      </c>
      <c r="N199" s="927">
        <v>1.5</v>
      </c>
      <c r="O199" s="354" t="str">
        <f>IF(LEN($M199)=1,VLOOKUP(LEFT($M199,1),B197:I204,5,FALSE),IF(LEN($M199)=2,VLOOKUP(LEFT($M199,1),B197:I204,7,FALSE),""))</f>
        <v>G</v>
      </c>
      <c r="P199" s="410" t="str">
        <f>IF(LEN($M199)=1,VLOOKUP(LEFT($M199,1),B197:I204,6,FALSE),IF(LEN($M199)=2,VLOOKUP(LEFT($M199,1),B197:I204,8,FALSE),""))</f>
        <v>Gracie Young</v>
      </c>
      <c r="Q199" s="371" t="s">
        <v>273</v>
      </c>
      <c r="R199" s="146" t="str">
        <f t="shared" si="161"/>
        <v>S</v>
      </c>
      <c r="S199" s="927" t="s">
        <v>818</v>
      </c>
      <c r="T199" s="927">
        <v>1.35</v>
      </c>
      <c r="U199" s="354" t="str">
        <f>IF(LEN($S199)=1,VLOOKUP(LEFT($S199,1),B197:I204,5,FALSE),IF(LEN($S199)=2,VLOOKUP(LEFT($S199,1),B197:I204,7,FALSE),""))</f>
        <v>SS</v>
      </c>
      <c r="V199" s="410" t="str">
        <f>IF(LEN($S199)=1,VLOOKUP(LEFT($S199,1),B197:I204,6,FALSE),IF(LEN($S199)=2,VLOOKUP(LEFT($S199,1),B197:I204,8,FALSE),""))</f>
        <v>Amber Stevens</v>
      </c>
      <c r="W199" s="417">
        <f t="shared" ref="W199:W204" si="168">W198-1</f>
        <v>6</v>
      </c>
      <c r="Y199" s="16">
        <v>17</v>
      </c>
      <c r="Z199" s="16" t="str">
        <f t="shared" si="162"/>
        <v>Royal</v>
      </c>
      <c r="AA199" s="146" t="str">
        <f t="shared" si="163"/>
        <v>BRAT</v>
      </c>
      <c r="AC199" s="16" t="str">
        <f t="shared" si="164"/>
        <v>G</v>
      </c>
      <c r="AD199" s="419" t="str">
        <f t="shared" si="164"/>
        <v>Royal Sutton</v>
      </c>
      <c r="AE199" s="419">
        <f>IF(ISNA(MATCH(AC199,N197:N206,0)),0,VLOOKUP(AC199,N197:S206,5,FALSE))</f>
        <v>0</v>
      </c>
      <c r="AF199" s="419" t="str">
        <f>IF(ISNA(MATCH(AC199,T197:T206,0))," ",VLOOKUP(AC199,T197:Y206,5,FALSE))</f>
        <v xml:space="preserve"> </v>
      </c>
      <c r="AG199" s="419">
        <f>IF(ISNA(MATCH(AC199,L197:L204,0)),0,VLOOKUP(AC199,L197:N204,3,FALSE))</f>
        <v>1.5</v>
      </c>
      <c r="AH199" s="419">
        <f>IF(ISNA(MATCH(AC199,R197:R204,0)),0,VLOOKUP(AC199,R197:T204,3,FALSE))</f>
        <v>1.2</v>
      </c>
      <c r="AI199" s="419" t="str">
        <f>IF(ISNA(MATCH(AC199,L197:L204,0)),0,VLOOKUP(AC199,L197:P204,4,FALSE))</f>
        <v>G</v>
      </c>
      <c r="AJ199" s="419" t="str">
        <f>IF(ISNA(MATCH(AC199,R197:R204,0)),0,VLOOKUP(AC199,R197:U204,4,FALSE))</f>
        <v>GG</v>
      </c>
      <c r="AK199" s="32">
        <f t="shared" si="165"/>
        <v>3</v>
      </c>
      <c r="AL199" s="32">
        <f t="shared" si="166"/>
        <v>5</v>
      </c>
      <c r="AM199" s="32">
        <f>IF(ISNA(MATCH(AC199,L197:L204,0)),0,VLOOKUP(AC199,L197:W204,AM$1,FALSE))</f>
        <v>6</v>
      </c>
      <c r="AN199" s="146">
        <f>IF(ISNA(MATCH(AC199,R197:R204,0)),0,VLOOKUP(AC199,R197:W204,AN$1,FALSE))</f>
        <v>4</v>
      </c>
      <c r="AP199" s="927"/>
      <c r="AQ199" s="927"/>
    </row>
    <row r="200" spans="1:47" ht="15.6" x14ac:dyDescent="0.3">
      <c r="A200" s="417">
        <f t="shared" si="167"/>
        <v>174</v>
      </c>
      <c r="B200" s="362" t="str">
        <f>'Event Details'!D$25</f>
        <v>R</v>
      </c>
      <c r="C200" s="381" t="str">
        <f>'Event Details'!E$25</f>
        <v>Rugby &amp; N'hampton</v>
      </c>
      <c r="D200" s="379"/>
      <c r="E200" s="378"/>
      <c r="F200" s="363" t="str">
        <f>VLOOKUP($B196,IF($H196="F",TeamSheetFemale,TeamSheetMale),$Y200-1,FALSE)</f>
        <v>R</v>
      </c>
      <c r="G200" s="380" t="str">
        <f>VLOOKUP($B196,IF($H196="F",TeamSheetFemale,TeamSheetMale),$Y200,FALSE)</f>
        <v>Phoebe Budd</v>
      </c>
      <c r="H200" s="363" t="str">
        <f>VLOOKUP($B196,IF($H196="F",TeamSheetFemale,TeamSheetMale),$Y200+1,FALSE)</f>
        <v>RR</v>
      </c>
      <c r="I200" s="364" t="str">
        <f>VLOOKUP($B196,IF($H196="F",TeamSheetFemale,TeamSheetMale),$Y200+2,FALSE)</f>
        <v>Vika Leviuk</v>
      </c>
      <c r="K200" s="341" t="s">
        <v>274</v>
      </c>
      <c r="L200" s="16" t="str">
        <f t="shared" si="160"/>
        <v>R</v>
      </c>
      <c r="M200" s="927" t="s">
        <v>118</v>
      </c>
      <c r="N200" s="927">
        <v>1.4</v>
      </c>
      <c r="O200" s="354" t="str">
        <f>IF(LEN($M200)=1,VLOOKUP(LEFT($M200,1),B197:I204,5,FALSE),IF(LEN($M200)=2,VLOOKUP(LEFT($M200,1),B197:I204,7,FALSE),""))</f>
        <v>R</v>
      </c>
      <c r="P200" s="410" t="str">
        <f>IF(LEN($M200)=1,VLOOKUP(LEFT($M200,1),B197:I204,6,FALSE),IF(LEN($M200)=2,VLOOKUP(LEFT($M200,1),B197:I204,8,FALSE),""))</f>
        <v>Phoebe Budd</v>
      </c>
      <c r="Q200" s="371" t="s">
        <v>274</v>
      </c>
      <c r="R200" s="146" t="str">
        <f t="shared" si="161"/>
        <v>R</v>
      </c>
      <c r="S200" s="927" t="s">
        <v>819</v>
      </c>
      <c r="T200" s="927">
        <v>1.3</v>
      </c>
      <c r="U200" s="354" t="str">
        <f>IF(LEN($S200)=1,VLOOKUP(LEFT($S200,1),B197:I204,5,FALSE),IF(LEN($S200)=2,VLOOKUP(LEFT($S200,1),B197:I204,7,FALSE),""))</f>
        <v>RR</v>
      </c>
      <c r="V200" s="410" t="str">
        <f>IF(LEN($S200)=1,VLOOKUP(LEFT($S200,1),B197:I204,6,FALSE),IF(LEN($S200)=2,VLOOKUP(LEFT($S200,1),B197:I204,8,FALSE),""))</f>
        <v>Vika Leviuk</v>
      </c>
      <c r="W200" s="417">
        <f t="shared" si="168"/>
        <v>5</v>
      </c>
      <c r="Y200" s="16">
        <v>22</v>
      </c>
      <c r="Z200" s="16" t="str">
        <f t="shared" si="162"/>
        <v>Rugby</v>
      </c>
      <c r="AA200" s="146" t="str">
        <f t="shared" si="163"/>
        <v>Rugby</v>
      </c>
      <c r="AC200" s="16" t="str">
        <f t="shared" si="164"/>
        <v>R</v>
      </c>
      <c r="AD200" s="419" t="str">
        <f t="shared" si="164"/>
        <v>Rugby &amp; N'hampton</v>
      </c>
      <c r="AE200" s="419">
        <f>IF(ISNA(MATCH(AC200,N197:N206,0)),0,VLOOKUP(AC200,N197:S206,5,FALSE))</f>
        <v>0</v>
      </c>
      <c r="AF200" s="419" t="str">
        <f>IF(ISNA(MATCH(AC200,T197:T206,0))," ",VLOOKUP(AC200,T197:Y206,5,FALSE))</f>
        <v xml:space="preserve"> </v>
      </c>
      <c r="AG200" s="419">
        <f>IF(ISNA(MATCH(AC200,L197:L204,0)),0,VLOOKUP(AC200,L197:N204,3,FALSE))</f>
        <v>1.4</v>
      </c>
      <c r="AH200" s="419">
        <f>IF(ISNA(MATCH(AC200,R197:R204,0)),0,VLOOKUP(AC200,R197:T204,3,FALSE))</f>
        <v>1.3</v>
      </c>
      <c r="AI200" s="419" t="str">
        <f>IF(ISNA(MATCH(AC200,L197:L204,0)),0,VLOOKUP(AC200,L197:P204,4,FALSE))</f>
        <v>R</v>
      </c>
      <c r="AJ200" s="419" t="str">
        <f>IF(ISNA(MATCH(AC200,R197:R204,0)),0,VLOOKUP(AC200,R197:U204,4,FALSE))</f>
        <v>RR</v>
      </c>
      <c r="AK200" s="32">
        <f t="shared" si="165"/>
        <v>4</v>
      </c>
      <c r="AL200" s="32">
        <f t="shared" si="166"/>
        <v>4</v>
      </c>
      <c r="AM200" s="32">
        <f>IF(ISNA(MATCH(AC200,L197:L204,0)),0,VLOOKUP(AC200,L197:W204,AM$1,FALSE))</f>
        <v>5</v>
      </c>
      <c r="AN200" s="146">
        <f>IF(ISNA(MATCH(AC200,R197:R204,0)),0,VLOOKUP(AC200,R197:W204,AN$1,FALSE))</f>
        <v>5</v>
      </c>
      <c r="AP200" s="927"/>
      <c r="AQ200" s="927"/>
    </row>
    <row r="201" spans="1:47" ht="15.6" x14ac:dyDescent="0.3">
      <c r="A201" s="417">
        <f t="shared" si="167"/>
        <v>175</v>
      </c>
      <c r="B201" s="362" t="str">
        <f>'Event Details'!D$26</f>
        <v>M</v>
      </c>
      <c r="C201" s="381" t="str">
        <f>'Event Details'!E$26</f>
        <v>Solihull &amp; S.Heath</v>
      </c>
      <c r="D201" s="379"/>
      <c r="E201" s="378"/>
      <c r="F201" s="363">
        <f>VLOOKUP($B196,IF($H196="F",TeamSheetFemale,TeamSheetMale),$Y201-1,FALSE)</f>
        <v>0</v>
      </c>
      <c r="G201" s="380">
        <f>VLOOKUP($B196,IF($H196="F",TeamSheetFemale,TeamSheetMale),$Y201,FALSE)</f>
        <v>0</v>
      </c>
      <c r="H201" s="363">
        <f>VLOOKUP($B196,IF($H196="F",TeamSheetFemale,TeamSheetMale),$Y201+1,FALSE)</f>
        <v>0</v>
      </c>
      <c r="I201" s="364">
        <f>VLOOKUP($B196,IF($H196="F",TeamSheetFemale,TeamSheetMale),$Y201+2,FALSE)</f>
        <v>0</v>
      </c>
      <c r="K201" s="341" t="s">
        <v>275</v>
      </c>
      <c r="L201" s="16" t="str">
        <f t="shared" si="160"/>
        <v>S</v>
      </c>
      <c r="M201" s="927" t="s">
        <v>100</v>
      </c>
      <c r="N201" s="927">
        <v>1.4</v>
      </c>
      <c r="O201" s="354" t="str">
        <f>IF(LEN($M201)=1,VLOOKUP(LEFT($M201,1),B197:I204,5,FALSE),IF(LEN($M201)=2,VLOOKUP(LEFT($M201,1),B197:I204,7,FALSE),""))</f>
        <v>S</v>
      </c>
      <c r="P201" s="410" t="str">
        <f>IF(LEN($M201)=1,VLOOKUP(LEFT($M201,1),B197:I204,6,FALSE),IF(LEN($M201)=2,VLOOKUP(LEFT($M201,1),B197:I204,8,FALSE),""))</f>
        <v>Josephine Colclough</v>
      </c>
      <c r="Q201" s="371" t="s">
        <v>275</v>
      </c>
      <c r="R201" s="146" t="str">
        <f t="shared" si="161"/>
        <v>G</v>
      </c>
      <c r="S201" s="927" t="s">
        <v>820</v>
      </c>
      <c r="T201" s="927">
        <v>1.2</v>
      </c>
      <c r="U201" s="354" t="str">
        <f>IF(LEN($S201)=1,VLOOKUP(LEFT($S201,1),B197:I204,5,FALSE),IF(LEN($S201)=2,VLOOKUP(LEFT($S201,1),B197:I204,7,FALSE),""))</f>
        <v>GG</v>
      </c>
      <c r="V201" s="410" t="str">
        <f>IF(LEN($S201)=1,VLOOKUP(LEFT($S201,1),B197:I204,6,FALSE),IF(LEN($S201)=2,VLOOKUP(LEFT($S201,1),B197:I204,8,FALSE),""))</f>
        <v>Aiza Ulhaq</v>
      </c>
      <c r="W201" s="417">
        <f t="shared" si="168"/>
        <v>4</v>
      </c>
      <c r="Y201" s="16">
        <v>27</v>
      </c>
      <c r="Z201" s="16" t="str">
        <f t="shared" si="162"/>
        <v>BRAT</v>
      </c>
      <c r="AA201" s="146" t="str">
        <f t="shared" si="163"/>
        <v>Royal</v>
      </c>
      <c r="AC201" s="16" t="str">
        <f t="shared" si="164"/>
        <v>M</v>
      </c>
      <c r="AD201" s="419" t="str">
        <f t="shared" si="164"/>
        <v>Solihull &amp; S.Heath</v>
      </c>
      <c r="AE201" s="419">
        <f>IF(ISNA(MATCH(AC201,N197:N206,0)),0,VLOOKUP(AC201,N197:S206,5,FALSE))</f>
        <v>0</v>
      </c>
      <c r="AF201" s="419" t="str">
        <f>IF(ISNA(MATCH(AC201,T197:T206,0))," ",VLOOKUP(AC201,T197:Y206,5,FALSE))</f>
        <v xml:space="preserve"> </v>
      </c>
      <c r="AG201" s="419">
        <f>IF(ISNA(MATCH(AC201,L197:L204,0)),0,VLOOKUP(AC201,L197:N204,3,FALSE))</f>
        <v>0</v>
      </c>
      <c r="AH201" s="419">
        <f>IF(ISNA(MATCH(AC201,R197:R204,0)),0,VLOOKUP(AC201,R197:T204,3,FALSE))</f>
        <v>0</v>
      </c>
      <c r="AI201" s="419">
        <f>IF(ISNA(MATCH(AC201,L197:L204,0)),0,VLOOKUP(AC201,L197:P204,4,FALSE))</f>
        <v>0</v>
      </c>
      <c r="AJ201" s="419">
        <f>IF(ISNA(MATCH(AC201,R197:R204,0)),0,VLOOKUP(AC201,R197:U204,4,FALSE))</f>
        <v>0</v>
      </c>
      <c r="AK201" s="32">
        <f t="shared" si="165"/>
        <v>0</v>
      </c>
      <c r="AL201" s="32">
        <f t="shared" si="166"/>
        <v>0</v>
      </c>
      <c r="AM201" s="32">
        <f>IF(ISNA(MATCH(AC201,L197:L204,0)),0,VLOOKUP(AC201,L197:W204,AM$1,FALSE))</f>
        <v>0</v>
      </c>
      <c r="AN201" s="146">
        <f>IF(ISNA(MATCH(AC201,R197:R204,0)),0,VLOOKUP(AC201,R197:W204,AN$1,FALSE))</f>
        <v>0</v>
      </c>
      <c r="AP201" s="927"/>
      <c r="AQ201" s="927"/>
    </row>
    <row r="202" spans="1:47" ht="15.6" x14ac:dyDescent="0.3">
      <c r="A202" s="417">
        <f t="shared" si="167"/>
        <v>176</v>
      </c>
      <c r="B202" s="362" t="str">
        <f>'Event Details'!D$27</f>
        <v>D</v>
      </c>
      <c r="C202" s="381" t="str">
        <f>'Event Details'!E$27</f>
        <v>Stratford</v>
      </c>
      <c r="D202" s="379"/>
      <c r="E202" s="378"/>
      <c r="F202" s="363" t="str">
        <f>VLOOKUP($B196,IF($H196="F",TeamSheetFemale,TeamSheetMale),$Y202-1,FALSE)</f>
        <v>D</v>
      </c>
      <c r="G202" s="380" t="str">
        <f>VLOOKUP($B196,IF($H196="F",TeamSheetFemale,TeamSheetMale),$Y202,FALSE)</f>
        <v>Annabel Stacey</v>
      </c>
      <c r="H202" s="363" t="str">
        <f>VLOOKUP($B196,IF($H196="F",TeamSheetFemale,TeamSheetMale),$Y202+1,FALSE)</f>
        <v>DD</v>
      </c>
      <c r="I202" s="364" t="str">
        <f>VLOOKUP($B196,IF($H196="F",TeamSheetFemale,TeamSheetMale),$Y202+2,FALSE)</f>
        <v>Lila Gallinagh</v>
      </c>
      <c r="K202" s="341" t="s">
        <v>276</v>
      </c>
      <c r="L202" s="16" t="str">
        <f t="shared" si="160"/>
        <v/>
      </c>
      <c r="M202" s="927"/>
      <c r="N202" s="927"/>
      <c r="O202" s="354" t="str">
        <f>IF(LEN($M202)=1,VLOOKUP(LEFT($M202,1),B197:I204,5,FALSE),IF(LEN($M202)=2,VLOOKUP(LEFT($M202,1),B197:I204,7,FALSE),""))</f>
        <v/>
      </c>
      <c r="P202" s="410" t="str">
        <f>IF(LEN($M202)=1,VLOOKUP(LEFT($M202,1),B197:I204,6,FALSE),IF(LEN($M202)=2,VLOOKUP(LEFT($M202,1),B197:I204,8,FALSE),""))</f>
        <v/>
      </c>
      <c r="Q202" s="371" t="s">
        <v>276</v>
      </c>
      <c r="R202" s="146" t="str">
        <f t="shared" si="161"/>
        <v/>
      </c>
      <c r="S202" s="927"/>
      <c r="T202" s="927"/>
      <c r="U202" s="354" t="str">
        <f>IF(LEN($S202)=1,VLOOKUP(LEFT($S202,1),B197:I204,5,FALSE),IF(LEN($S202)=2,VLOOKUP(LEFT($S202,1),B197:I204,7,FALSE),""))</f>
        <v/>
      </c>
      <c r="V202" s="410" t="str">
        <f>IF(LEN($S202)=1,VLOOKUP(LEFT($S202,1),B197:I204,6,FALSE),IF(LEN($S202)=2,VLOOKUP(LEFT($S202,1),B197:I204,8,FALSE),""))</f>
        <v/>
      </c>
      <c r="W202" s="417">
        <f t="shared" si="168"/>
        <v>3</v>
      </c>
      <c r="Y202" s="16">
        <v>32</v>
      </c>
      <c r="Z202" s="16">
        <f t="shared" si="162"/>
        <v>0</v>
      </c>
      <c r="AA202" s="146">
        <f t="shared" si="163"/>
        <v>0</v>
      </c>
      <c r="AC202" s="16" t="str">
        <f t="shared" si="164"/>
        <v>D</v>
      </c>
      <c r="AD202" s="419" t="str">
        <f t="shared" si="164"/>
        <v>Stratford</v>
      </c>
      <c r="AE202" s="419">
        <f>IF(ISNA(MATCH(AC202,N197:N206,0)),0,VLOOKUP(AC202,N197:S206,5,FALSE))</f>
        <v>0</v>
      </c>
      <c r="AF202" s="419" t="str">
        <f>IF(ISNA(MATCH(AC202,T197:T206,0))," ",VLOOKUP(AC202,T197:Y206,5,FALSE))</f>
        <v xml:space="preserve"> </v>
      </c>
      <c r="AG202" s="419">
        <f>IF(ISNA(MATCH(AC202,L197:L204,0)),0,VLOOKUP(AC202,L197:N204,3,FALSE))</f>
        <v>1.59</v>
      </c>
      <c r="AH202" s="419">
        <f>IF(ISNA(MATCH(AC202,R197:R204,0)),0,VLOOKUP(AC202,R197:T204,3,FALSE))</f>
        <v>1.45</v>
      </c>
      <c r="AI202" s="419" t="str">
        <f>IF(ISNA(MATCH(AC202,L197:L204,0)),0,VLOOKUP(AC202,L197:P204,4,FALSE))</f>
        <v>D</v>
      </c>
      <c r="AJ202" s="419" t="str">
        <f>IF(ISNA(MATCH(AC202,R197:R204,0)),0,VLOOKUP(AC202,R197:U204,4,FALSE))</f>
        <v>DD</v>
      </c>
      <c r="AK202" s="32">
        <f t="shared" si="165"/>
        <v>1</v>
      </c>
      <c r="AL202" s="32">
        <f t="shared" si="166"/>
        <v>1</v>
      </c>
      <c r="AM202" s="32">
        <f>IF(ISNA(MATCH(AC202,L197:L204,0)),0,VLOOKUP(AC202,L197:W204,AM$1,FALSE))</f>
        <v>8</v>
      </c>
      <c r="AN202" s="146">
        <f>IF(ISNA(MATCH(AC202,R197:R204,0)),0,VLOOKUP(AC202,R197:W204,AN$1,FALSE))</f>
        <v>8</v>
      </c>
      <c r="AP202" s="927"/>
      <c r="AQ202" s="927"/>
    </row>
    <row r="203" spans="1:47" ht="15.6" x14ac:dyDescent="0.3">
      <c r="A203" s="417">
        <f t="shared" si="167"/>
        <v>177</v>
      </c>
      <c r="B203" s="362" t="str">
        <f>'Event Details'!D$28</f>
        <v>F</v>
      </c>
      <c r="C203" s="381" t="str">
        <f>'Event Details'!E$28</f>
        <v>Tamworth</v>
      </c>
      <c r="D203" s="379"/>
      <c r="E203" s="378"/>
      <c r="F203" s="363" t="str">
        <f>VLOOKUP($B196,IF($H196="F",TeamSheetFemale,TeamSheetMale),$Y203-1,FALSE)</f>
        <v>F</v>
      </c>
      <c r="G203" s="380" t="str">
        <f>VLOOKUP($B196,IF($H196="F",TeamSheetFemale,TeamSheetMale),$Y203,FALSE)</f>
        <v>Tilly Farmer</v>
      </c>
      <c r="H203" s="363" t="str">
        <f>VLOOKUP($B196,IF($H196="F",TeamSheetFemale,TeamSheetMale),$Y203+1,FALSE)</f>
        <v>FF</v>
      </c>
      <c r="I203" s="364" t="str">
        <f>VLOOKUP($B196,IF($H196="F",TeamSheetFemale,TeamSheetMale),$Y203+2,FALSE)</f>
        <v>Matilda Husselbee</v>
      </c>
      <c r="K203" s="341" t="s">
        <v>277</v>
      </c>
      <c r="L203" s="16" t="str">
        <f t="shared" si="160"/>
        <v/>
      </c>
      <c r="M203" s="931"/>
      <c r="N203" s="927"/>
      <c r="O203" s="354" t="str">
        <f>IF(LEN($M203)=1,VLOOKUP(LEFT($M203,1),B197:I204,5,FALSE),IF(LEN($M203)=2,VLOOKUP(LEFT($M203,1),B197:I204,7,FALSE),""))</f>
        <v/>
      </c>
      <c r="P203" s="410" t="str">
        <f>IF(LEN($M203)=1,VLOOKUP(LEFT($M203,1),B197:I204,6,FALSE),IF(LEN($M203)=2,VLOOKUP(LEFT($M203,1),B197:I204,8,FALSE),""))</f>
        <v/>
      </c>
      <c r="Q203" s="371" t="s">
        <v>277</v>
      </c>
      <c r="R203" s="146" t="str">
        <f t="shared" si="161"/>
        <v/>
      </c>
      <c r="S203" s="931"/>
      <c r="T203" s="927"/>
      <c r="U203" s="354" t="str">
        <f>IF(LEN($S203)=1,VLOOKUP(LEFT($S203,1),B197:I204,5,FALSE),IF(LEN($S203)=2,VLOOKUP(LEFT($S203,1),B197:I204,7,FALSE),""))</f>
        <v/>
      </c>
      <c r="V203" s="410" t="str">
        <f>IF(LEN($S203)=1,VLOOKUP(LEFT($S203,1),B197:I204,6,FALSE),IF(LEN($S203)=2,VLOOKUP(LEFT($S203,1),B197:I204,8,FALSE),""))</f>
        <v/>
      </c>
      <c r="W203" s="417">
        <f t="shared" si="168"/>
        <v>2</v>
      </c>
      <c r="Y203" s="16">
        <v>37</v>
      </c>
      <c r="Z203" s="16">
        <f t="shared" si="162"/>
        <v>0</v>
      </c>
      <c r="AA203" s="146">
        <f t="shared" si="163"/>
        <v>0</v>
      </c>
      <c r="AC203" s="16" t="str">
        <f t="shared" si="164"/>
        <v>F</v>
      </c>
      <c r="AD203" s="419" t="str">
        <f t="shared" si="164"/>
        <v>Tamworth</v>
      </c>
      <c r="AE203" s="419">
        <f>IF(ISNA(MATCH(AC203,N195:N204,0)),0,VLOOKUP(AC203,N195:S204,5,FALSE))</f>
        <v>0</v>
      </c>
      <c r="AF203" s="419" t="str">
        <f>IF(ISNA(MATCH(AC203,T195:T204,0))," ",VLOOKUP(AC203,T195:Y204,5,FALSE))</f>
        <v xml:space="preserve"> </v>
      </c>
      <c r="AG203" s="419">
        <f>IF(ISNA(MATCH(AC203,L197:L204,0)),0,VLOOKUP(AC203,L197:N204,3,FALSE))</f>
        <v>1.59</v>
      </c>
      <c r="AH203" s="419">
        <f>IF(ISNA(MATCH(AC203,R197:R204,0)),0,VLOOKUP(AC203,R197:T204,3,FALSE))</f>
        <v>1.35</v>
      </c>
      <c r="AI203" s="419" t="str">
        <f>IF(ISNA(MATCH(AC203,L197:L204,0)),0,VLOOKUP(AC203,L197:P204,4,FALSE))</f>
        <v>F</v>
      </c>
      <c r="AJ203" s="419" t="str">
        <f>IF(ISNA(MATCH(AC203,R197:R204,0)),0,VLOOKUP(AC203,R197:U204,4,FALSE))</f>
        <v>FF</v>
      </c>
      <c r="AK203" s="32">
        <f t="shared" si="165"/>
        <v>2</v>
      </c>
      <c r="AL203" s="32">
        <f t="shared" si="166"/>
        <v>2</v>
      </c>
      <c r="AM203" s="32">
        <f>IF(ISNA(MATCH(AC203,L197:L204,0)),0,VLOOKUP(AC203,L197:W204,AM$1,FALSE))</f>
        <v>7</v>
      </c>
      <c r="AN203" s="146">
        <f>IF(ISNA(MATCH(AC203,R197:R204,0)),0,VLOOKUP(AC203,R197:W204,AN$1,FALSE))</f>
        <v>7</v>
      </c>
      <c r="AP203" s="931"/>
      <c r="AQ203" s="927"/>
    </row>
    <row r="204" spans="1:47" ht="16.2" thickBot="1" x14ac:dyDescent="0.35">
      <c r="A204" s="418">
        <f t="shared" si="167"/>
        <v>178</v>
      </c>
      <c r="B204" s="365" t="str">
        <f>'Event Details'!D$29</f>
        <v>Y</v>
      </c>
      <c r="C204" s="366" t="str">
        <f>'Event Details'!E$29</f>
        <v>Worcester</v>
      </c>
      <c r="D204" s="361"/>
      <c r="E204" s="370"/>
      <c r="F204" s="367">
        <f>VLOOKUP($B196,IF($H196="F",TeamSheetFemale,TeamSheetMale),$Y204-1,FALSE)</f>
        <v>0</v>
      </c>
      <c r="G204" s="368">
        <f>VLOOKUP($B196,IF($H196="F",TeamSheetFemale,TeamSheetMale),$Y204,FALSE)</f>
        <v>0</v>
      </c>
      <c r="H204" s="367">
        <f>VLOOKUP($B196,IF($H196="F",TeamSheetFemale,TeamSheetMale),$Y204+1,FALSE)</f>
        <v>0</v>
      </c>
      <c r="I204" s="369">
        <f>VLOOKUP($B196,IF($H196="F",TeamSheetFemale,TeamSheetMale),$Y204+2,FALSE)</f>
        <v>0</v>
      </c>
      <c r="K204" s="346" t="s">
        <v>278</v>
      </c>
      <c r="L204" s="25" t="str">
        <f t="shared" si="160"/>
        <v/>
      </c>
      <c r="M204" s="928" t="s">
        <v>148</v>
      </c>
      <c r="N204" s="932"/>
      <c r="O204" s="374" t="str">
        <f>IF(LEN($M204)=1,VLOOKUP(LEFT($M204,1),B197:I204,5,FALSE),IF(LEN($M204)=2,VLOOKUP(LEFT($M204,1),B197:I204,7,FALSE),""))</f>
        <v/>
      </c>
      <c r="P204" s="411" t="str">
        <f>IF(LEN($M204)=1,VLOOKUP(LEFT($M204,1),B197:I204,6,FALSE),IF(LEN($M204)=2,VLOOKUP(LEFT($M204,1),B197:I204,8,FALSE),""))</f>
        <v/>
      </c>
      <c r="Q204" s="407" t="s">
        <v>278</v>
      </c>
      <c r="R204" s="523" t="str">
        <f t="shared" si="161"/>
        <v/>
      </c>
      <c r="S204" s="928" t="s">
        <v>148</v>
      </c>
      <c r="T204" s="932"/>
      <c r="U204" s="374" t="str">
        <f>IF(LEN($S204)=1,VLOOKUP(LEFT($S204,1),B197:I204,5,FALSE),IF(LEN($S204)=2,VLOOKUP(LEFT($S204,1),B197:I204,7,FALSE),""))</f>
        <v/>
      </c>
      <c r="V204" s="411" t="str">
        <f>IF(LEN($S204)=1,VLOOKUP(LEFT($S204,1),B197:I204,6,FALSE),IF(LEN($S204)=2,VLOOKUP(LEFT($S204,1),B197:I204,8,FALSE),""))</f>
        <v/>
      </c>
      <c r="W204" s="418">
        <f t="shared" si="168"/>
        <v>1</v>
      </c>
      <c r="Y204" s="25">
        <v>42</v>
      </c>
      <c r="Z204" s="25">
        <f t="shared" si="162"/>
        <v>0</v>
      </c>
      <c r="AA204" s="523">
        <f t="shared" si="163"/>
        <v>0</v>
      </c>
      <c r="AC204" s="25" t="str">
        <f t="shared" si="164"/>
        <v>Y</v>
      </c>
      <c r="AD204" s="624" t="str">
        <f t="shared" si="164"/>
        <v>Worcester</v>
      </c>
      <c r="AE204" s="624">
        <f>IF(ISNA(MATCH(AC204,N196:N205,0)),0,VLOOKUP(AC204,N196:S205,5,FALSE))</f>
        <v>0</v>
      </c>
      <c r="AF204" s="624" t="str">
        <f t="shared" ref="AF204" si="169">IF(ISNA(MATCH(AC204,T196:T205,0))," ",VLOOKUP(AC204,T196:Y205,5,FALSE))</f>
        <v xml:space="preserve"> </v>
      </c>
      <c r="AG204" s="624">
        <f>IF(ISNA(MATCH(AC204,L197:L204,0)),0,VLOOKUP(AC204,L197:N204,3,FALSE))</f>
        <v>0</v>
      </c>
      <c r="AH204" s="624">
        <f>IF(ISNA(MATCH(AC204,R197:R204,0)),0,VLOOKUP(AC204,R197:T204,3,FALSE))</f>
        <v>0</v>
      </c>
      <c r="AI204" s="624">
        <f>IF(ISNA(MATCH(AC204,L197:L204,0)),0,VLOOKUP(AC204,L197:P204,4,FALSE))</f>
        <v>0</v>
      </c>
      <c r="AJ204" s="624">
        <f>IF(ISNA(MATCH(AC204,R197:R204,0)),0,VLOOKUP(AC204,R197:U204,4,FALSE))</f>
        <v>0</v>
      </c>
      <c r="AK204" s="116">
        <f t="shared" si="165"/>
        <v>0</v>
      </c>
      <c r="AL204" s="116">
        <f t="shared" si="166"/>
        <v>0</v>
      </c>
      <c r="AM204" s="116">
        <f>IF(ISNA(MATCH(AC204,L197:L204,0)),0,VLOOKUP(AC204,L197:W204,AM$1,FALSE))</f>
        <v>0</v>
      </c>
      <c r="AN204" s="523">
        <f>IF(ISNA(MATCH(AC204,R197:R204,0)),0,VLOOKUP(AC204,R197:W204,AN$1,FALSE))</f>
        <v>0</v>
      </c>
      <c r="AP204" s="928" t="s">
        <v>148</v>
      </c>
      <c r="AQ204" s="932"/>
    </row>
    <row r="205" spans="1:47" ht="15" thickBot="1" x14ac:dyDescent="0.35">
      <c r="K205" s="1207" t="s">
        <v>280</v>
      </c>
      <c r="M205" s="276"/>
      <c r="N205" s="307"/>
      <c r="S205" s="276"/>
      <c r="T205" s="307"/>
      <c r="AP205" s="276"/>
      <c r="AQ205" s="307"/>
    </row>
    <row r="206" spans="1:47" x14ac:dyDescent="0.3">
      <c r="B206" s="400" t="s">
        <v>258</v>
      </c>
      <c r="C206" s="398"/>
      <c r="D206" s="401" t="s">
        <v>165</v>
      </c>
      <c r="E206" s="398"/>
      <c r="F206" s="398"/>
      <c r="G206" s="402" t="s">
        <v>259</v>
      </c>
      <c r="H206" s="403" t="s">
        <v>249</v>
      </c>
      <c r="I206" s="404" t="s">
        <v>168</v>
      </c>
      <c r="K206" s="360"/>
      <c r="L206" s="661"/>
      <c r="M206" s="387" t="s">
        <v>260</v>
      </c>
      <c r="N206" s="387" t="s">
        <v>261</v>
      </c>
      <c r="O206" s="387" t="s">
        <v>262</v>
      </c>
      <c r="P206" s="388" t="s">
        <v>75</v>
      </c>
      <c r="Q206" s="389"/>
      <c r="R206" s="657"/>
      <c r="S206" s="387" t="s">
        <v>260</v>
      </c>
      <c r="T206" s="387" t="s">
        <v>261</v>
      </c>
      <c r="U206" s="387" t="s">
        <v>262</v>
      </c>
      <c r="V206" s="388" t="s">
        <v>75</v>
      </c>
      <c r="W206" s="672" t="s">
        <v>76</v>
      </c>
      <c r="Y206" s="414" t="s">
        <v>263</v>
      </c>
      <c r="Z206" s="656" t="s">
        <v>74</v>
      </c>
      <c r="AA206" s="657" t="s">
        <v>75</v>
      </c>
      <c r="AC206" s="665" t="s">
        <v>71</v>
      </c>
      <c r="AD206" s="657" t="s">
        <v>86</v>
      </c>
      <c r="AE206" s="661" t="s">
        <v>149</v>
      </c>
      <c r="AF206" s="661" t="s">
        <v>94</v>
      </c>
      <c r="AG206" s="661" t="s">
        <v>149</v>
      </c>
      <c r="AH206" s="661" t="s">
        <v>94</v>
      </c>
      <c r="AI206" s="661" t="s">
        <v>149</v>
      </c>
      <c r="AJ206" s="661" t="s">
        <v>94</v>
      </c>
      <c r="AK206" s="1332" t="s">
        <v>149</v>
      </c>
      <c r="AL206" s="661" t="s">
        <v>94</v>
      </c>
      <c r="AM206" s="1406" t="s">
        <v>76</v>
      </c>
      <c r="AN206" s="1407"/>
      <c r="AP206" s="387" t="s">
        <v>260</v>
      </c>
      <c r="AQ206" s="387" t="s">
        <v>261</v>
      </c>
      <c r="AS206" s="1218" t="s">
        <v>165</v>
      </c>
      <c r="AT206" s="1219" t="s">
        <v>79</v>
      </c>
      <c r="AU206" s="1220" t="s">
        <v>80</v>
      </c>
    </row>
    <row r="207" spans="1:47" ht="15" thickBot="1" x14ac:dyDescent="0.35">
      <c r="B207" s="405">
        <v>18</v>
      </c>
      <c r="C207" s="399"/>
      <c r="D207" s="385" t="str">
        <f>VLOOKUP($B207,EventOrder,6,FALSE)</f>
        <v xml:space="preserve">800m (U18/U20) </v>
      </c>
      <c r="E207" s="399"/>
      <c r="F207" s="385"/>
      <c r="G207" s="386" t="str">
        <f>VLOOKUP($B207,EventOrder,4,FALSE)</f>
        <v>U18 Men</v>
      </c>
      <c r="H207" s="396" t="str">
        <f>IF(MID(G207,5,1)="F","F","M")</f>
        <v>M</v>
      </c>
      <c r="I207" s="397">
        <f>VLOOKUP($B207,EventOrder,2,FALSE)</f>
        <v>12.2</v>
      </c>
      <c r="K207" s="377"/>
      <c r="L207" s="667" t="s">
        <v>149</v>
      </c>
      <c r="M207" s="409" t="s">
        <v>264</v>
      </c>
      <c r="N207" s="409" t="s">
        <v>265</v>
      </c>
      <c r="O207" s="390" t="s">
        <v>266</v>
      </c>
      <c r="P207" s="391"/>
      <c r="Q207" s="392"/>
      <c r="R207" s="659" t="s">
        <v>94</v>
      </c>
      <c r="S207" s="409" t="s">
        <v>264</v>
      </c>
      <c r="T207" s="409" t="s">
        <v>265</v>
      </c>
      <c r="U207" s="390" t="s">
        <v>266</v>
      </c>
      <c r="V207" s="391"/>
      <c r="W207" s="671"/>
      <c r="Y207" s="415" t="s">
        <v>167</v>
      </c>
      <c r="Z207" s="658" t="s">
        <v>149</v>
      </c>
      <c r="AA207" s="659" t="s">
        <v>94</v>
      </c>
      <c r="AC207" s="666"/>
      <c r="AD207" s="668"/>
      <c r="AE207" s="768" t="s">
        <v>75</v>
      </c>
      <c r="AF207" s="768" t="s">
        <v>75</v>
      </c>
      <c r="AG207" s="768" t="s">
        <v>267</v>
      </c>
      <c r="AH207" s="768" t="s">
        <v>267</v>
      </c>
      <c r="AI207" s="768" t="s">
        <v>268</v>
      </c>
      <c r="AJ207" s="768" t="s">
        <v>268</v>
      </c>
      <c r="AK207" s="770" t="s">
        <v>269</v>
      </c>
      <c r="AL207" s="768" t="s">
        <v>269</v>
      </c>
      <c r="AM207" s="667" t="s">
        <v>149</v>
      </c>
      <c r="AN207" s="659" t="s">
        <v>94</v>
      </c>
      <c r="AP207" s="409" t="s">
        <v>264</v>
      </c>
      <c r="AQ207" s="409" t="s">
        <v>265</v>
      </c>
      <c r="AS207" s="1221" t="s">
        <v>270</v>
      </c>
      <c r="AT207" s="1222" t="s">
        <v>270</v>
      </c>
      <c r="AU207" s="1223" t="s">
        <v>270</v>
      </c>
    </row>
    <row r="208" spans="1:47" ht="15.6" x14ac:dyDescent="0.3">
      <c r="A208" s="416">
        <f>(B207*10)+1</f>
        <v>181</v>
      </c>
      <c r="B208" s="362" t="str">
        <f>'Event Details'!D$22</f>
        <v>S</v>
      </c>
      <c r="C208" s="381" t="str">
        <f>'Event Details'!E$22</f>
        <v>BRAT</v>
      </c>
      <c r="D208" s="379"/>
      <c r="E208" s="378"/>
      <c r="F208" s="363" t="str">
        <f>VLOOKUP($B207,IF($H207="F",TeamSheetFemale,TeamSheetMale),$Y208-1,FALSE)</f>
        <v>S</v>
      </c>
      <c r="G208" s="380" t="str">
        <f>VLOOKUP($B207,IF($H207="F",TeamSheetFemale,TeamSheetMale),$Y208,FALSE)</f>
        <v>Christian Middleton</v>
      </c>
      <c r="H208" s="363">
        <f>VLOOKUP($B207,IF($H207="F",TeamSheetFemale,TeamSheetMale),$Y208+1,FALSE)</f>
        <v>0</v>
      </c>
      <c r="I208" s="364">
        <f>VLOOKUP($B207,IF($H207="F",TeamSheetFemale,TeamSheetMale),$Y208+2,FALSE)</f>
        <v>0</v>
      </c>
      <c r="K208" s="393" t="s">
        <v>271</v>
      </c>
      <c r="L208" s="16" t="str">
        <f t="shared" ref="L208:L215" si="170">LEFT(M208,1)</f>
        <v>R</v>
      </c>
      <c r="M208" s="926" t="s">
        <v>118</v>
      </c>
      <c r="N208" s="926" t="s">
        <v>1012</v>
      </c>
      <c r="O208" s="394" t="str">
        <f>IF(LEN($M208)=1,VLOOKUP(LEFT($M208,1),B208:I215,5,FALSE),IF(LEN($M208)=2,VLOOKUP(LEFT($M208,1),B208:I215,7,FALSE),""))</f>
        <v>R</v>
      </c>
      <c r="P208" s="395" t="str">
        <f>IF(LEN($M208)=1,VLOOKUP(LEFT($M208,1),B208:I215,6,FALSE),IF(LEN($M208)=2,VLOOKUP(LEFT($M208,1),B208:I215,8,FALSE),""))</f>
        <v>Joel Benton</v>
      </c>
      <c r="Q208" s="393" t="s">
        <v>271</v>
      </c>
      <c r="R208" s="146" t="str">
        <f t="shared" ref="R208:R215" si="171">LEFT(S208,1)</f>
        <v>D</v>
      </c>
      <c r="S208" s="926" t="s">
        <v>513</v>
      </c>
      <c r="T208" s="926" t="s">
        <v>1016</v>
      </c>
      <c r="U208" s="394" t="str">
        <f>IF(LEN($S208)=1,VLOOKUP(LEFT($S208,1),B208:I215,5,FALSE),IF(LEN($S208)=2,VLOOKUP(LEFT($S208,1),B208:I215,7,FALSE),""))</f>
        <v>DD</v>
      </c>
      <c r="V208" s="395" t="str">
        <f>IF(LEN($S208)=1,VLOOKUP(LEFT($S208,1),B208:I215,6,FALSE),IF(LEN($S208)=2,VLOOKUP(LEFT($S208,1),B208:I215,8,FALSE),""))</f>
        <v>Joel Ledgard</v>
      </c>
      <c r="W208" s="417">
        <f>AN$6</f>
        <v>8</v>
      </c>
      <c r="Y208" s="416">
        <v>7</v>
      </c>
      <c r="Z208" s="653" t="str">
        <f t="shared" ref="Z208:Z215" si="172">IF(LEN(M208)&gt;0,VLOOKUP(LEFT(M208,1),ShortName,5,FALSE),0)</f>
        <v>Rugby</v>
      </c>
      <c r="AA208" s="138" t="str">
        <f t="shared" ref="AA208:AA215" si="173">IF(LEN(S208)&gt;0,VLOOKUP(LEFT(S208,1),ShortName,5,FALSE),0)</f>
        <v>Strat</v>
      </c>
      <c r="AC208" s="16" t="str">
        <f t="shared" ref="AC208:AD215" si="174">B208</f>
        <v>S</v>
      </c>
      <c r="AD208" s="419" t="str">
        <f t="shared" si="174"/>
        <v>BRAT</v>
      </c>
      <c r="AE208" s="635">
        <f>IF(ISNA(MATCH(AC208,N208:N217,0)),0,VLOOKUP(AC208,N208:S217,5,FALSE))</f>
        <v>0</v>
      </c>
      <c r="AF208" s="635" t="str">
        <f>IF(ISNA(MATCH(AC208,T208:T217,0))," ",VLOOKUP(AC208,T208:Y217,5,FALSE))</f>
        <v xml:space="preserve"> </v>
      </c>
      <c r="AG208" s="635" t="str">
        <f>IF(ISNA(MATCH(AC208,L208:L215,0)),0,VLOOKUP(AC208,L208:N215,3,FALSE))</f>
        <v>2.15.7</v>
      </c>
      <c r="AH208" s="635">
        <f>IF(ISNA(MATCH(AC208,R208:R215,0)),0,VLOOKUP(AC208,R208:T215,3,FALSE))</f>
        <v>0</v>
      </c>
      <c r="AI208" s="635" t="str">
        <f>IF(ISNA(MATCH(AC208,L208:L215,0)),0,VLOOKUP(AC208,L208:P215,4,FALSE))</f>
        <v>S</v>
      </c>
      <c r="AJ208" s="635">
        <f>IF(ISNA(MATCH(AC208,R208:R215,0)),0,VLOOKUP(AC208,R208:U215,4,FALSE))</f>
        <v>0</v>
      </c>
      <c r="AK208" s="49">
        <f t="shared" ref="AK208:AK215" si="175">IF(AM208=0,0,AN$6-(AM208-1))</f>
        <v>4</v>
      </c>
      <c r="AL208" s="49">
        <f t="shared" ref="AL208:AL215" si="176">IF(AN208=0,0,AN$6-(AN208-1))</f>
        <v>0</v>
      </c>
      <c r="AM208" s="49">
        <f>IF(ISNA(MATCH(AC208,L208:L215,0)),0,VLOOKUP(AC208,L208:W215,AM$1,FALSE))</f>
        <v>5</v>
      </c>
      <c r="AN208" s="138">
        <f>IF(ISNA(MATCH(AC208,R208:R215,0)),0,VLOOKUP(AC208,R208:W215,AN$1,FALSE))</f>
        <v>0</v>
      </c>
      <c r="AP208" s="926"/>
      <c r="AQ208" s="926"/>
      <c r="AS208" s="32">
        <f>IF(LEN(N208)&gt;0,1,0)</f>
        <v>1</v>
      </c>
      <c r="AT208" s="32">
        <f>IF(AND(AS208=1,H207="M"),1,0)</f>
        <v>1</v>
      </c>
      <c r="AU208" s="32">
        <f>IF(AND(AS208=1,H207="F"),1,0)</f>
        <v>0</v>
      </c>
    </row>
    <row r="209" spans="1:47" ht="15.6" x14ac:dyDescent="0.3">
      <c r="A209" s="417">
        <f>A208+1</f>
        <v>182</v>
      </c>
      <c r="B209" s="362" t="str">
        <f>'Event Details'!D$23</f>
        <v>U</v>
      </c>
      <c r="C209" s="381" t="str">
        <f>'Event Details'!E$23</f>
        <v>Kidder &amp; Stourport</v>
      </c>
      <c r="D209" s="379"/>
      <c r="E209" s="378"/>
      <c r="F209" s="363">
        <f>VLOOKUP($B207,IF($H207="F",TeamSheetFemale,TeamSheetMale),$Y209-1,FALSE)</f>
        <v>0</v>
      </c>
      <c r="G209" s="380">
        <f>VLOOKUP($B207,IF($H207="F",TeamSheetFemale,TeamSheetMale),$Y209,FALSE)</f>
        <v>0</v>
      </c>
      <c r="H209" s="363">
        <f>VLOOKUP($B207,IF($H207="F",TeamSheetFemale,TeamSheetMale),$Y209+1,FALSE)</f>
        <v>0</v>
      </c>
      <c r="I209" s="364">
        <f>VLOOKUP($B207,IF($H207="F",TeamSheetFemale,TeamSheetMale),$Y209+2,FALSE)</f>
        <v>0</v>
      </c>
      <c r="K209" s="341" t="s">
        <v>272</v>
      </c>
      <c r="L209" s="16" t="str">
        <f t="shared" si="170"/>
        <v>D</v>
      </c>
      <c r="M209" s="927" t="s">
        <v>136</v>
      </c>
      <c r="N209" s="927" t="s">
        <v>1013</v>
      </c>
      <c r="O209" s="353" t="str">
        <f>IF(LEN($M209)=1,VLOOKUP(LEFT($M209,1),B208:I215,5,FALSE),IF(LEN($M209)=2,VLOOKUP(LEFT($M209,1),B208:I215,7,FALSE),""))</f>
        <v>D</v>
      </c>
      <c r="P209" s="373" t="str">
        <f>IF(LEN($M209)=1,VLOOKUP(LEFT($M209,1),B208:I215,6,FALSE),IF(LEN($M209)=2,VLOOKUP(LEFT($M209,1),B208:I215,8,FALSE),""))</f>
        <v>Will Hovell</v>
      </c>
      <c r="Q209" s="341" t="s">
        <v>272</v>
      </c>
      <c r="R209" s="146" t="str">
        <f t="shared" si="171"/>
        <v/>
      </c>
      <c r="S209" s="927"/>
      <c r="T209" s="927"/>
      <c r="U209" s="353" t="str">
        <f>IF(LEN($S209)=1,VLOOKUP(LEFT($S209,1),B208:I215,5,FALSE),IF(LEN($S209)=2,VLOOKUP(LEFT($S209,1),B208:I215,7,FALSE),""))</f>
        <v/>
      </c>
      <c r="V209" s="373" t="str">
        <f>IF(LEN($S209)=1,VLOOKUP(LEFT($S209,1),B208:I215,6,FALSE),IF(LEN($S209)=2,VLOOKUP(LEFT($S209,1),B208:I215,8,FALSE),""))</f>
        <v/>
      </c>
      <c r="W209" s="417">
        <f>W208-1</f>
        <v>7</v>
      </c>
      <c r="Y209" s="417">
        <v>12</v>
      </c>
      <c r="Z209" s="16" t="str">
        <f t="shared" si="172"/>
        <v>Strat</v>
      </c>
      <c r="AA209" s="146">
        <f t="shared" si="173"/>
        <v>0</v>
      </c>
      <c r="AC209" s="16" t="str">
        <f t="shared" si="174"/>
        <v>U</v>
      </c>
      <c r="AD209" s="419" t="str">
        <f t="shared" si="174"/>
        <v>Kidder &amp; Stourport</v>
      </c>
      <c r="AE209" s="419">
        <f>IF(ISNA(MATCH(AC209,N208:N217,0)),0,VLOOKUP(AC209,N208:S217,5,FALSE))</f>
        <v>0</v>
      </c>
      <c r="AF209" s="419" t="str">
        <f>IF(ISNA(MATCH(AC209,T208:T217,0))," ",VLOOKUP(AC209,T208:Y217,5,FALSE))</f>
        <v xml:space="preserve"> </v>
      </c>
      <c r="AG209" s="419">
        <f>IF(ISNA(MATCH(AC209,L208:L215,0)),0,VLOOKUP(AC209,L208:N215,3,FALSE))</f>
        <v>0</v>
      </c>
      <c r="AH209" s="419">
        <f>IF(ISNA(MATCH(AC209,R208:R215,0)),0,VLOOKUP(AC209,R208:T215,3,FALSE))</f>
        <v>0</v>
      </c>
      <c r="AI209" s="419">
        <f>IF(ISNA(MATCH(AC209,L208:L215,0)),0,VLOOKUP(AC209,L208:P215,4,FALSE))</f>
        <v>0</v>
      </c>
      <c r="AJ209" s="419">
        <f>IF(ISNA(MATCH(AC209,R208:R215,0)),0,VLOOKUP(AC209,R208:U215,4,FALSE))</f>
        <v>0</v>
      </c>
      <c r="AK209" s="32">
        <f t="shared" si="175"/>
        <v>0</v>
      </c>
      <c r="AL209" s="32">
        <f t="shared" si="176"/>
        <v>0</v>
      </c>
      <c r="AM209" s="32">
        <f>IF(ISNA(MATCH(AC209,L208:L215,0)),0,VLOOKUP(AC209,L208:W215,AM$1,FALSE))</f>
        <v>0</v>
      </c>
      <c r="AN209" s="146">
        <f>IF(ISNA(MATCH(AC209,R208:R215,0)),0,VLOOKUP(AC209,R208:W215,AN$1,FALSE))</f>
        <v>0</v>
      </c>
      <c r="AP209" s="927"/>
      <c r="AQ209" s="927"/>
    </row>
    <row r="210" spans="1:47" ht="15.6" x14ac:dyDescent="0.3">
      <c r="A210" s="417">
        <f t="shared" ref="A210:A215" si="177">A209+1</f>
        <v>183</v>
      </c>
      <c r="B210" s="362" t="str">
        <f>'Event Details'!D$24</f>
        <v>G</v>
      </c>
      <c r="C210" s="381" t="str">
        <f>'Event Details'!E$24</f>
        <v>Royal Sutton</v>
      </c>
      <c r="D210" s="379"/>
      <c r="E210" s="378"/>
      <c r="F210" s="363" t="str">
        <f>VLOOKUP($B207,IF($H207="F",TeamSheetFemale,TeamSheetMale),$Y210-1,FALSE)</f>
        <v>G</v>
      </c>
      <c r="G210" s="380">
        <f>VLOOKUP($B207,IF($H207="F",TeamSheetFemale,TeamSheetMale),$Y210,FALSE)</f>
        <v>0</v>
      </c>
      <c r="H210" s="363" t="str">
        <f>VLOOKUP($B207,IF($H207="F",TeamSheetFemale,TeamSheetMale),$Y210+1,FALSE)</f>
        <v>GG</v>
      </c>
      <c r="I210" s="364">
        <f>VLOOKUP($B207,IF($H207="F",TeamSheetFemale,TeamSheetMale),$Y210+2,FALSE)</f>
        <v>0</v>
      </c>
      <c r="K210" s="341" t="s">
        <v>273</v>
      </c>
      <c r="L210" s="16" t="str">
        <f t="shared" si="170"/>
        <v>F</v>
      </c>
      <c r="M210" s="927" t="s">
        <v>142</v>
      </c>
      <c r="N210" s="927" t="s">
        <v>1003</v>
      </c>
      <c r="O210" s="353" t="str">
        <f>IF(LEN($M210)=1,VLOOKUP(LEFT($M210,1),B208:I215,5,FALSE),IF(LEN($M210)=2,VLOOKUP(LEFT($M210,1),B208:I215,7,FALSE),""))</f>
        <v>F</v>
      </c>
      <c r="P210" s="373" t="str">
        <f>IF(LEN($M210)=1,VLOOKUP(LEFT($M210,1),B208:I215,6,FALSE),IF(LEN($M210)=2,VLOOKUP(LEFT($M210,1),B208:I215,8,FALSE),""))</f>
        <v>Anthony Tolley</v>
      </c>
      <c r="Q210" s="341" t="s">
        <v>273</v>
      </c>
      <c r="R210" s="146" t="str">
        <f t="shared" si="171"/>
        <v/>
      </c>
      <c r="S210" s="927"/>
      <c r="T210" s="927"/>
      <c r="U210" s="353" t="str">
        <f>IF(LEN($S210)=1,VLOOKUP(LEFT($S210,1),B208:I215,5,FALSE),IF(LEN($S210)=2,VLOOKUP(LEFT($S210,1),B208:I215,7,FALSE),""))</f>
        <v/>
      </c>
      <c r="V210" s="373" t="str">
        <f>IF(LEN($S210)=1,VLOOKUP(LEFT($S210,1),B208:I215,6,FALSE),IF(LEN($S210)=2,VLOOKUP(LEFT($S210,1),B208:I215,8,FALSE),""))</f>
        <v/>
      </c>
      <c r="W210" s="417">
        <f t="shared" ref="W210:W215" si="178">W209-1</f>
        <v>6</v>
      </c>
      <c r="Y210" s="417">
        <v>17</v>
      </c>
      <c r="Z210" s="16" t="str">
        <f t="shared" si="172"/>
        <v>Tam</v>
      </c>
      <c r="AA210" s="146">
        <f t="shared" si="173"/>
        <v>0</v>
      </c>
      <c r="AB210" s="32"/>
      <c r="AC210" s="16" t="str">
        <f t="shared" si="174"/>
        <v>G</v>
      </c>
      <c r="AD210" s="419" t="str">
        <f t="shared" si="174"/>
        <v>Royal Sutton</v>
      </c>
      <c r="AE210" s="419">
        <f>IF(ISNA(MATCH(AC210,N208:N217,0)),0,VLOOKUP(AC210,N208:S217,5,FALSE))</f>
        <v>0</v>
      </c>
      <c r="AF210" s="419" t="str">
        <f>IF(ISNA(MATCH(AC210,T208:T217,0))," ",VLOOKUP(AC210,T208:Y217,5,FALSE))</f>
        <v xml:space="preserve"> </v>
      </c>
      <c r="AG210" s="419">
        <f>IF(ISNA(MATCH(AC210,L208:L215,0)),0,VLOOKUP(AC210,L208:N215,3,FALSE))</f>
        <v>0</v>
      </c>
      <c r="AH210" s="419">
        <f>IF(ISNA(MATCH(AC210,R208:R215,0)),0,VLOOKUP(AC210,R208:T215,3,FALSE))</f>
        <v>0</v>
      </c>
      <c r="AI210" s="419">
        <f>IF(ISNA(MATCH(AC210,L208:L215,0)),0,VLOOKUP(AC210,L208:P215,4,FALSE))</f>
        <v>0</v>
      </c>
      <c r="AJ210" s="419">
        <f>IF(ISNA(MATCH(AC210,R208:R215,0)),0,VLOOKUP(AC210,R208:U215,4,FALSE))</f>
        <v>0</v>
      </c>
      <c r="AK210" s="32">
        <f t="shared" si="175"/>
        <v>0</v>
      </c>
      <c r="AL210" s="32">
        <f t="shared" si="176"/>
        <v>0</v>
      </c>
      <c r="AM210" s="32">
        <f>IF(ISNA(MATCH(AC210,L208:L215,0)),0,VLOOKUP(AC210,L208:W215,AM$1,FALSE))</f>
        <v>0</v>
      </c>
      <c r="AN210" s="146">
        <f>IF(ISNA(MATCH(AC210,R208:R215,0)),0,VLOOKUP(AC210,R208:W215,AN$1,FALSE))</f>
        <v>0</v>
      </c>
      <c r="AP210" s="927"/>
      <c r="AQ210" s="927"/>
    </row>
    <row r="211" spans="1:47" ht="15.6" x14ac:dyDescent="0.3">
      <c r="A211" s="417">
        <f t="shared" si="177"/>
        <v>184</v>
      </c>
      <c r="B211" s="362" t="str">
        <f>'Event Details'!D$25</f>
        <v>R</v>
      </c>
      <c r="C211" s="381" t="str">
        <f>'Event Details'!E$25</f>
        <v>Rugby &amp; N'hampton</v>
      </c>
      <c r="D211" s="379"/>
      <c r="E211" s="378"/>
      <c r="F211" s="363" t="str">
        <f>VLOOKUP($B207,IF($H207="F",TeamSheetFemale,TeamSheetMale),$Y211-1,FALSE)</f>
        <v>R</v>
      </c>
      <c r="G211" s="380" t="str">
        <f>VLOOKUP($B207,IF($H207="F",TeamSheetFemale,TeamSheetMale),$Y211,FALSE)</f>
        <v>Joel Benton</v>
      </c>
      <c r="H211" s="363" t="str">
        <f>VLOOKUP($B207,IF($H207="F",TeamSheetFemale,TeamSheetMale),$Y211+1,FALSE)</f>
        <v>RR</v>
      </c>
      <c r="I211" s="364">
        <f>VLOOKUP($B207,IF($H207="F",TeamSheetFemale,TeamSheetMale),$Y211+2,FALSE)</f>
        <v>0</v>
      </c>
      <c r="K211" s="341" t="s">
        <v>274</v>
      </c>
      <c r="L211" s="16" t="str">
        <f t="shared" si="170"/>
        <v>S</v>
      </c>
      <c r="M211" s="927" t="s">
        <v>100</v>
      </c>
      <c r="N211" s="927" t="s">
        <v>1015</v>
      </c>
      <c r="O211" s="353" t="str">
        <f>IF(LEN($M211)=1,VLOOKUP(LEFT($M211,1),B208:I215,5,FALSE),IF(LEN($M211)=2,VLOOKUP(LEFT($M211,1),B208:I215,7,FALSE),""))</f>
        <v>S</v>
      </c>
      <c r="P211" s="373" t="str">
        <f>IF(LEN($M211)=1,VLOOKUP(LEFT($M211,1),B208:I215,6,FALSE),IF(LEN($M211)=2,VLOOKUP(LEFT($M211,1),B208:I215,8,FALSE),""))</f>
        <v>Christian Middleton</v>
      </c>
      <c r="Q211" s="341" t="s">
        <v>274</v>
      </c>
      <c r="R211" s="146" t="str">
        <f t="shared" si="171"/>
        <v/>
      </c>
      <c r="S211" s="927"/>
      <c r="T211" s="927"/>
      <c r="U211" s="353" t="str">
        <f>IF(LEN($S211)=1,VLOOKUP(LEFT($S211,1),B208:I215,5,FALSE),IF(LEN($S211)=2,VLOOKUP(LEFT($S211,1),B208:I215,7,FALSE),""))</f>
        <v/>
      </c>
      <c r="V211" s="373" t="str">
        <f>IF(LEN($S211)=1,VLOOKUP(LEFT($S211,1),B208:I215,6,FALSE),IF(LEN($S211)=2,VLOOKUP(LEFT($S211,1),B208:I215,8,FALSE),""))</f>
        <v/>
      </c>
      <c r="W211" s="417">
        <f t="shared" si="178"/>
        <v>5</v>
      </c>
      <c r="Y211" s="417">
        <v>22</v>
      </c>
      <c r="Z211" s="16" t="str">
        <f t="shared" si="172"/>
        <v>BRAT</v>
      </c>
      <c r="AA211" s="146">
        <f t="shared" si="173"/>
        <v>0</v>
      </c>
      <c r="AB211" s="32"/>
      <c r="AC211" s="16" t="str">
        <f t="shared" si="174"/>
        <v>R</v>
      </c>
      <c r="AD211" s="419" t="str">
        <f t="shared" si="174"/>
        <v>Rugby &amp; N'hampton</v>
      </c>
      <c r="AE211" s="419">
        <f>IF(ISNA(MATCH(AC211,N208:N217,0)),0,VLOOKUP(AC211,N208:S217,5,FALSE))</f>
        <v>0</v>
      </c>
      <c r="AF211" s="419" t="str">
        <f>IF(ISNA(MATCH(AC211,T208:T217,0))," ",VLOOKUP(AC211,T208:Y217,5,FALSE))</f>
        <v xml:space="preserve"> </v>
      </c>
      <c r="AG211" s="419" t="str">
        <f>IF(ISNA(MATCH(AC211,L208:L215,0)),0,VLOOKUP(AC211,L208:N215,3,FALSE))</f>
        <v>2.02.0</v>
      </c>
      <c r="AH211" s="419">
        <f>IF(ISNA(MATCH(AC211,R208:R215,0)),0,VLOOKUP(AC211,R208:T215,3,FALSE))</f>
        <v>0</v>
      </c>
      <c r="AI211" s="419" t="str">
        <f>IF(ISNA(MATCH(AC211,L208:L215,0)),0,VLOOKUP(AC211,L208:P215,4,FALSE))</f>
        <v>R</v>
      </c>
      <c r="AJ211" s="419">
        <f>IF(ISNA(MATCH(AC211,R208:R215,0)),0,VLOOKUP(AC211,R208:U215,4,FALSE))</f>
        <v>0</v>
      </c>
      <c r="AK211" s="32">
        <f t="shared" si="175"/>
        <v>1</v>
      </c>
      <c r="AL211" s="32">
        <f t="shared" si="176"/>
        <v>0</v>
      </c>
      <c r="AM211" s="32">
        <f>IF(ISNA(MATCH(AC211,L208:L215,0)),0,VLOOKUP(AC211,L208:W215,AM$1,FALSE))</f>
        <v>8</v>
      </c>
      <c r="AN211" s="146">
        <f>IF(ISNA(MATCH(AC211,R208:R215,0)),0,VLOOKUP(AC211,R208:W215,AN$1,FALSE))</f>
        <v>0</v>
      </c>
      <c r="AP211" s="927"/>
      <c r="AQ211" s="927"/>
    </row>
    <row r="212" spans="1:47" ht="15.6" x14ac:dyDescent="0.3">
      <c r="A212" s="417">
        <f t="shared" si="177"/>
        <v>185</v>
      </c>
      <c r="B212" s="362" t="str">
        <f>'Event Details'!D$26</f>
        <v>M</v>
      </c>
      <c r="C212" s="381" t="str">
        <f>'Event Details'!E$26</f>
        <v>Solihull &amp; S.Heath</v>
      </c>
      <c r="D212" s="379"/>
      <c r="E212" s="378"/>
      <c r="F212" s="363">
        <f>VLOOKUP($B207,IF($H207="F",TeamSheetFemale,TeamSheetMale),$Y212-1,FALSE)</f>
        <v>0</v>
      </c>
      <c r="G212" s="380">
        <f>VLOOKUP($B207,IF($H207="F",TeamSheetFemale,TeamSheetMale),$Y212,FALSE)</f>
        <v>0</v>
      </c>
      <c r="H212" s="363">
        <f>VLOOKUP($B207,IF($H207="F",TeamSheetFemale,TeamSheetMale),$Y212+1,FALSE)</f>
        <v>0</v>
      </c>
      <c r="I212" s="364">
        <f>VLOOKUP($B207,IF($H207="F",TeamSheetFemale,TeamSheetMale),$Y212+2,FALSE)</f>
        <v>0</v>
      </c>
      <c r="K212" s="341" t="s">
        <v>275</v>
      </c>
      <c r="L212" s="16" t="str">
        <f t="shared" si="170"/>
        <v/>
      </c>
      <c r="M212" s="927"/>
      <c r="N212" s="927"/>
      <c r="O212" s="353" t="str">
        <f>IF(LEN($M212)=1,VLOOKUP(LEFT($M212,1),B208:I215,5,FALSE),IF(LEN($M212)=2,VLOOKUP(LEFT($M212,1),B208:I215,7,FALSE),""))</f>
        <v/>
      </c>
      <c r="P212" s="373" t="str">
        <f>IF(LEN($M212)=1,VLOOKUP(LEFT($M212,1),B208:I215,6,FALSE),IF(LEN($M212)=2,VLOOKUP(LEFT($M212,1),B208:I215,8,FALSE),""))</f>
        <v/>
      </c>
      <c r="Q212" s="341" t="s">
        <v>275</v>
      </c>
      <c r="R212" s="146" t="str">
        <f t="shared" si="171"/>
        <v/>
      </c>
      <c r="S212" s="927"/>
      <c r="T212" s="927"/>
      <c r="U212" s="353" t="str">
        <f>IF(LEN($S212)=1,VLOOKUP(LEFT($S212,1),B208:I215,5,FALSE),IF(LEN($S212)=2,VLOOKUP(LEFT($S212,1),B208:I215,7,FALSE),""))</f>
        <v/>
      </c>
      <c r="V212" s="373" t="str">
        <f>IF(LEN($S212)=1,VLOOKUP(LEFT($S212,1),B208:I215,6,FALSE),IF(LEN($S212)=2,VLOOKUP(LEFT($S212,1),B208:I215,8,FALSE),""))</f>
        <v/>
      </c>
      <c r="W212" s="417">
        <f t="shared" si="178"/>
        <v>4</v>
      </c>
      <c r="Y212" s="417">
        <v>27</v>
      </c>
      <c r="Z212" s="16">
        <f t="shared" si="172"/>
        <v>0</v>
      </c>
      <c r="AA212" s="146">
        <f t="shared" si="173"/>
        <v>0</v>
      </c>
      <c r="AB212" s="32"/>
      <c r="AC212" s="16" t="str">
        <f t="shared" si="174"/>
        <v>M</v>
      </c>
      <c r="AD212" s="419" t="str">
        <f t="shared" si="174"/>
        <v>Solihull &amp; S.Heath</v>
      </c>
      <c r="AE212" s="419">
        <f>IF(ISNA(MATCH(AC212,N208:N217,0)),0,VLOOKUP(AC212,N208:S217,5,FALSE))</f>
        <v>0</v>
      </c>
      <c r="AF212" s="419" t="str">
        <f>IF(ISNA(MATCH(AC212,T208:T217,0))," ",VLOOKUP(AC212,T208:Y217,5,FALSE))</f>
        <v xml:space="preserve"> </v>
      </c>
      <c r="AG212" s="419">
        <f>IF(ISNA(MATCH(AC212,L208:L215,0)),0,VLOOKUP(AC212,L208:N215,3,FALSE))</f>
        <v>0</v>
      </c>
      <c r="AH212" s="419">
        <f>IF(ISNA(MATCH(AC212,R208:R215,0)),0,VLOOKUP(AC212,R208:T215,3,FALSE))</f>
        <v>0</v>
      </c>
      <c r="AI212" s="419">
        <f>IF(ISNA(MATCH(AC212,L208:L215,0)),0,VLOOKUP(AC212,L208:P215,4,FALSE))</f>
        <v>0</v>
      </c>
      <c r="AJ212" s="419">
        <f>IF(ISNA(MATCH(AC212,R208:R215,0)),0,VLOOKUP(AC212,R208:U215,4,FALSE))</f>
        <v>0</v>
      </c>
      <c r="AK212" s="32">
        <f t="shared" si="175"/>
        <v>0</v>
      </c>
      <c r="AL212" s="32">
        <f t="shared" si="176"/>
        <v>0</v>
      </c>
      <c r="AM212" s="32">
        <f>IF(ISNA(MATCH(AC212,L208:L215,0)),0,VLOOKUP(AC212,L208:W215,AM$1,FALSE))</f>
        <v>0</v>
      </c>
      <c r="AN212" s="146">
        <f>IF(ISNA(MATCH(AC212,R208:R215,0)),0,VLOOKUP(AC212,R208:W215,AN$1,FALSE))</f>
        <v>0</v>
      </c>
      <c r="AP212" s="927"/>
      <c r="AQ212" s="927"/>
    </row>
    <row r="213" spans="1:47" ht="15.6" x14ac:dyDescent="0.3">
      <c r="A213" s="417">
        <f t="shared" si="177"/>
        <v>186</v>
      </c>
      <c r="B213" s="362" t="str">
        <f>'Event Details'!D$27</f>
        <v>D</v>
      </c>
      <c r="C213" s="381" t="str">
        <f>'Event Details'!E$27</f>
        <v>Stratford</v>
      </c>
      <c r="D213" s="379"/>
      <c r="E213" s="378"/>
      <c r="F213" s="363" t="str">
        <f>VLOOKUP($B207,IF($H207="F",TeamSheetFemale,TeamSheetMale),$Y213-1,FALSE)</f>
        <v>D</v>
      </c>
      <c r="G213" s="380" t="str">
        <f>VLOOKUP($B207,IF($H207="F",TeamSheetFemale,TeamSheetMale),$Y213,FALSE)</f>
        <v>Will Hovell</v>
      </c>
      <c r="H213" s="363" t="str">
        <f>VLOOKUP($B207,IF($H207="F",TeamSheetFemale,TeamSheetMale),$Y213+1,FALSE)</f>
        <v>DD</v>
      </c>
      <c r="I213" s="364" t="str">
        <f>VLOOKUP($B207,IF($H207="F",TeamSheetFemale,TeamSheetMale),$Y213+2,FALSE)</f>
        <v>Joel Ledgard</v>
      </c>
      <c r="K213" s="341" t="s">
        <v>276</v>
      </c>
      <c r="L213" s="16" t="str">
        <f t="shared" si="170"/>
        <v/>
      </c>
      <c r="M213" s="927"/>
      <c r="N213" s="927"/>
      <c r="O213" s="353" t="str">
        <f>IF(LEN($M213)=1,VLOOKUP(LEFT($M213,1),B208:I215,5,FALSE),IF(LEN($M213)=2,VLOOKUP(LEFT($M213,1),B208:I215,7,FALSE),""))</f>
        <v/>
      </c>
      <c r="P213" s="373" t="str">
        <f>IF(LEN($M213)=1,VLOOKUP(LEFT($M213,1),B208:I215,6,FALSE),IF(LEN($M213)=2,VLOOKUP(LEFT($M213,1),B208:I215,8,FALSE),""))</f>
        <v/>
      </c>
      <c r="Q213" s="341" t="s">
        <v>276</v>
      </c>
      <c r="R213" s="146" t="str">
        <f t="shared" si="171"/>
        <v/>
      </c>
      <c r="S213" s="927"/>
      <c r="T213" s="927"/>
      <c r="U213" s="353" t="str">
        <f>IF(LEN($S213)=1,VLOOKUP(LEFT($S213,1),B208:I215,5,FALSE),IF(LEN($S213)=2,VLOOKUP(LEFT($S213,1),B208:I215,7,FALSE),""))</f>
        <v/>
      </c>
      <c r="V213" s="373" t="str">
        <f>IF(LEN($S213)=1,VLOOKUP(LEFT($S213,1),B208:I215,6,FALSE),IF(LEN($S213)=2,VLOOKUP(LEFT($S213,1),B208:I215,8,FALSE),""))</f>
        <v/>
      </c>
      <c r="W213" s="417">
        <f t="shared" si="178"/>
        <v>3</v>
      </c>
      <c r="Y213" s="417">
        <v>32</v>
      </c>
      <c r="Z213" s="16">
        <f t="shared" si="172"/>
        <v>0</v>
      </c>
      <c r="AA213" s="146">
        <f t="shared" si="173"/>
        <v>0</v>
      </c>
      <c r="AB213" s="32"/>
      <c r="AC213" s="16" t="str">
        <f t="shared" si="174"/>
        <v>D</v>
      </c>
      <c r="AD213" s="419" t="str">
        <f t="shared" si="174"/>
        <v>Stratford</v>
      </c>
      <c r="AE213" s="419">
        <f>IF(ISNA(MATCH(AC213,N208:N217,0)),0,VLOOKUP(AC213,N208:S217,5,FALSE))</f>
        <v>0</v>
      </c>
      <c r="AF213" s="419" t="str">
        <f>IF(ISNA(MATCH(AC213,T208:T217,0))," ",VLOOKUP(AC213,T208:Y217,5,FALSE))</f>
        <v xml:space="preserve"> </v>
      </c>
      <c r="AG213" s="419" t="str">
        <f>IF(ISNA(MATCH(AC213,L208:L215,0)),0,VLOOKUP(AC213,L208:N215,3,FALSE))</f>
        <v>2.02.3</v>
      </c>
      <c r="AH213" s="419" t="str">
        <f>IF(ISNA(MATCH(AC213,R208:R215,0)),0,VLOOKUP(AC213,R208:T215,3,FALSE))</f>
        <v>2.05.2</v>
      </c>
      <c r="AI213" s="419" t="str">
        <f>IF(ISNA(MATCH(AC213,L208:L215,0)),0,VLOOKUP(AC213,L208:P215,4,FALSE))</f>
        <v>D</v>
      </c>
      <c r="AJ213" s="419" t="str">
        <f>IF(ISNA(MATCH(AC213,R208:R215,0)),0,VLOOKUP(AC213,R208:U215,4,FALSE))</f>
        <v>DD</v>
      </c>
      <c r="AK213" s="32">
        <f t="shared" si="175"/>
        <v>2</v>
      </c>
      <c r="AL213" s="32">
        <f t="shared" si="176"/>
        <v>1</v>
      </c>
      <c r="AM213" s="32">
        <f>IF(ISNA(MATCH(AC213,L208:L215,0)),0,VLOOKUP(AC213,L208:W215,AM$1,FALSE))</f>
        <v>7</v>
      </c>
      <c r="AN213" s="146">
        <f>IF(ISNA(MATCH(AC213,R208:R215,0)),0,VLOOKUP(AC213,R208:W215,AN$1,FALSE))</f>
        <v>8</v>
      </c>
      <c r="AP213" s="927"/>
      <c r="AQ213" s="927"/>
    </row>
    <row r="214" spans="1:47" ht="15.6" x14ac:dyDescent="0.3">
      <c r="A214" s="417">
        <f t="shared" si="177"/>
        <v>187</v>
      </c>
      <c r="B214" s="362" t="str">
        <f>'Event Details'!D$28</f>
        <v>F</v>
      </c>
      <c r="C214" s="381" t="str">
        <f>'Event Details'!E$28</f>
        <v>Tamworth</v>
      </c>
      <c r="D214" s="379"/>
      <c r="E214" s="378"/>
      <c r="F214" s="363" t="str">
        <f>VLOOKUP($B207,IF($H207="F",TeamSheetFemale,TeamSheetMale),$Y214-1,FALSE)</f>
        <v>F</v>
      </c>
      <c r="G214" s="380" t="str">
        <f>VLOOKUP($B207,IF($H207="F",TeamSheetFemale,TeamSheetMale),$Y214,FALSE)</f>
        <v>Anthony Tolley</v>
      </c>
      <c r="H214" s="363">
        <f>VLOOKUP($B207,IF($H207="F",TeamSheetFemale,TeamSheetMale),$Y214+1,FALSE)</f>
        <v>0</v>
      </c>
      <c r="I214" s="364">
        <f>VLOOKUP($B207,IF($H207="F",TeamSheetFemale,TeamSheetMale),$Y214+2,FALSE)</f>
        <v>0</v>
      </c>
      <c r="K214" s="341" t="s">
        <v>277</v>
      </c>
      <c r="L214" s="16" t="str">
        <f t="shared" si="170"/>
        <v/>
      </c>
      <c r="M214" s="931"/>
      <c r="N214" s="927"/>
      <c r="O214" s="353" t="str">
        <f>IF(LEN($M214)=1,VLOOKUP(LEFT($M214,1),B208:I215,5,FALSE),IF(LEN($M214)=2,VLOOKUP(LEFT($M214,1),B208:I215,7,FALSE),""))</f>
        <v/>
      </c>
      <c r="P214" s="373" t="str">
        <f>IF(LEN($M214)=1,VLOOKUP(LEFT($M214,1),B208:I215,6,FALSE),IF(LEN($M214)=2,VLOOKUP(LEFT($M214,1),B208:I215,8,FALSE),""))</f>
        <v/>
      </c>
      <c r="Q214" s="341" t="s">
        <v>277</v>
      </c>
      <c r="R214" s="146" t="str">
        <f t="shared" si="171"/>
        <v/>
      </c>
      <c r="S214" s="931"/>
      <c r="T214" s="927"/>
      <c r="U214" s="353" t="str">
        <f>IF(LEN($S214)=1,VLOOKUP(LEFT($S214,1),B208:I215,5,FALSE),IF(LEN($S214)=2,VLOOKUP(LEFT($S214,1),B208:I215,7,FALSE),""))</f>
        <v/>
      </c>
      <c r="V214" s="373" t="str">
        <f>IF(LEN($S214)=1,VLOOKUP(LEFT($S214,1),B208:I215,6,FALSE),IF(LEN($S214)=2,VLOOKUP(LEFT($S214,1),B208:I215,8,FALSE),""))</f>
        <v/>
      </c>
      <c r="W214" s="417">
        <f t="shared" si="178"/>
        <v>2</v>
      </c>
      <c r="Y214" s="417">
        <v>37</v>
      </c>
      <c r="Z214" s="16">
        <f t="shared" si="172"/>
        <v>0</v>
      </c>
      <c r="AA214" s="146">
        <f t="shared" si="173"/>
        <v>0</v>
      </c>
      <c r="AB214" s="32"/>
      <c r="AC214" s="16" t="str">
        <f t="shared" si="174"/>
        <v>F</v>
      </c>
      <c r="AD214" s="419" t="str">
        <f t="shared" si="174"/>
        <v>Tamworth</v>
      </c>
      <c r="AE214" s="419">
        <f>IF(ISNA(MATCH(AC214,N206:N215,0)),0,VLOOKUP(AC214,N206:S215,5,FALSE))</f>
        <v>0</v>
      </c>
      <c r="AF214" s="419" t="str">
        <f>IF(ISNA(MATCH(AC214,T206:T215,0))," ",VLOOKUP(AC214,T206:Y215,5,FALSE))</f>
        <v xml:space="preserve"> </v>
      </c>
      <c r="AG214" s="419" t="str">
        <f>IF(ISNA(MATCH(AC214,L208:L215,0)),0,VLOOKUP(AC214,L208:N215,3,FALSE))</f>
        <v>2.14.7</v>
      </c>
      <c r="AH214" s="419">
        <f>IF(ISNA(MATCH(AC214,R208:R215,0)),0,VLOOKUP(AC214,R208:T215,3,FALSE))</f>
        <v>0</v>
      </c>
      <c r="AI214" s="419" t="str">
        <f>IF(ISNA(MATCH(AC214,L208:L215,0)),0,VLOOKUP(AC214,L208:P215,4,FALSE))</f>
        <v>F</v>
      </c>
      <c r="AJ214" s="419">
        <f>IF(ISNA(MATCH(AC214,R208:R215,0)),0,VLOOKUP(AC214,R208:U215,4,FALSE))</f>
        <v>0</v>
      </c>
      <c r="AK214" s="32">
        <f t="shared" si="175"/>
        <v>3</v>
      </c>
      <c r="AL214" s="32">
        <f t="shared" si="176"/>
        <v>0</v>
      </c>
      <c r="AM214" s="32">
        <f>IF(ISNA(MATCH(AC214,L208:L215,0)),0,VLOOKUP(AC214,L208:W215,AM$1,FALSE))</f>
        <v>6</v>
      </c>
      <c r="AN214" s="146">
        <f>IF(ISNA(MATCH(AC214,R208:R215,0)),0,VLOOKUP(AC214,R208:W215,AN$1,FALSE))</f>
        <v>0</v>
      </c>
      <c r="AP214" s="931"/>
      <c r="AQ214" s="927"/>
    </row>
    <row r="215" spans="1:47" ht="16.2" thickBot="1" x14ac:dyDescent="0.35">
      <c r="A215" s="418">
        <f t="shared" si="177"/>
        <v>188</v>
      </c>
      <c r="B215" s="365" t="str">
        <f>'Event Details'!D$29</f>
        <v>Y</v>
      </c>
      <c r="C215" s="366" t="str">
        <f>'Event Details'!E$29</f>
        <v>Worcester</v>
      </c>
      <c r="D215" s="361"/>
      <c r="E215" s="370"/>
      <c r="F215" s="367">
        <f>VLOOKUP($B207,IF($H207="F",TeamSheetFemale,TeamSheetMale),$Y215-1,FALSE)</f>
        <v>0</v>
      </c>
      <c r="G215" s="368">
        <f>VLOOKUP($B207,IF($H207="F",TeamSheetFemale,TeamSheetMale),$Y215,FALSE)</f>
        <v>0</v>
      </c>
      <c r="H215" s="367">
        <f>VLOOKUP($B207,IF($H207="F",TeamSheetFemale,TeamSheetMale),$Y215+1,FALSE)</f>
        <v>0</v>
      </c>
      <c r="I215" s="369">
        <f>VLOOKUP($B207,IF($H207="F",TeamSheetFemale,TeamSheetMale),$Y215+2,FALSE)</f>
        <v>0</v>
      </c>
      <c r="K215" s="346" t="s">
        <v>278</v>
      </c>
      <c r="L215" s="25" t="str">
        <f t="shared" si="170"/>
        <v/>
      </c>
      <c r="M215" s="928"/>
      <c r="N215" s="932"/>
      <c r="O215" s="375" t="str">
        <f>IF(LEN($M215)=1,VLOOKUP(LEFT($M215,1),B208:I215,5,FALSE),IF(LEN($M215)=2,VLOOKUP(LEFT($M215,1),B208:I215,7,FALSE),""))</f>
        <v/>
      </c>
      <c r="P215" s="376" t="str">
        <f>IF(LEN($M215)=1,VLOOKUP(LEFT($M215,1),B208:I215,6,FALSE),IF(LEN($M215)=2,VLOOKUP(LEFT($M215,1),B208:I215,8,FALSE),""))</f>
        <v/>
      </c>
      <c r="Q215" s="346" t="s">
        <v>278</v>
      </c>
      <c r="R215" s="523" t="str">
        <f t="shared" si="171"/>
        <v/>
      </c>
      <c r="S215" s="928"/>
      <c r="T215" s="932"/>
      <c r="U215" s="375" t="str">
        <f>IF(LEN($S215)=1,VLOOKUP(LEFT($S215,1),B208:I215,5,FALSE),IF(LEN($S215)=2,VLOOKUP(LEFT($S215,1),B208:I215,7,FALSE),""))</f>
        <v/>
      </c>
      <c r="V215" s="376" t="str">
        <f>IF(LEN($S215)=1,VLOOKUP(LEFT($S215,1),B208:I215,6,FALSE),IF(LEN($S215)=2,VLOOKUP(LEFT($S215,1),B208:I215,8,FALSE),""))</f>
        <v/>
      </c>
      <c r="W215" s="418">
        <f t="shared" si="178"/>
        <v>1</v>
      </c>
      <c r="Y215" s="418">
        <v>42</v>
      </c>
      <c r="Z215" s="25">
        <f t="shared" si="172"/>
        <v>0</v>
      </c>
      <c r="AA215" s="523">
        <f t="shared" si="173"/>
        <v>0</v>
      </c>
      <c r="AB215" s="32"/>
      <c r="AC215" s="25" t="str">
        <f t="shared" si="174"/>
        <v>Y</v>
      </c>
      <c r="AD215" s="624" t="str">
        <f t="shared" si="174"/>
        <v>Worcester</v>
      </c>
      <c r="AE215" s="624">
        <f>IF(ISNA(MATCH(AC215,N207:N216,0)),0,VLOOKUP(AC215,N207:S216,5,FALSE))</f>
        <v>0</v>
      </c>
      <c r="AF215" s="624" t="str">
        <f t="shared" ref="AF215" si="179">IF(ISNA(MATCH(AC215,T207:T216,0))," ",VLOOKUP(AC215,T207:Y216,5,FALSE))</f>
        <v xml:space="preserve"> </v>
      </c>
      <c r="AG215" s="624">
        <f>IF(ISNA(MATCH(AC215,L208:L215,0)),0,VLOOKUP(AC215,L208:N215,3,FALSE))</f>
        <v>0</v>
      </c>
      <c r="AH215" s="624">
        <f>IF(ISNA(MATCH(AC215,R208:R215,0)),0,VLOOKUP(AC215,R208:T215,3,FALSE))</f>
        <v>0</v>
      </c>
      <c r="AI215" s="624">
        <f>IF(ISNA(MATCH(AC215,L208:L215,0)),0,VLOOKUP(AC215,L208:P215,4,FALSE))</f>
        <v>0</v>
      </c>
      <c r="AJ215" s="624">
        <f>IF(ISNA(MATCH(AC215,R208:R215,0)),0,VLOOKUP(AC215,R208:U215,4,FALSE))</f>
        <v>0</v>
      </c>
      <c r="AK215" s="116">
        <f t="shared" si="175"/>
        <v>0</v>
      </c>
      <c r="AL215" s="116">
        <f t="shared" si="176"/>
        <v>0</v>
      </c>
      <c r="AM215" s="116">
        <f>IF(ISNA(MATCH(AC215,L208:L215,0)),0,VLOOKUP(AC215,L208:W215,AM$1,FALSE))</f>
        <v>0</v>
      </c>
      <c r="AN215" s="523">
        <f>IF(ISNA(MATCH(AC215,R208:R215,0)),0,VLOOKUP(AC215,R208:W215,AN$1,FALSE))</f>
        <v>0</v>
      </c>
      <c r="AP215" s="928"/>
      <c r="AQ215" s="932"/>
    </row>
    <row r="216" spans="1:47" ht="15" thickBot="1" x14ac:dyDescent="0.35">
      <c r="M216" s="276"/>
      <c r="N216" s="307"/>
      <c r="S216" s="276"/>
      <c r="T216" s="307"/>
      <c r="AP216" s="276"/>
      <c r="AQ216" s="307"/>
    </row>
    <row r="217" spans="1:47" x14ac:dyDescent="0.3">
      <c r="B217" s="400" t="s">
        <v>258</v>
      </c>
      <c r="C217" s="398"/>
      <c r="D217" s="401" t="s">
        <v>165</v>
      </c>
      <c r="E217" s="398"/>
      <c r="F217" s="398"/>
      <c r="G217" s="402" t="s">
        <v>259</v>
      </c>
      <c r="H217" s="403" t="s">
        <v>249</v>
      </c>
      <c r="I217" s="404" t="s">
        <v>168</v>
      </c>
      <c r="K217" s="360"/>
      <c r="L217" s="661"/>
      <c r="M217" s="387" t="s">
        <v>260</v>
      </c>
      <c r="N217" s="387" t="s">
        <v>261</v>
      </c>
      <c r="O217" s="387" t="s">
        <v>262</v>
      </c>
      <c r="P217" s="388" t="s">
        <v>75</v>
      </c>
      <c r="Q217" s="412"/>
      <c r="R217" s="657"/>
      <c r="S217" s="387" t="s">
        <v>260</v>
      </c>
      <c r="T217" s="387" t="s">
        <v>261</v>
      </c>
      <c r="U217" s="387" t="s">
        <v>262</v>
      </c>
      <c r="V217" s="388" t="s">
        <v>75</v>
      </c>
      <c r="W217" s="672" t="s">
        <v>76</v>
      </c>
      <c r="Y217" s="654" t="s">
        <v>263</v>
      </c>
      <c r="Z217" s="656" t="s">
        <v>74</v>
      </c>
      <c r="AA217" s="657" t="s">
        <v>75</v>
      </c>
      <c r="AC217" s="665" t="s">
        <v>71</v>
      </c>
      <c r="AD217" s="657" t="s">
        <v>86</v>
      </c>
      <c r="AE217" s="661" t="s">
        <v>149</v>
      </c>
      <c r="AF217" s="661" t="s">
        <v>94</v>
      </c>
      <c r="AG217" s="661" t="s">
        <v>149</v>
      </c>
      <c r="AH217" s="661" t="s">
        <v>94</v>
      </c>
      <c r="AI217" s="661" t="s">
        <v>149</v>
      </c>
      <c r="AJ217" s="661" t="s">
        <v>94</v>
      </c>
      <c r="AK217" s="1332" t="s">
        <v>149</v>
      </c>
      <c r="AL217" s="661" t="s">
        <v>94</v>
      </c>
      <c r="AM217" s="1406" t="s">
        <v>76</v>
      </c>
      <c r="AN217" s="1407"/>
      <c r="AP217" s="387" t="s">
        <v>260</v>
      </c>
      <c r="AQ217" s="387" t="s">
        <v>261</v>
      </c>
      <c r="AS217" s="1218" t="s">
        <v>165</v>
      </c>
      <c r="AT217" s="1219" t="s">
        <v>79</v>
      </c>
      <c r="AU217" s="1220" t="s">
        <v>80</v>
      </c>
    </row>
    <row r="218" spans="1:47" ht="15" thickBot="1" x14ac:dyDescent="0.35">
      <c r="B218" s="405">
        <v>19</v>
      </c>
      <c r="C218" s="399"/>
      <c r="D218" s="385" t="str">
        <f>VLOOKUP($B218,EventOrder,6,FALSE)</f>
        <v xml:space="preserve">100m hurdles (U18) </v>
      </c>
      <c r="E218" s="399"/>
      <c r="F218" s="385"/>
      <c r="G218" s="386" t="str">
        <f>VLOOKUP($B218,EventOrder,4,FALSE)</f>
        <v>U18 Female</v>
      </c>
      <c r="H218" s="396" t="str">
        <f>IF(MID(G218,5,1)="F","F","M")</f>
        <v>F</v>
      </c>
      <c r="I218" s="397">
        <f>VLOOKUP($B218,EventOrder,2,FALSE)</f>
        <v>12.3</v>
      </c>
      <c r="K218" s="372"/>
      <c r="L218" s="667" t="s">
        <v>149</v>
      </c>
      <c r="M218" s="409" t="s">
        <v>264</v>
      </c>
      <c r="N218" s="409" t="s">
        <v>265</v>
      </c>
      <c r="O218" s="409" t="s">
        <v>266</v>
      </c>
      <c r="P218" s="408"/>
      <c r="Q218" s="413"/>
      <c r="R218" s="659" t="s">
        <v>94</v>
      </c>
      <c r="S218" s="409" t="s">
        <v>264</v>
      </c>
      <c r="T218" s="409" t="s">
        <v>265</v>
      </c>
      <c r="U218" s="409" t="s">
        <v>266</v>
      </c>
      <c r="V218" s="408"/>
      <c r="W218" s="671"/>
      <c r="Y218" s="655" t="s">
        <v>167</v>
      </c>
      <c r="Z218" s="658" t="s">
        <v>149</v>
      </c>
      <c r="AA218" s="659" t="s">
        <v>94</v>
      </c>
      <c r="AC218" s="666"/>
      <c r="AD218" s="668"/>
      <c r="AE218" s="768" t="s">
        <v>75</v>
      </c>
      <c r="AF218" s="768" t="s">
        <v>75</v>
      </c>
      <c r="AG218" s="768" t="s">
        <v>267</v>
      </c>
      <c r="AH218" s="768" t="s">
        <v>267</v>
      </c>
      <c r="AI218" s="768" t="s">
        <v>268</v>
      </c>
      <c r="AJ218" s="768" t="s">
        <v>268</v>
      </c>
      <c r="AK218" s="770" t="s">
        <v>269</v>
      </c>
      <c r="AL218" s="768" t="s">
        <v>269</v>
      </c>
      <c r="AM218" s="667" t="s">
        <v>149</v>
      </c>
      <c r="AN218" s="659" t="s">
        <v>94</v>
      </c>
      <c r="AP218" s="409" t="s">
        <v>264</v>
      </c>
      <c r="AQ218" s="409" t="s">
        <v>265</v>
      </c>
      <c r="AS218" s="1221" t="s">
        <v>270</v>
      </c>
      <c r="AT218" s="1222" t="s">
        <v>270</v>
      </c>
      <c r="AU218" s="1223" t="s">
        <v>270</v>
      </c>
    </row>
    <row r="219" spans="1:47" ht="15.6" x14ac:dyDescent="0.3">
      <c r="A219" s="416">
        <f>(B218*10)+1</f>
        <v>191</v>
      </c>
      <c r="B219" s="362" t="str">
        <f>'Event Details'!D$22</f>
        <v>S</v>
      </c>
      <c r="C219" s="381" t="str">
        <f>'Event Details'!E$22</f>
        <v>BRAT</v>
      </c>
      <c r="D219" s="379"/>
      <c r="E219" s="378"/>
      <c r="F219" s="363">
        <f>VLOOKUP($B218,IF($H218="F",TeamSheetFemale,TeamSheetMale),$Y219-1,FALSE)</f>
        <v>0</v>
      </c>
      <c r="G219" s="380">
        <f>VLOOKUP($B218,IF($H218="F",TeamSheetFemale,TeamSheetMale),$Y219,FALSE)</f>
        <v>0</v>
      </c>
      <c r="H219" s="363">
        <f>VLOOKUP($B218,IF($H218="F",TeamSheetFemale,TeamSheetMale),$Y219+1,FALSE)</f>
        <v>0</v>
      </c>
      <c r="I219" s="364">
        <f>VLOOKUP($B218,IF($H218="F",TeamSheetFemale,TeamSheetMale),$Y219+2,FALSE)</f>
        <v>0</v>
      </c>
      <c r="K219" s="393" t="s">
        <v>271</v>
      </c>
      <c r="L219" s="16" t="str">
        <f t="shared" ref="L219:L226" si="180">LEFT(M219,1)</f>
        <v>D</v>
      </c>
      <c r="M219" s="926" t="s">
        <v>136</v>
      </c>
      <c r="N219" s="926">
        <v>16.7</v>
      </c>
      <c r="O219" s="394" t="str">
        <f>IF(LEN($M219)=1,VLOOKUP(LEFT($M219,1),B219:I226,5,FALSE),IF(LEN($M219)=2,VLOOKUP(LEFT($M219,1),B219:I226,7,FALSE),""))</f>
        <v>D</v>
      </c>
      <c r="P219" s="395" t="str">
        <f>IF(LEN($M219)=1,VLOOKUP(LEFT($M219,1),B219:I226,6,FALSE),IF(LEN($M219)=2,VLOOKUP(LEFT($M219,1),B219:I226,8,FALSE),""))</f>
        <v>Darcie Nicholls</v>
      </c>
      <c r="Q219" s="406" t="s">
        <v>271</v>
      </c>
      <c r="R219" s="146" t="str">
        <f t="shared" ref="R219:R226" si="181">LEFT(S219,1)</f>
        <v>D</v>
      </c>
      <c r="S219" s="926" t="s">
        <v>513</v>
      </c>
      <c r="T219" s="926">
        <v>16.8</v>
      </c>
      <c r="U219" s="394" t="str">
        <f>IF(LEN($S219)=1,VLOOKUP(LEFT($S219,1),B219:I226,5,FALSE),IF(LEN($S219)=2,VLOOKUP(LEFT($S219,1),B219:I226,7,FALSE),""))</f>
        <v>DD</v>
      </c>
      <c r="V219" s="395" t="str">
        <f>IF(LEN($S219)=1,VLOOKUP(LEFT($S219,1),B219:I226,6,FALSE),IF(LEN($S219)=2,VLOOKUP(LEFT($S219,1),B219:I226,8,FALSE),""))</f>
        <v>Ava Sheppard</v>
      </c>
      <c r="W219" s="417">
        <f>AN$6</f>
        <v>8</v>
      </c>
      <c r="Y219" s="653">
        <v>7</v>
      </c>
      <c r="Z219" s="653" t="str">
        <f t="shared" ref="Z219:Z226" si="182">IF(LEN(M219)&gt;0,VLOOKUP(LEFT(M219,1),ShortName,5,FALSE),0)</f>
        <v>Strat</v>
      </c>
      <c r="AA219" s="138" t="str">
        <f t="shared" ref="AA219:AA226" si="183">IF(LEN(S219)&gt;0,VLOOKUP(LEFT(S219,1),ShortName,5,FALSE),0)</f>
        <v>Strat</v>
      </c>
      <c r="AC219" s="16" t="str">
        <f t="shared" ref="AC219:AD226" si="184">B219</f>
        <v>S</v>
      </c>
      <c r="AD219" s="419" t="str">
        <f t="shared" si="184"/>
        <v>BRAT</v>
      </c>
      <c r="AE219" s="635">
        <f>IF(ISNA(MATCH(AC219,N219:N228,0)),0,VLOOKUP(AC219,N219:S228,5,FALSE))</f>
        <v>0</v>
      </c>
      <c r="AF219" s="635" t="str">
        <f>IF(ISNA(MATCH(AC219,T219:T228,0))," ",VLOOKUP(AC219,T219:Y228,5,FALSE))</f>
        <v xml:space="preserve"> </v>
      </c>
      <c r="AG219" s="635">
        <f>IF(ISNA(MATCH(AC219,L219:L226,0)),0,VLOOKUP(AC219,L219:N226,3,FALSE))</f>
        <v>0</v>
      </c>
      <c r="AH219" s="635">
        <f>IF(ISNA(MATCH(AC219,R219:R226,0)),0,VLOOKUP(AC219,R219:T226,3,FALSE))</f>
        <v>0</v>
      </c>
      <c r="AI219" s="635">
        <f>IF(ISNA(MATCH(AC219,L219:L226,0)),0,VLOOKUP(AC219,L219:P226,4,FALSE))</f>
        <v>0</v>
      </c>
      <c r="AJ219" s="635">
        <f>IF(ISNA(MATCH(AC219,R219:R226,0)),0,VLOOKUP(AC219,R219:U226,4,FALSE))</f>
        <v>0</v>
      </c>
      <c r="AK219" s="49">
        <f t="shared" ref="AK219:AK226" si="185">IF(AM219=0,0,AN$6-(AM219-1))</f>
        <v>0</v>
      </c>
      <c r="AL219" s="49">
        <f t="shared" ref="AL219:AL226" si="186">IF(AN219=0,0,AN$6-(AN219-1))</f>
        <v>0</v>
      </c>
      <c r="AM219" s="49">
        <f>IF(ISNA(MATCH(AC219,L219:L226,0)),0,VLOOKUP(AC219,L219:W226,AM$1,FALSE))</f>
        <v>0</v>
      </c>
      <c r="AN219" s="138">
        <f>IF(ISNA(MATCH(AC219,R219:R226,0)),0,VLOOKUP(AC219,R219:W226,AN$1,FALSE))</f>
        <v>0</v>
      </c>
      <c r="AP219" s="926"/>
      <c r="AQ219" s="926"/>
      <c r="AS219" s="32">
        <f>IF(LEN(N219)&gt;0,1,0)</f>
        <v>1</v>
      </c>
      <c r="AT219" s="32">
        <f>IF(AND(AS219=1,H218="M"),1,0)</f>
        <v>0</v>
      </c>
      <c r="AU219" s="32">
        <f>IF(AND(AS219=1,H218="F"),1,0)</f>
        <v>1</v>
      </c>
    </row>
    <row r="220" spans="1:47" ht="15.6" x14ac:dyDescent="0.3">
      <c r="A220" s="417">
        <f>A219+1</f>
        <v>192</v>
      </c>
      <c r="B220" s="362" t="str">
        <f>'Event Details'!D$23</f>
        <v>U</v>
      </c>
      <c r="C220" s="381" t="str">
        <f>'Event Details'!E$23</f>
        <v>Kidder &amp; Stourport</v>
      </c>
      <c r="D220" s="379"/>
      <c r="E220" s="378"/>
      <c r="F220" s="363" t="str">
        <f>VLOOKUP($B218,IF($H218="F",TeamSheetFemale,TeamSheetMale),$Y220-1,FALSE)</f>
        <v>U</v>
      </c>
      <c r="G220" s="380" t="str">
        <f>VLOOKUP($B218,IF($H218="F",TeamSheetFemale,TeamSheetMale),$Y220,FALSE)</f>
        <v>Emma Ross</v>
      </c>
      <c r="H220" s="363">
        <f>VLOOKUP($B218,IF($H218="F",TeamSheetFemale,TeamSheetMale),$Y220+1,FALSE)</f>
        <v>0</v>
      </c>
      <c r="I220" s="364">
        <f>VLOOKUP($B218,IF($H218="F",TeamSheetFemale,TeamSheetMale),$Y220+2,FALSE)</f>
        <v>0</v>
      </c>
      <c r="K220" s="341" t="s">
        <v>272</v>
      </c>
      <c r="L220" s="16" t="str">
        <f t="shared" si="180"/>
        <v>U</v>
      </c>
      <c r="M220" s="927" t="s">
        <v>130</v>
      </c>
      <c r="N220" s="927">
        <v>17.2</v>
      </c>
      <c r="O220" s="354" t="str">
        <f>IF(LEN($M220)=1,VLOOKUP(LEFT($M220,1),B219:I226,5,FALSE),IF(LEN($M220)=2,VLOOKUP(LEFT($M220,1),B219:I226,7,FALSE),""))</f>
        <v>U</v>
      </c>
      <c r="P220" s="410" t="str">
        <f>IF(LEN($M220)=1,VLOOKUP(LEFT($M220,1),B219:I226,6,FALSE),IF(LEN($M220)=2,VLOOKUP(LEFT($M220,1),B219:I226,8,FALSE),""))</f>
        <v>Emma Ross</v>
      </c>
      <c r="Q220" s="371" t="s">
        <v>272</v>
      </c>
      <c r="R220" s="146" t="str">
        <f t="shared" si="181"/>
        <v/>
      </c>
      <c r="S220" s="927"/>
      <c r="T220" s="927"/>
      <c r="U220" s="354" t="str">
        <f>IF(LEN($S220)=1,VLOOKUP(LEFT($S220,1),B219:I226,5,FALSE),IF(LEN($S220)=2,VLOOKUP(LEFT($S220,1),B219:I226,7,FALSE),""))</f>
        <v/>
      </c>
      <c r="V220" s="410" t="str">
        <f>IF(LEN($S220)=1,VLOOKUP(LEFT($S220,1),B219:I226,6,FALSE),IF(LEN($S220)=2,VLOOKUP(LEFT($S220,1),B219:I226,8,FALSE),""))</f>
        <v/>
      </c>
      <c r="W220" s="417">
        <f>W219-1</f>
        <v>7</v>
      </c>
      <c r="Y220" s="16">
        <v>12</v>
      </c>
      <c r="Z220" s="16" t="str">
        <f t="shared" si="182"/>
        <v>K&amp;S</v>
      </c>
      <c r="AA220" s="146">
        <f t="shared" si="183"/>
        <v>0</v>
      </c>
      <c r="AC220" s="16" t="str">
        <f t="shared" si="184"/>
        <v>U</v>
      </c>
      <c r="AD220" s="419" t="str">
        <f t="shared" si="184"/>
        <v>Kidder &amp; Stourport</v>
      </c>
      <c r="AE220" s="419">
        <f>IF(ISNA(MATCH(AC220,N219:N228,0)),0,VLOOKUP(AC220,N219:S228,5,FALSE))</f>
        <v>0</v>
      </c>
      <c r="AF220" s="419" t="str">
        <f>IF(ISNA(MATCH(AC220,T219:T228,0))," ",VLOOKUP(AC220,T219:Y228,5,FALSE))</f>
        <v xml:space="preserve"> </v>
      </c>
      <c r="AG220" s="419">
        <f>IF(ISNA(MATCH(AC220,L219:L226,0)),0,VLOOKUP(AC220,L219:N226,3,FALSE))</f>
        <v>17.2</v>
      </c>
      <c r="AH220" s="419">
        <f>IF(ISNA(MATCH(AC220,R219:R226,0)),0,VLOOKUP(AC220,R219:T226,3,FALSE))</f>
        <v>0</v>
      </c>
      <c r="AI220" s="419" t="str">
        <f>IF(ISNA(MATCH(AC220,L219:L226,0)),0,VLOOKUP(AC220,L219:P226,4,FALSE))</f>
        <v>U</v>
      </c>
      <c r="AJ220" s="419">
        <f>IF(ISNA(MATCH(AC220,R219:R226,0)),0,VLOOKUP(AC220,R219:U226,4,FALSE))</f>
        <v>0</v>
      </c>
      <c r="AK220" s="32">
        <f t="shared" si="185"/>
        <v>2</v>
      </c>
      <c r="AL220" s="32">
        <f t="shared" si="186"/>
        <v>0</v>
      </c>
      <c r="AM220" s="32">
        <f>IF(ISNA(MATCH(AC220,L219:L226,0)),0,VLOOKUP(AC220,L219:W226,AM$1,FALSE))</f>
        <v>7</v>
      </c>
      <c r="AN220" s="146">
        <f>IF(ISNA(MATCH(AC220,R219:R226,0)),0,VLOOKUP(AC220,R219:W226,AN$1,FALSE))</f>
        <v>0</v>
      </c>
      <c r="AP220" s="927"/>
      <c r="AQ220" s="927"/>
    </row>
    <row r="221" spans="1:47" ht="15.6" x14ac:dyDescent="0.3">
      <c r="A221" s="417">
        <f t="shared" ref="A221:A226" si="187">A220+1</f>
        <v>193</v>
      </c>
      <c r="B221" s="362" t="str">
        <f>'Event Details'!D$24</f>
        <v>G</v>
      </c>
      <c r="C221" s="381" t="str">
        <f>'Event Details'!E$24</f>
        <v>Royal Sutton</v>
      </c>
      <c r="D221" s="379"/>
      <c r="E221" s="378"/>
      <c r="F221" s="363" t="str">
        <f>VLOOKUP($B218,IF($H218="F",TeamSheetFemale,TeamSheetMale),$Y221-1,FALSE)</f>
        <v>G</v>
      </c>
      <c r="G221" s="380">
        <f>VLOOKUP($B218,IF($H218="F",TeamSheetFemale,TeamSheetMale),$Y221,FALSE)</f>
        <v>0</v>
      </c>
      <c r="H221" s="363" t="str">
        <f>VLOOKUP($B218,IF($H218="F",TeamSheetFemale,TeamSheetMale),$Y221+1,FALSE)</f>
        <v>GG</v>
      </c>
      <c r="I221" s="364">
        <f>VLOOKUP($B218,IF($H218="F",TeamSheetFemale,TeamSheetMale),$Y221+2,FALSE)</f>
        <v>0</v>
      </c>
      <c r="K221" s="341" t="s">
        <v>273</v>
      </c>
      <c r="L221" s="16" t="str">
        <f t="shared" si="180"/>
        <v>R</v>
      </c>
      <c r="M221" s="927" t="s">
        <v>118</v>
      </c>
      <c r="N221" s="927">
        <v>18.2</v>
      </c>
      <c r="O221" s="354" t="str">
        <f>IF(LEN($M221)=1,VLOOKUP(LEFT($M221,1),B219:I226,5,FALSE),IF(LEN($M221)=2,VLOOKUP(LEFT($M221,1),B219:I226,7,FALSE),""))</f>
        <v>R</v>
      </c>
      <c r="P221" s="410" t="str">
        <f>IF(LEN($M221)=1,VLOOKUP(LEFT($M221,1),B219:I226,6,FALSE),IF(LEN($M221)=2,VLOOKUP(LEFT($M221,1),B219:I226,8,FALSE),""))</f>
        <v>Olivia Clarke</v>
      </c>
      <c r="Q221" s="371" t="s">
        <v>273</v>
      </c>
      <c r="R221" s="146" t="str">
        <f t="shared" si="181"/>
        <v/>
      </c>
      <c r="S221" s="927"/>
      <c r="T221" s="927"/>
      <c r="U221" s="354" t="str">
        <f>IF(LEN($S221)=1,VLOOKUP(LEFT($S221,1),B219:I226,5,FALSE),IF(LEN($S221)=2,VLOOKUP(LEFT($S221,1),B219:I226,7,FALSE),""))</f>
        <v/>
      </c>
      <c r="V221" s="410" t="str">
        <f>IF(LEN($S221)=1,VLOOKUP(LEFT($S221,1),B219:I226,6,FALSE),IF(LEN($S221)=2,VLOOKUP(LEFT($S221,1),B219:I226,8,FALSE),""))</f>
        <v/>
      </c>
      <c r="W221" s="417">
        <f t="shared" ref="W221:W226" si="188">W220-1</f>
        <v>6</v>
      </c>
      <c r="Y221" s="16">
        <v>17</v>
      </c>
      <c r="Z221" s="16" t="str">
        <f t="shared" si="182"/>
        <v>Rugby</v>
      </c>
      <c r="AA221" s="146">
        <f t="shared" si="183"/>
        <v>0</v>
      </c>
      <c r="AC221" s="16" t="str">
        <f t="shared" si="184"/>
        <v>G</v>
      </c>
      <c r="AD221" s="419" t="str">
        <f t="shared" si="184"/>
        <v>Royal Sutton</v>
      </c>
      <c r="AE221" s="419">
        <f>IF(ISNA(MATCH(AC221,N219:N228,0)),0,VLOOKUP(AC221,N219:S228,5,FALSE))</f>
        <v>0</v>
      </c>
      <c r="AF221" s="419" t="str">
        <f>IF(ISNA(MATCH(AC221,T219:T228,0))," ",VLOOKUP(AC221,T219:Y228,5,FALSE))</f>
        <v xml:space="preserve"> </v>
      </c>
      <c r="AG221" s="419">
        <f>IF(ISNA(MATCH(AC221,L219:L226,0)),0,VLOOKUP(AC221,L219:N226,3,FALSE))</f>
        <v>0</v>
      </c>
      <c r="AH221" s="419">
        <f>IF(ISNA(MATCH(AC221,R219:R226,0)),0,VLOOKUP(AC221,R219:T226,3,FALSE))</f>
        <v>0</v>
      </c>
      <c r="AI221" s="419">
        <f>IF(ISNA(MATCH(AC221,L219:L226,0)),0,VLOOKUP(AC221,L219:P226,4,FALSE))</f>
        <v>0</v>
      </c>
      <c r="AJ221" s="419">
        <f>IF(ISNA(MATCH(AC221,R219:R226,0)),0,VLOOKUP(AC221,R219:U226,4,FALSE))</f>
        <v>0</v>
      </c>
      <c r="AK221" s="32">
        <f t="shared" si="185"/>
        <v>0</v>
      </c>
      <c r="AL221" s="32">
        <f t="shared" si="186"/>
        <v>0</v>
      </c>
      <c r="AM221" s="32">
        <f>IF(ISNA(MATCH(AC221,L219:L226,0)),0,VLOOKUP(AC221,L219:W226,AM$1,FALSE))</f>
        <v>0</v>
      </c>
      <c r="AN221" s="146">
        <f>IF(ISNA(MATCH(AC221,R219:R226,0)),0,VLOOKUP(AC221,R219:W226,AN$1,FALSE))</f>
        <v>0</v>
      </c>
      <c r="AP221" s="927"/>
      <c r="AQ221" s="927"/>
    </row>
    <row r="222" spans="1:47" ht="15.6" x14ac:dyDescent="0.3">
      <c r="A222" s="417">
        <f t="shared" si="187"/>
        <v>194</v>
      </c>
      <c r="B222" s="362" t="str">
        <f>'Event Details'!D$25</f>
        <v>R</v>
      </c>
      <c r="C222" s="381" t="str">
        <f>'Event Details'!E$25</f>
        <v>Rugby &amp; N'hampton</v>
      </c>
      <c r="D222" s="379"/>
      <c r="E222" s="378"/>
      <c r="F222" s="363" t="str">
        <f>VLOOKUP($B218,IF($H218="F",TeamSheetFemale,TeamSheetMale),$Y222-1,FALSE)</f>
        <v>R</v>
      </c>
      <c r="G222" s="380" t="str">
        <f>VLOOKUP($B218,IF($H218="F",TeamSheetFemale,TeamSheetMale),$Y222,FALSE)</f>
        <v>Olivia Clarke</v>
      </c>
      <c r="H222" s="363" t="str">
        <f>VLOOKUP($B218,IF($H218="F",TeamSheetFemale,TeamSheetMale),$Y222+1,FALSE)</f>
        <v>RR</v>
      </c>
      <c r="I222" s="364">
        <f>VLOOKUP($B218,IF($H218="F",TeamSheetFemale,TeamSheetMale),$Y222+2,FALSE)</f>
        <v>0</v>
      </c>
      <c r="K222" s="341" t="s">
        <v>274</v>
      </c>
      <c r="L222" s="16" t="str">
        <f t="shared" si="180"/>
        <v>F</v>
      </c>
      <c r="M222" s="927" t="s">
        <v>142</v>
      </c>
      <c r="N222" s="927">
        <v>18.2</v>
      </c>
      <c r="O222" s="354" t="str">
        <f>IF(LEN($M222)=1,VLOOKUP(LEFT($M222,1),B219:I226,5,FALSE),IF(LEN($M222)=2,VLOOKUP(LEFT($M222,1),B219:I226,7,FALSE),""))</f>
        <v>F</v>
      </c>
      <c r="P222" s="410" t="str">
        <f>IF(LEN($M222)=1,VLOOKUP(LEFT($M222,1),B219:I226,6,FALSE),IF(LEN($M222)=2,VLOOKUP(LEFT($M222,1),B219:I226,8,FALSE),""))</f>
        <v>Sophie Godber</v>
      </c>
      <c r="Q222" s="371" t="s">
        <v>274</v>
      </c>
      <c r="R222" s="146" t="str">
        <f t="shared" si="181"/>
        <v/>
      </c>
      <c r="S222" s="927"/>
      <c r="T222" s="927"/>
      <c r="U222" s="354" t="str">
        <f>IF(LEN($S222)=1,VLOOKUP(LEFT($S222,1),B219:I226,5,FALSE),IF(LEN($S222)=2,VLOOKUP(LEFT($S222,1),B219:I226,7,FALSE),""))</f>
        <v/>
      </c>
      <c r="V222" s="410" t="str">
        <f>IF(LEN($S222)=1,VLOOKUP(LEFT($S222,1),B219:I226,6,FALSE),IF(LEN($S222)=2,VLOOKUP(LEFT($S222,1),B219:I226,8,FALSE),""))</f>
        <v/>
      </c>
      <c r="W222" s="417">
        <f t="shared" si="188"/>
        <v>5</v>
      </c>
      <c r="Y222" s="16">
        <v>22</v>
      </c>
      <c r="Z222" s="16" t="str">
        <f t="shared" si="182"/>
        <v>Tam</v>
      </c>
      <c r="AA222" s="146">
        <f t="shared" si="183"/>
        <v>0</v>
      </c>
      <c r="AC222" s="16" t="str">
        <f t="shared" si="184"/>
        <v>R</v>
      </c>
      <c r="AD222" s="419" t="str">
        <f t="shared" si="184"/>
        <v>Rugby &amp; N'hampton</v>
      </c>
      <c r="AE222" s="419">
        <f>IF(ISNA(MATCH(AC222,N219:N228,0)),0,VLOOKUP(AC222,N219:S228,5,FALSE))</f>
        <v>0</v>
      </c>
      <c r="AF222" s="419" t="str">
        <f>IF(ISNA(MATCH(AC222,T219:T228,0))," ",VLOOKUP(AC222,T219:Y228,5,FALSE))</f>
        <v xml:space="preserve"> </v>
      </c>
      <c r="AG222" s="419">
        <f>IF(ISNA(MATCH(AC222,L219:L226,0)),0,VLOOKUP(AC222,L219:N226,3,FALSE))</f>
        <v>18.2</v>
      </c>
      <c r="AH222" s="419">
        <f>IF(ISNA(MATCH(AC222,R219:R226,0)),0,VLOOKUP(AC222,R219:T226,3,FALSE))</f>
        <v>0</v>
      </c>
      <c r="AI222" s="419" t="str">
        <f>IF(ISNA(MATCH(AC222,L219:L226,0)),0,VLOOKUP(AC222,L219:P226,4,FALSE))</f>
        <v>R</v>
      </c>
      <c r="AJ222" s="419">
        <f>IF(ISNA(MATCH(AC222,R219:R226,0)),0,VLOOKUP(AC222,R219:U226,4,FALSE))</f>
        <v>0</v>
      </c>
      <c r="AK222" s="32">
        <f t="shared" si="185"/>
        <v>3</v>
      </c>
      <c r="AL222" s="32">
        <f t="shared" si="186"/>
        <v>0</v>
      </c>
      <c r="AM222" s="32">
        <f>IF(ISNA(MATCH(AC222,L219:L226,0)),0,VLOOKUP(AC222,L219:W226,AM$1,FALSE))</f>
        <v>6</v>
      </c>
      <c r="AN222" s="146">
        <f>IF(ISNA(MATCH(AC222,R219:R226,0)),0,VLOOKUP(AC222,R219:W226,AN$1,FALSE))</f>
        <v>0</v>
      </c>
      <c r="AP222" s="927"/>
      <c r="AQ222" s="927"/>
    </row>
    <row r="223" spans="1:47" ht="15.6" x14ac:dyDescent="0.3">
      <c r="A223" s="417">
        <f t="shared" si="187"/>
        <v>195</v>
      </c>
      <c r="B223" s="362" t="str">
        <f>'Event Details'!D$26</f>
        <v>M</v>
      </c>
      <c r="C223" s="381" t="str">
        <f>'Event Details'!E$26</f>
        <v>Solihull &amp; S.Heath</v>
      </c>
      <c r="D223" s="379"/>
      <c r="E223" s="378"/>
      <c r="F223" s="363">
        <f>VLOOKUP($B218,IF($H218="F",TeamSheetFemale,TeamSheetMale),$Y223-1,FALSE)</f>
        <v>0</v>
      </c>
      <c r="G223" s="380">
        <f>VLOOKUP($B218,IF($H218="F",TeamSheetFemale,TeamSheetMale),$Y223,FALSE)</f>
        <v>0</v>
      </c>
      <c r="H223" s="363">
        <f>VLOOKUP($B218,IF($H218="F",TeamSheetFemale,TeamSheetMale),$Y223+1,FALSE)</f>
        <v>0</v>
      </c>
      <c r="I223" s="364">
        <f>VLOOKUP($B218,IF($H218="F",TeamSheetFemale,TeamSheetMale),$Y223+2,FALSE)</f>
        <v>0</v>
      </c>
      <c r="K223" s="341" t="s">
        <v>275</v>
      </c>
      <c r="L223" s="16" t="str">
        <f t="shared" si="180"/>
        <v/>
      </c>
      <c r="M223" s="927"/>
      <c r="N223" s="927"/>
      <c r="O223" s="354" t="str">
        <f>IF(LEN($M223)=1,VLOOKUP(LEFT($M223,1),B219:I226,5,FALSE),IF(LEN($M223)=2,VLOOKUP(LEFT($M223,1),B219:I226,7,FALSE),""))</f>
        <v/>
      </c>
      <c r="P223" s="410" t="str">
        <f>IF(LEN($M223)=1,VLOOKUP(LEFT($M223,1),B219:I226,6,FALSE),IF(LEN($M223)=2,VLOOKUP(LEFT($M223,1),B219:I226,8,FALSE),""))</f>
        <v/>
      </c>
      <c r="Q223" s="371" t="s">
        <v>275</v>
      </c>
      <c r="R223" s="146" t="str">
        <f t="shared" si="181"/>
        <v/>
      </c>
      <c r="S223" s="927"/>
      <c r="T223" s="927"/>
      <c r="U223" s="354" t="str">
        <f>IF(LEN($S223)=1,VLOOKUP(LEFT($S223,1),B219:I226,5,FALSE),IF(LEN($S223)=2,VLOOKUP(LEFT($S223,1),B219:I226,7,FALSE),""))</f>
        <v/>
      </c>
      <c r="V223" s="410" t="str">
        <f>IF(LEN($S223)=1,VLOOKUP(LEFT($S223,1),B219:I226,6,FALSE),IF(LEN($S223)=2,VLOOKUP(LEFT($S223,1),B219:I226,8,FALSE),""))</f>
        <v/>
      </c>
      <c r="W223" s="417">
        <f t="shared" si="188"/>
        <v>4</v>
      </c>
      <c r="Y223" s="16">
        <v>27</v>
      </c>
      <c r="Z223" s="16">
        <f t="shared" si="182"/>
        <v>0</v>
      </c>
      <c r="AA223" s="146">
        <f t="shared" si="183"/>
        <v>0</v>
      </c>
      <c r="AC223" s="16" t="str">
        <f t="shared" si="184"/>
        <v>M</v>
      </c>
      <c r="AD223" s="419" t="str">
        <f t="shared" si="184"/>
        <v>Solihull &amp; S.Heath</v>
      </c>
      <c r="AE223" s="419">
        <f>IF(ISNA(MATCH(AC223,N219:N228,0)),0,VLOOKUP(AC223,N219:S228,5,FALSE))</f>
        <v>0</v>
      </c>
      <c r="AF223" s="419" t="str">
        <f>IF(ISNA(MATCH(AC223,T219:T228,0))," ",VLOOKUP(AC223,T219:Y228,5,FALSE))</f>
        <v xml:space="preserve"> </v>
      </c>
      <c r="AG223" s="419">
        <f>IF(ISNA(MATCH(AC223,L219:L226,0)),0,VLOOKUP(AC223,L219:N226,3,FALSE))</f>
        <v>0</v>
      </c>
      <c r="AH223" s="419">
        <f>IF(ISNA(MATCH(AC223,R219:R226,0)),0,VLOOKUP(AC223,R219:T226,3,FALSE))</f>
        <v>0</v>
      </c>
      <c r="AI223" s="419">
        <f>IF(ISNA(MATCH(AC223,L219:L226,0)),0,VLOOKUP(AC223,L219:P226,4,FALSE))</f>
        <v>0</v>
      </c>
      <c r="AJ223" s="419">
        <f>IF(ISNA(MATCH(AC223,R219:R226,0)),0,VLOOKUP(AC223,R219:U226,4,FALSE))</f>
        <v>0</v>
      </c>
      <c r="AK223" s="32">
        <f t="shared" si="185"/>
        <v>0</v>
      </c>
      <c r="AL223" s="32">
        <f t="shared" si="186"/>
        <v>0</v>
      </c>
      <c r="AM223" s="32">
        <f>IF(ISNA(MATCH(AC223,L219:L226,0)),0,VLOOKUP(AC223,L219:W226,AM$1,FALSE))</f>
        <v>0</v>
      </c>
      <c r="AN223" s="146">
        <f>IF(ISNA(MATCH(AC223,R219:R226,0)),0,VLOOKUP(AC223,R219:W226,AN$1,FALSE))</f>
        <v>0</v>
      </c>
      <c r="AP223" s="927"/>
      <c r="AQ223" s="927"/>
    </row>
    <row r="224" spans="1:47" ht="15.6" x14ac:dyDescent="0.3">
      <c r="A224" s="417">
        <f t="shared" si="187"/>
        <v>196</v>
      </c>
      <c r="B224" s="362" t="str">
        <f>'Event Details'!D$27</f>
        <v>D</v>
      </c>
      <c r="C224" s="381" t="str">
        <f>'Event Details'!E$27</f>
        <v>Stratford</v>
      </c>
      <c r="D224" s="379"/>
      <c r="E224" s="378"/>
      <c r="F224" s="363" t="str">
        <f>VLOOKUP($B218,IF($H218="F",TeamSheetFemale,TeamSheetMale),$Y224-1,FALSE)</f>
        <v>D</v>
      </c>
      <c r="G224" s="380" t="str">
        <f>VLOOKUP($B218,IF($H218="F",TeamSheetFemale,TeamSheetMale),$Y224,FALSE)</f>
        <v>Darcie Nicholls</v>
      </c>
      <c r="H224" s="363" t="str">
        <f>VLOOKUP($B218,IF($H218="F",TeamSheetFemale,TeamSheetMale),$Y224+1,FALSE)</f>
        <v>DD</v>
      </c>
      <c r="I224" s="364" t="str">
        <f>VLOOKUP($B218,IF($H218="F",TeamSheetFemale,TeamSheetMale),$Y224+2,FALSE)</f>
        <v>Ava Sheppard</v>
      </c>
      <c r="K224" s="341" t="s">
        <v>276</v>
      </c>
      <c r="L224" s="16" t="str">
        <f t="shared" si="180"/>
        <v/>
      </c>
      <c r="M224" s="927"/>
      <c r="N224" s="927"/>
      <c r="O224" s="354" t="str">
        <f>IF(LEN($M224)=1,VLOOKUP(LEFT($M224,1),B219:I226,5,FALSE),IF(LEN($M224)=2,VLOOKUP(LEFT($M224,1),B219:I226,7,FALSE),""))</f>
        <v/>
      </c>
      <c r="P224" s="410" t="str">
        <f>IF(LEN($M224)=1,VLOOKUP(LEFT($M224,1),B219:I226,6,FALSE),IF(LEN($M224)=2,VLOOKUP(LEFT($M224,1),B219:I226,8,FALSE),""))</f>
        <v/>
      </c>
      <c r="Q224" s="371" t="s">
        <v>276</v>
      </c>
      <c r="R224" s="146" t="str">
        <f t="shared" si="181"/>
        <v/>
      </c>
      <c r="S224" s="927"/>
      <c r="T224" s="927"/>
      <c r="U224" s="354" t="str">
        <f>IF(LEN($S224)=1,VLOOKUP(LEFT($S224,1),B219:I226,5,FALSE),IF(LEN($S224)=2,VLOOKUP(LEFT($S224,1),B219:I226,7,FALSE),""))</f>
        <v/>
      </c>
      <c r="V224" s="410" t="str">
        <f>IF(LEN($S224)=1,VLOOKUP(LEFT($S224,1),B219:I226,6,FALSE),IF(LEN($S224)=2,VLOOKUP(LEFT($S224,1),B219:I226,8,FALSE),""))</f>
        <v/>
      </c>
      <c r="W224" s="417">
        <f t="shared" si="188"/>
        <v>3</v>
      </c>
      <c r="Y224" s="16">
        <v>32</v>
      </c>
      <c r="Z224" s="16">
        <f t="shared" si="182"/>
        <v>0</v>
      </c>
      <c r="AA224" s="146">
        <f t="shared" si="183"/>
        <v>0</v>
      </c>
      <c r="AC224" s="16" t="str">
        <f t="shared" si="184"/>
        <v>D</v>
      </c>
      <c r="AD224" s="419" t="str">
        <f t="shared" si="184"/>
        <v>Stratford</v>
      </c>
      <c r="AE224" s="419">
        <f>IF(ISNA(MATCH(AC224,N219:N228,0)),0,VLOOKUP(AC224,N219:S228,5,FALSE))</f>
        <v>0</v>
      </c>
      <c r="AF224" s="419" t="str">
        <f>IF(ISNA(MATCH(AC224,T219:T228,0))," ",VLOOKUP(AC224,T219:Y228,5,FALSE))</f>
        <v xml:space="preserve"> </v>
      </c>
      <c r="AG224" s="419">
        <f>IF(ISNA(MATCH(AC224,L219:L226,0)),0,VLOOKUP(AC224,L219:N226,3,FALSE))</f>
        <v>16.7</v>
      </c>
      <c r="AH224" s="419">
        <f>IF(ISNA(MATCH(AC224,R219:R226,0)),0,VLOOKUP(AC224,R219:T226,3,FALSE))</f>
        <v>16.8</v>
      </c>
      <c r="AI224" s="419" t="str">
        <f>IF(ISNA(MATCH(AC224,L219:L226,0)),0,VLOOKUP(AC224,L219:P226,4,FALSE))</f>
        <v>D</v>
      </c>
      <c r="AJ224" s="419" t="str">
        <f>IF(ISNA(MATCH(AC224,R219:R226,0)),0,VLOOKUP(AC224,R219:U226,4,FALSE))</f>
        <v>DD</v>
      </c>
      <c r="AK224" s="32">
        <f t="shared" si="185"/>
        <v>1</v>
      </c>
      <c r="AL224" s="32">
        <f t="shared" si="186"/>
        <v>1</v>
      </c>
      <c r="AM224" s="32">
        <f>IF(ISNA(MATCH(AC224,L219:L226,0)),0,VLOOKUP(AC224,L219:W226,AM$1,FALSE))</f>
        <v>8</v>
      </c>
      <c r="AN224" s="146">
        <f>IF(ISNA(MATCH(AC224,R219:R226,0)),0,VLOOKUP(AC224,R219:W226,AN$1,FALSE))</f>
        <v>8</v>
      </c>
      <c r="AP224" s="927"/>
      <c r="AQ224" s="927"/>
    </row>
    <row r="225" spans="1:47" ht="15.6" x14ac:dyDescent="0.3">
      <c r="A225" s="417">
        <f t="shared" si="187"/>
        <v>197</v>
      </c>
      <c r="B225" s="362" t="str">
        <f>'Event Details'!D$28</f>
        <v>F</v>
      </c>
      <c r="C225" s="381" t="str">
        <f>'Event Details'!E$28</f>
        <v>Tamworth</v>
      </c>
      <c r="D225" s="379"/>
      <c r="E225" s="378"/>
      <c r="F225" s="363" t="str">
        <f>VLOOKUP($B218,IF($H218="F",TeamSheetFemale,TeamSheetMale),$Y225-1,FALSE)</f>
        <v>F</v>
      </c>
      <c r="G225" s="380" t="str">
        <f>VLOOKUP($B218,IF($H218="F",TeamSheetFemale,TeamSheetMale),$Y225,FALSE)</f>
        <v>Sophie Godber</v>
      </c>
      <c r="H225" s="363">
        <f>VLOOKUP($B218,IF($H218="F",TeamSheetFemale,TeamSheetMale),$Y225+1,FALSE)</f>
        <v>0</v>
      </c>
      <c r="I225" s="364">
        <f>VLOOKUP($B218,IF($H218="F",TeamSheetFemale,TeamSheetMale),$Y225+2,FALSE)</f>
        <v>0</v>
      </c>
      <c r="K225" s="341" t="s">
        <v>277</v>
      </c>
      <c r="L225" s="16" t="str">
        <f t="shared" si="180"/>
        <v/>
      </c>
      <c r="M225" s="927"/>
      <c r="N225" s="927"/>
      <c r="O225" s="354" t="str">
        <f>IF(LEN($M225)=1,VLOOKUP(LEFT($M225,1),B219:I226,5,FALSE),IF(LEN($M225)=2,VLOOKUP(LEFT($M225,1),B219:I226,7,FALSE),""))</f>
        <v/>
      </c>
      <c r="P225" s="410" t="str">
        <f>IF(LEN($M225)=1,VLOOKUP(LEFT($M225,1),B219:I226,6,FALSE),IF(LEN($M225)=2,VLOOKUP(LEFT($M225,1),B219:I226,8,FALSE),""))</f>
        <v/>
      </c>
      <c r="Q225" s="371" t="s">
        <v>277</v>
      </c>
      <c r="R225" s="146" t="str">
        <f t="shared" si="181"/>
        <v/>
      </c>
      <c r="S225" s="927"/>
      <c r="T225" s="927"/>
      <c r="U225" s="354" t="str">
        <f>IF(LEN($S225)=1,VLOOKUP(LEFT($S225,1),B219:I226,5,FALSE),IF(LEN($S225)=2,VLOOKUP(LEFT($S225,1),B219:I226,7,FALSE),""))</f>
        <v/>
      </c>
      <c r="V225" s="410" t="str">
        <f>IF(LEN($S225)=1,VLOOKUP(LEFT($S225,1),B219:I226,6,FALSE),IF(LEN($S225)=2,VLOOKUP(LEFT($S225,1),B219:I226,8,FALSE),""))</f>
        <v/>
      </c>
      <c r="W225" s="417">
        <f t="shared" si="188"/>
        <v>2</v>
      </c>
      <c r="Y225" s="16">
        <v>37</v>
      </c>
      <c r="Z225" s="16">
        <f t="shared" si="182"/>
        <v>0</v>
      </c>
      <c r="AA225" s="146">
        <f t="shared" si="183"/>
        <v>0</v>
      </c>
      <c r="AC225" s="16" t="str">
        <f t="shared" si="184"/>
        <v>F</v>
      </c>
      <c r="AD225" s="419" t="str">
        <f t="shared" si="184"/>
        <v>Tamworth</v>
      </c>
      <c r="AE225" s="419">
        <f>IF(ISNA(MATCH(AC225,N217:N226,0)),0,VLOOKUP(AC225,N217:S226,5,FALSE))</f>
        <v>0</v>
      </c>
      <c r="AF225" s="419" t="str">
        <f>IF(ISNA(MATCH(AC225,T217:T226,0))," ",VLOOKUP(AC225,T217:Y226,5,FALSE))</f>
        <v xml:space="preserve"> </v>
      </c>
      <c r="AG225" s="419">
        <f>IF(ISNA(MATCH(AC225,L219:L226,0)),0,VLOOKUP(AC225,L219:N226,3,FALSE))</f>
        <v>18.2</v>
      </c>
      <c r="AH225" s="419">
        <f>IF(ISNA(MATCH(AC225,R219:R226,0)),0,VLOOKUP(AC225,R219:T226,3,FALSE))</f>
        <v>0</v>
      </c>
      <c r="AI225" s="419" t="str">
        <f>IF(ISNA(MATCH(AC225,L219:L226,0)),0,VLOOKUP(AC225,L219:P226,4,FALSE))</f>
        <v>F</v>
      </c>
      <c r="AJ225" s="419">
        <f>IF(ISNA(MATCH(AC225,R219:R226,0)),0,VLOOKUP(AC225,R219:U226,4,FALSE))</f>
        <v>0</v>
      </c>
      <c r="AK225" s="32">
        <f t="shared" si="185"/>
        <v>4</v>
      </c>
      <c r="AL225" s="32">
        <f t="shared" si="186"/>
        <v>0</v>
      </c>
      <c r="AM225" s="32">
        <f>IF(ISNA(MATCH(AC225,L219:L226,0)),0,VLOOKUP(AC225,L219:W226,AM$1,FALSE))</f>
        <v>5</v>
      </c>
      <c r="AN225" s="146">
        <f>IF(ISNA(MATCH(AC225,R219:R226,0)),0,VLOOKUP(AC225,R219:W226,AN$1,FALSE))</f>
        <v>0</v>
      </c>
      <c r="AP225" s="927"/>
      <c r="AQ225" s="927"/>
    </row>
    <row r="226" spans="1:47" ht="16.2" thickBot="1" x14ac:dyDescent="0.35">
      <c r="A226" s="418">
        <f t="shared" si="187"/>
        <v>198</v>
      </c>
      <c r="B226" s="365" t="str">
        <f>'Event Details'!D$29</f>
        <v>Y</v>
      </c>
      <c r="C226" s="366" t="str">
        <f>'Event Details'!E$29</f>
        <v>Worcester</v>
      </c>
      <c r="D226" s="361"/>
      <c r="E226" s="370"/>
      <c r="F226" s="367">
        <f>VLOOKUP($B218,IF($H218="F",TeamSheetFemale,TeamSheetMale),$Y226-1,FALSE)</f>
        <v>0</v>
      </c>
      <c r="G226" s="368">
        <f>VLOOKUP($B218,IF($H218="F",TeamSheetFemale,TeamSheetMale),$Y226,FALSE)</f>
        <v>0</v>
      </c>
      <c r="H226" s="367">
        <f>VLOOKUP($B218,IF($H218="F",TeamSheetFemale,TeamSheetMale),$Y226+1,FALSE)</f>
        <v>0</v>
      </c>
      <c r="I226" s="369">
        <f>VLOOKUP($B218,IF($H218="F",TeamSheetFemale,TeamSheetMale),$Y226+2,FALSE)</f>
        <v>0</v>
      </c>
      <c r="K226" s="346" t="s">
        <v>278</v>
      </c>
      <c r="L226" s="25" t="str">
        <f t="shared" si="180"/>
        <v/>
      </c>
      <c r="M226" s="932"/>
      <c r="N226" s="932"/>
      <c r="O226" s="374" t="str">
        <f>IF(LEN($M226)=1,VLOOKUP(LEFT($M226,1),B219:I226,5,FALSE),IF(LEN($M226)=2,VLOOKUP(LEFT($M226,1),B219:I226,7,FALSE),""))</f>
        <v/>
      </c>
      <c r="P226" s="411" t="str">
        <f>IF(LEN($M226)=1,VLOOKUP(LEFT($M226,1),B219:I226,6,FALSE),IF(LEN($M226)=2,VLOOKUP(LEFT($M226,1),B219:I226,8,FALSE),""))</f>
        <v/>
      </c>
      <c r="Q226" s="407" t="s">
        <v>278</v>
      </c>
      <c r="R226" s="523" t="str">
        <f t="shared" si="181"/>
        <v/>
      </c>
      <c r="S226" s="932"/>
      <c r="T226" s="932"/>
      <c r="U226" s="374" t="str">
        <f>IF(LEN($S226)=1,VLOOKUP(LEFT($S226,1),B219:I226,5,FALSE),IF(LEN($S226)=2,VLOOKUP(LEFT($S226,1),B219:I226,7,FALSE),""))</f>
        <v/>
      </c>
      <c r="V226" s="411" t="str">
        <f>IF(LEN($S226)=1,VLOOKUP(LEFT($S226,1),B219:I226,6,FALSE),IF(LEN($S226)=2,VLOOKUP(LEFT($S226,1),B219:I226,8,FALSE),""))</f>
        <v/>
      </c>
      <c r="W226" s="418">
        <f t="shared" si="188"/>
        <v>1</v>
      </c>
      <c r="Y226" s="25">
        <v>42</v>
      </c>
      <c r="Z226" s="25">
        <f t="shared" si="182"/>
        <v>0</v>
      </c>
      <c r="AA226" s="523">
        <f t="shared" si="183"/>
        <v>0</v>
      </c>
      <c r="AC226" s="25" t="str">
        <f t="shared" si="184"/>
        <v>Y</v>
      </c>
      <c r="AD226" s="624" t="str">
        <f t="shared" si="184"/>
        <v>Worcester</v>
      </c>
      <c r="AE226" s="624">
        <f>IF(ISNA(MATCH(AC226,N218:N227,0)),0,VLOOKUP(AC226,N218:S227,5,FALSE))</f>
        <v>0</v>
      </c>
      <c r="AF226" s="624" t="str">
        <f t="shared" ref="AF226" si="189">IF(ISNA(MATCH(AC226,T218:T227,0))," ",VLOOKUP(AC226,T218:Y227,5,FALSE))</f>
        <v xml:space="preserve"> </v>
      </c>
      <c r="AG226" s="624">
        <f>IF(ISNA(MATCH(AC226,L219:L226,0)),0,VLOOKUP(AC226,L219:N226,3,FALSE))</f>
        <v>0</v>
      </c>
      <c r="AH226" s="624">
        <f>IF(ISNA(MATCH(AC226,R219:R226,0)),0,VLOOKUP(AC226,R219:T226,3,FALSE))</f>
        <v>0</v>
      </c>
      <c r="AI226" s="624">
        <f>IF(ISNA(MATCH(AC226,L219:L226,0)),0,VLOOKUP(AC226,L219:P226,4,FALSE))</f>
        <v>0</v>
      </c>
      <c r="AJ226" s="624">
        <f>IF(ISNA(MATCH(AC226,R219:R226,0)),0,VLOOKUP(AC226,R219:U226,4,FALSE))</f>
        <v>0</v>
      </c>
      <c r="AK226" s="116">
        <f t="shared" si="185"/>
        <v>0</v>
      </c>
      <c r="AL226" s="116">
        <f t="shared" si="186"/>
        <v>0</v>
      </c>
      <c r="AM226" s="116">
        <f>IF(ISNA(MATCH(AC226,L219:L226,0)),0,VLOOKUP(AC226,L219:W226,AM$1,FALSE))</f>
        <v>0</v>
      </c>
      <c r="AN226" s="523">
        <f>IF(ISNA(MATCH(AC226,R219:R226,0)),0,VLOOKUP(AC226,R219:W226,AN$1,FALSE))</f>
        <v>0</v>
      </c>
      <c r="AP226" s="932"/>
      <c r="AQ226" s="932"/>
    </row>
    <row r="227" spans="1:47" ht="15" thickBot="1" x14ac:dyDescent="0.35">
      <c r="M227" s="276"/>
      <c r="N227" s="307"/>
      <c r="S227" s="276"/>
      <c r="T227" s="307"/>
      <c r="AP227" s="276"/>
      <c r="AQ227" s="307"/>
    </row>
    <row r="228" spans="1:47" x14ac:dyDescent="0.3">
      <c r="B228" s="400" t="s">
        <v>258</v>
      </c>
      <c r="C228" s="398"/>
      <c r="D228" s="401" t="s">
        <v>165</v>
      </c>
      <c r="E228" s="398"/>
      <c r="F228" s="398"/>
      <c r="G228" s="402" t="s">
        <v>259</v>
      </c>
      <c r="H228" s="403" t="s">
        <v>249</v>
      </c>
      <c r="I228" s="404" t="s">
        <v>168</v>
      </c>
      <c r="K228" s="360"/>
      <c r="L228" s="661"/>
      <c r="M228" s="387" t="s">
        <v>260</v>
      </c>
      <c r="N228" s="387" t="s">
        <v>261</v>
      </c>
      <c r="O228" s="387" t="s">
        <v>262</v>
      </c>
      <c r="P228" s="388" t="s">
        <v>75</v>
      </c>
      <c r="Q228" s="389"/>
      <c r="R228" s="657"/>
      <c r="S228" s="387" t="s">
        <v>260</v>
      </c>
      <c r="T228" s="387" t="s">
        <v>261</v>
      </c>
      <c r="U228" s="387" t="s">
        <v>262</v>
      </c>
      <c r="V228" s="388" t="s">
        <v>75</v>
      </c>
      <c r="W228" s="672" t="s">
        <v>76</v>
      </c>
      <c r="Y228" s="414" t="s">
        <v>263</v>
      </c>
      <c r="Z228" s="656" t="s">
        <v>74</v>
      </c>
      <c r="AA228" s="657" t="s">
        <v>75</v>
      </c>
      <c r="AC228" s="665" t="s">
        <v>71</v>
      </c>
      <c r="AD228" s="657" t="s">
        <v>86</v>
      </c>
      <c r="AE228" s="661" t="s">
        <v>149</v>
      </c>
      <c r="AF228" s="661" t="s">
        <v>94</v>
      </c>
      <c r="AG228" s="661" t="s">
        <v>149</v>
      </c>
      <c r="AH228" s="661" t="s">
        <v>94</v>
      </c>
      <c r="AI228" s="661" t="s">
        <v>149</v>
      </c>
      <c r="AJ228" s="661" t="s">
        <v>94</v>
      </c>
      <c r="AK228" s="1332" t="s">
        <v>149</v>
      </c>
      <c r="AL228" s="661" t="s">
        <v>94</v>
      </c>
      <c r="AM228" s="1406" t="s">
        <v>76</v>
      </c>
      <c r="AN228" s="1407"/>
      <c r="AP228" s="387" t="s">
        <v>260</v>
      </c>
      <c r="AQ228" s="387" t="s">
        <v>261</v>
      </c>
      <c r="AS228" s="1218" t="s">
        <v>165</v>
      </c>
      <c r="AT228" s="1219" t="s">
        <v>79</v>
      </c>
      <c r="AU228" s="1220" t="s">
        <v>80</v>
      </c>
    </row>
    <row r="229" spans="1:47" ht="15" thickBot="1" x14ac:dyDescent="0.35">
      <c r="B229" s="405">
        <v>20</v>
      </c>
      <c r="C229" s="399"/>
      <c r="D229" s="385" t="str">
        <f>VLOOKUP($B229,EventOrder,6,FALSE)</f>
        <v xml:space="preserve">100m hurdles </v>
      </c>
      <c r="E229" s="399"/>
      <c r="F229" s="385"/>
      <c r="G229" s="386" t="str">
        <f>VLOOKUP($B229,EventOrder,4,FALSE)</f>
        <v>U16 Male</v>
      </c>
      <c r="H229" s="396" t="str">
        <f>IF(MID(G229,5,1)="F","F","M")</f>
        <v>M</v>
      </c>
      <c r="I229" s="397">
        <f>VLOOKUP($B229,EventOrder,2,FALSE)</f>
        <v>12.5</v>
      </c>
      <c r="K229" s="377"/>
      <c r="L229" s="667" t="s">
        <v>149</v>
      </c>
      <c r="M229" s="409" t="s">
        <v>264</v>
      </c>
      <c r="N229" s="409" t="s">
        <v>265</v>
      </c>
      <c r="O229" s="390" t="s">
        <v>266</v>
      </c>
      <c r="P229" s="391"/>
      <c r="Q229" s="392"/>
      <c r="R229" s="659" t="s">
        <v>94</v>
      </c>
      <c r="S229" s="409" t="s">
        <v>264</v>
      </c>
      <c r="T229" s="409" t="s">
        <v>265</v>
      </c>
      <c r="U229" s="390" t="s">
        <v>266</v>
      </c>
      <c r="V229" s="391"/>
      <c r="W229" s="671"/>
      <c r="Y229" s="415" t="s">
        <v>167</v>
      </c>
      <c r="Z229" s="658" t="s">
        <v>149</v>
      </c>
      <c r="AA229" s="659" t="s">
        <v>94</v>
      </c>
      <c r="AC229" s="666"/>
      <c r="AD229" s="668"/>
      <c r="AE229" s="768" t="s">
        <v>75</v>
      </c>
      <c r="AF229" s="768" t="s">
        <v>75</v>
      </c>
      <c r="AG229" s="768" t="s">
        <v>267</v>
      </c>
      <c r="AH229" s="768" t="s">
        <v>267</v>
      </c>
      <c r="AI229" s="768" t="s">
        <v>268</v>
      </c>
      <c r="AJ229" s="768" t="s">
        <v>268</v>
      </c>
      <c r="AK229" s="770" t="s">
        <v>269</v>
      </c>
      <c r="AL229" s="768" t="s">
        <v>269</v>
      </c>
      <c r="AM229" s="667" t="s">
        <v>149</v>
      </c>
      <c r="AN229" s="659" t="s">
        <v>94</v>
      </c>
      <c r="AP229" s="409" t="s">
        <v>264</v>
      </c>
      <c r="AQ229" s="409" t="s">
        <v>265</v>
      </c>
      <c r="AS229" s="1221" t="s">
        <v>270</v>
      </c>
      <c r="AT229" s="1222" t="s">
        <v>270</v>
      </c>
      <c r="AU229" s="1223" t="s">
        <v>270</v>
      </c>
    </row>
    <row r="230" spans="1:47" ht="15.6" x14ac:dyDescent="0.3">
      <c r="A230" s="416">
        <f>(B229*10)+1</f>
        <v>201</v>
      </c>
      <c r="B230" s="362" t="str">
        <f>'Event Details'!D$22</f>
        <v>S</v>
      </c>
      <c r="C230" s="381" t="str">
        <f>'Event Details'!E$22</f>
        <v>BRAT</v>
      </c>
      <c r="D230" s="379"/>
      <c r="E230" s="378"/>
      <c r="F230" s="363" t="str">
        <f>VLOOKUP($B229,IF($H229="F",TeamSheetFemale,TeamSheetMale),$Y230-1,FALSE)</f>
        <v>S</v>
      </c>
      <c r="G230" s="380" t="str">
        <f>VLOOKUP($B229,IF($H229="F",TeamSheetFemale,TeamSheetMale),$Y230,FALSE)</f>
        <v>Bertie Albatov</v>
      </c>
      <c r="H230" s="363" t="str">
        <f>VLOOKUP($B229,IF($H229="F",TeamSheetFemale,TeamSheetMale),$Y230+1,FALSE)</f>
        <v>SS</v>
      </c>
      <c r="I230" s="364" t="str">
        <f>VLOOKUP($B229,IF($H229="F",TeamSheetFemale,TeamSheetMale),$Y230+2,FALSE)</f>
        <v>Eben Ashton</v>
      </c>
      <c r="K230" s="393" t="s">
        <v>271</v>
      </c>
      <c r="L230" s="16" t="str">
        <f t="shared" ref="L230:L237" si="190">LEFT(M230,1)</f>
        <v>D</v>
      </c>
      <c r="M230" s="926" t="s">
        <v>136</v>
      </c>
      <c r="N230" s="926">
        <v>14.8</v>
      </c>
      <c r="O230" s="394" t="str">
        <f>IF(LEN($M230)=1,VLOOKUP(LEFT($M230,1),B230:I237,5,FALSE),IF(LEN($M230)=2,VLOOKUP(LEFT($M230,1),B230:I237,7,FALSE),""))</f>
        <v>D</v>
      </c>
      <c r="P230" s="395" t="str">
        <f>IF(LEN($M230)=1,VLOOKUP(LEFT($M230,1),B230:I237,6,FALSE),IF(LEN($M230)=2,VLOOKUP(LEFT($M230,1),B230:I237,8,FALSE),""))</f>
        <v>Finn Jackson</v>
      </c>
      <c r="Q230" s="393" t="s">
        <v>271</v>
      </c>
      <c r="R230" s="146" t="str">
        <f t="shared" ref="R230:R237" si="191">LEFT(S230,1)</f>
        <v>D</v>
      </c>
      <c r="S230" s="926" t="s">
        <v>513</v>
      </c>
      <c r="T230" s="926">
        <v>15.4</v>
      </c>
      <c r="U230" s="394" t="str">
        <f>IF(LEN($S230)=1,VLOOKUP(LEFT($S230,1),B230:I237,5,FALSE),IF(LEN($S230)=2,VLOOKUP(LEFT($S230,1),B230:I237,7,FALSE),""))</f>
        <v>DD</v>
      </c>
      <c r="V230" s="395" t="str">
        <f>IF(LEN($S230)=1,VLOOKUP(LEFT($S230,1),B230:I237,6,FALSE),IF(LEN($S230)=2,VLOOKUP(LEFT($S230,1),B230:I237,8,FALSE),""))</f>
        <v>Toby Hughes Webb</v>
      </c>
      <c r="W230" s="417">
        <f>AN$6</f>
        <v>8</v>
      </c>
      <c r="Y230" s="416">
        <v>7</v>
      </c>
      <c r="Z230" s="653" t="str">
        <f t="shared" ref="Z230:Z237" si="192">IF(LEN(M230)&gt;0,VLOOKUP(LEFT(M230,1),ShortName,5,FALSE),0)</f>
        <v>Strat</v>
      </c>
      <c r="AA230" s="138" t="str">
        <f t="shared" ref="AA230:AA237" si="193">IF(LEN(S230)&gt;0,VLOOKUP(LEFT(S230,1),ShortName,5,FALSE),0)</f>
        <v>Strat</v>
      </c>
      <c r="AC230" s="16" t="str">
        <f t="shared" ref="AC230:AD237" si="194">B230</f>
        <v>S</v>
      </c>
      <c r="AD230" s="419" t="str">
        <f t="shared" si="194"/>
        <v>BRAT</v>
      </c>
      <c r="AE230" s="635">
        <f>IF(ISNA(MATCH(AC230,N230:N239,0)),0,VLOOKUP(AC230,N230:S239,5,FALSE))</f>
        <v>0</v>
      </c>
      <c r="AF230" s="635" t="str">
        <f>IF(ISNA(MATCH(AC230,T230:T239,0))," ",VLOOKUP(AC230,T230:Y239,5,FALSE))</f>
        <v xml:space="preserve"> </v>
      </c>
      <c r="AG230" s="635">
        <f>IF(ISNA(MATCH(AC230,L230:L237,0)),0,VLOOKUP(AC230,L230:N237,3,FALSE))</f>
        <v>15.4</v>
      </c>
      <c r="AH230" s="635">
        <f>IF(ISNA(MATCH(AC230,R230:R237,0)),0,VLOOKUP(AC230,R230:T237,3,FALSE))</f>
        <v>15.9</v>
      </c>
      <c r="AI230" s="635" t="str">
        <f>IF(ISNA(MATCH(AC230,L230:L237,0)),0,VLOOKUP(AC230,L230:P237,4,FALSE))</f>
        <v>S</v>
      </c>
      <c r="AJ230" s="635" t="str">
        <f>IF(ISNA(MATCH(AC230,R230:R237,0)),0,VLOOKUP(AC230,R230:U237,4,FALSE))</f>
        <v>SS</v>
      </c>
      <c r="AK230" s="49">
        <f t="shared" ref="AK230:AK237" si="195">IF(AM230=0,0,AN$6-(AM230-1))</f>
        <v>3</v>
      </c>
      <c r="AL230" s="49">
        <f t="shared" ref="AL230:AL237" si="196">IF(AN230=0,0,AN$6-(AN230-1))</f>
        <v>2</v>
      </c>
      <c r="AM230" s="49">
        <f>IF(ISNA(MATCH(AC230,L230:L237,0)),0,VLOOKUP(AC230,L230:W237,AM$1,FALSE))</f>
        <v>6</v>
      </c>
      <c r="AN230" s="138">
        <f>IF(ISNA(MATCH(AC230,R230:R237,0)),0,VLOOKUP(AC230,R230:W237,AN$1,FALSE))</f>
        <v>7</v>
      </c>
      <c r="AP230" s="926"/>
      <c r="AQ230" s="926"/>
      <c r="AS230" s="32">
        <f>IF(LEN(N230)&gt;0,1,0)</f>
        <v>1</v>
      </c>
      <c r="AT230" s="32">
        <f>IF(AND(AS230=1,H229="M"),1,0)</f>
        <v>1</v>
      </c>
      <c r="AU230" s="32">
        <f>IF(AND(AS230=1,H229="F"),1,0)</f>
        <v>0</v>
      </c>
    </row>
    <row r="231" spans="1:47" ht="15.6" x14ac:dyDescent="0.3">
      <c r="A231" s="417">
        <f>A230+1</f>
        <v>202</v>
      </c>
      <c r="B231" s="362" t="str">
        <f>'Event Details'!D$23</f>
        <v>U</v>
      </c>
      <c r="C231" s="381" t="str">
        <f>'Event Details'!E$23</f>
        <v>Kidder &amp; Stourport</v>
      </c>
      <c r="D231" s="379"/>
      <c r="E231" s="378"/>
      <c r="F231" s="363" t="str">
        <f>VLOOKUP($B229,IF($H229="F",TeamSheetFemale,TeamSheetMale),$Y231-1,FALSE)</f>
        <v>U</v>
      </c>
      <c r="G231" s="380" t="str">
        <f>VLOOKUP($B229,IF($H229="F",TeamSheetFemale,TeamSheetMale),$Y231,FALSE)</f>
        <v>Harry Morton</v>
      </c>
      <c r="H231" s="363">
        <f>VLOOKUP($B229,IF($H229="F",TeamSheetFemale,TeamSheetMale),$Y231+1,FALSE)</f>
        <v>0</v>
      </c>
      <c r="I231" s="364">
        <f>VLOOKUP($B229,IF($H229="F",TeamSheetFemale,TeamSheetMale),$Y231+2,FALSE)</f>
        <v>0</v>
      </c>
      <c r="K231" s="341" t="s">
        <v>272</v>
      </c>
      <c r="L231" s="16" t="str">
        <f t="shared" si="190"/>
        <v>R</v>
      </c>
      <c r="M231" s="927" t="s">
        <v>118</v>
      </c>
      <c r="N231" s="927">
        <v>15.3</v>
      </c>
      <c r="O231" s="353" t="str">
        <f>IF(LEN($M231)=1,VLOOKUP(LEFT($M231,1),B230:I237,5,FALSE),IF(LEN($M231)=2,VLOOKUP(LEFT($M231,1),B230:I237,7,FALSE),""))</f>
        <v>R</v>
      </c>
      <c r="P231" s="373" t="str">
        <f>IF(LEN($M231)=1,VLOOKUP(LEFT($M231,1),B230:I237,6,FALSE),IF(LEN($M231)=2,VLOOKUP(LEFT($M231,1),B230:I237,8,FALSE),""))</f>
        <v>Sammy Chang</v>
      </c>
      <c r="Q231" s="341" t="s">
        <v>272</v>
      </c>
      <c r="R231" s="146" t="str">
        <f t="shared" si="191"/>
        <v>S</v>
      </c>
      <c r="S231" s="927" t="s">
        <v>818</v>
      </c>
      <c r="T231" s="927">
        <v>15.9</v>
      </c>
      <c r="U231" s="353" t="str">
        <f>IF(LEN($S231)=1,VLOOKUP(LEFT($S231,1),B230:I237,5,FALSE),IF(LEN($S231)=2,VLOOKUP(LEFT($S231,1),B230:I237,7,FALSE),""))</f>
        <v>SS</v>
      </c>
      <c r="V231" s="373" t="str">
        <f>IF(LEN($S231)=1,VLOOKUP(LEFT($S231,1),B230:I237,6,FALSE),IF(LEN($S231)=2,VLOOKUP(LEFT($S231,1),B230:I237,8,FALSE),""))</f>
        <v>Eben Ashton</v>
      </c>
      <c r="W231" s="417">
        <f>W230-1</f>
        <v>7</v>
      </c>
      <c r="Y231" s="417">
        <v>12</v>
      </c>
      <c r="Z231" s="16" t="str">
        <f t="shared" si="192"/>
        <v>Rugby</v>
      </c>
      <c r="AA231" s="146" t="str">
        <f t="shared" si="193"/>
        <v>BRAT</v>
      </c>
      <c r="AC231" s="16" t="str">
        <f t="shared" si="194"/>
        <v>U</v>
      </c>
      <c r="AD231" s="419" t="str">
        <f t="shared" si="194"/>
        <v>Kidder &amp; Stourport</v>
      </c>
      <c r="AE231" s="419">
        <f>IF(ISNA(MATCH(AC231,N230:N239,0)),0,VLOOKUP(AC231,N230:S239,5,FALSE))</f>
        <v>0</v>
      </c>
      <c r="AF231" s="419" t="str">
        <f>IF(ISNA(MATCH(AC231,T230:T239,0))," ",VLOOKUP(AC231,T230:Y239,5,FALSE))</f>
        <v xml:space="preserve"> </v>
      </c>
      <c r="AG231" s="419">
        <f>IF(ISNA(MATCH(AC231,L230:L237,0)),0,VLOOKUP(AC231,L230:N237,3,FALSE))</f>
        <v>15.6</v>
      </c>
      <c r="AH231" s="419">
        <f>IF(ISNA(MATCH(AC231,R230:R237,0)),0,VLOOKUP(AC231,R230:T237,3,FALSE))</f>
        <v>0</v>
      </c>
      <c r="AI231" s="419" t="str">
        <f>IF(ISNA(MATCH(AC231,L230:L237,0)),0,VLOOKUP(AC231,L230:P237,4,FALSE))</f>
        <v>U</v>
      </c>
      <c r="AJ231" s="419">
        <f>IF(ISNA(MATCH(AC231,R230:R237,0)),0,VLOOKUP(AC231,R230:U237,4,FALSE))</f>
        <v>0</v>
      </c>
      <c r="AK231" s="32">
        <f t="shared" si="195"/>
        <v>4</v>
      </c>
      <c r="AL231" s="32">
        <f t="shared" si="196"/>
        <v>0</v>
      </c>
      <c r="AM231" s="32">
        <f>IF(ISNA(MATCH(AC231,L230:L237,0)),0,VLOOKUP(AC231,L230:W237,AM$1,FALSE))</f>
        <v>5</v>
      </c>
      <c r="AN231" s="146">
        <f>IF(ISNA(MATCH(AC231,R230:R237,0)),0,VLOOKUP(AC231,R230:W237,AN$1,FALSE))</f>
        <v>0</v>
      </c>
      <c r="AP231" s="927"/>
      <c r="AQ231" s="927"/>
    </row>
    <row r="232" spans="1:47" ht="15.6" x14ac:dyDescent="0.3">
      <c r="A232" s="417">
        <f t="shared" ref="A232:A237" si="197">A231+1</f>
        <v>203</v>
      </c>
      <c r="B232" s="362" t="str">
        <f>'Event Details'!D$24</f>
        <v>G</v>
      </c>
      <c r="C232" s="381" t="str">
        <f>'Event Details'!E$24</f>
        <v>Royal Sutton</v>
      </c>
      <c r="D232" s="379"/>
      <c r="E232" s="378"/>
      <c r="F232" s="363" t="str">
        <f>VLOOKUP($B229,IF($H229="F",TeamSheetFemale,TeamSheetMale),$Y232-1,FALSE)</f>
        <v>G</v>
      </c>
      <c r="G232" s="380">
        <f>VLOOKUP($B229,IF($H229="F",TeamSheetFemale,TeamSheetMale),$Y232,FALSE)</f>
        <v>0</v>
      </c>
      <c r="H232" s="363" t="str">
        <f>VLOOKUP($B229,IF($H229="F",TeamSheetFemale,TeamSheetMale),$Y232+1,FALSE)</f>
        <v>GG</v>
      </c>
      <c r="I232" s="364">
        <f>VLOOKUP($B229,IF($H229="F",TeamSheetFemale,TeamSheetMale),$Y232+2,FALSE)</f>
        <v>0</v>
      </c>
      <c r="K232" s="341" t="s">
        <v>273</v>
      </c>
      <c r="L232" s="16" t="str">
        <f t="shared" si="190"/>
        <v>S</v>
      </c>
      <c r="M232" s="927" t="s">
        <v>100</v>
      </c>
      <c r="N232" s="927">
        <v>15.4</v>
      </c>
      <c r="O232" s="353" t="str">
        <f>IF(LEN($M232)=1,VLOOKUP(LEFT($M232,1),B230:I237,5,FALSE),IF(LEN($M232)=2,VLOOKUP(LEFT($M232,1),B230:I237,7,FALSE),""))</f>
        <v>S</v>
      </c>
      <c r="P232" s="373" t="str">
        <f>IF(LEN($M232)=1,VLOOKUP(LEFT($M232,1),B230:I237,6,FALSE),IF(LEN($M232)=2,VLOOKUP(LEFT($M232,1),B230:I237,8,FALSE),""))</f>
        <v>Bertie Albatov</v>
      </c>
      <c r="Q232" s="341" t="s">
        <v>273</v>
      </c>
      <c r="R232" s="146" t="str">
        <f t="shared" si="191"/>
        <v>R</v>
      </c>
      <c r="S232" s="927" t="s">
        <v>819</v>
      </c>
      <c r="T232" s="927">
        <v>18</v>
      </c>
      <c r="U232" s="353" t="str">
        <f>IF(LEN($S232)=1,VLOOKUP(LEFT($S232,1),B230:I237,5,FALSE),IF(LEN($S232)=2,VLOOKUP(LEFT($S232,1),B230:I237,7,FALSE),""))</f>
        <v>RR</v>
      </c>
      <c r="V232" s="373" t="str">
        <f>IF(LEN($S232)=1,VLOOKUP(LEFT($S232,1),B230:I237,6,FALSE),IF(LEN($S232)=2,VLOOKUP(LEFT($S232,1),B230:I237,8,FALSE),""))</f>
        <v>Joe White</v>
      </c>
      <c r="W232" s="417">
        <f t="shared" ref="W232:W237" si="198">W231-1</f>
        <v>6</v>
      </c>
      <c r="Y232" s="417">
        <v>17</v>
      </c>
      <c r="Z232" s="16" t="str">
        <f t="shared" si="192"/>
        <v>BRAT</v>
      </c>
      <c r="AA232" s="146" t="str">
        <f t="shared" si="193"/>
        <v>Rugby</v>
      </c>
      <c r="AB232" s="32"/>
      <c r="AC232" s="16" t="str">
        <f t="shared" si="194"/>
        <v>G</v>
      </c>
      <c r="AD232" s="419" t="str">
        <f t="shared" si="194"/>
        <v>Royal Sutton</v>
      </c>
      <c r="AE232" s="419">
        <f>IF(ISNA(MATCH(AC232,N230:N239,0)),0,VLOOKUP(AC232,N230:S239,5,FALSE))</f>
        <v>0</v>
      </c>
      <c r="AF232" s="419" t="str">
        <f>IF(ISNA(MATCH(AC232,T230:T239,0))," ",VLOOKUP(AC232,T230:Y239,5,FALSE))</f>
        <v xml:space="preserve"> </v>
      </c>
      <c r="AG232" s="419">
        <f>IF(ISNA(MATCH(AC232,L230:L237,0)),0,VLOOKUP(AC232,L230:N237,3,FALSE))</f>
        <v>0</v>
      </c>
      <c r="AH232" s="419">
        <f>IF(ISNA(MATCH(AC232,R230:R237,0)),0,VLOOKUP(AC232,R230:T237,3,FALSE))</f>
        <v>0</v>
      </c>
      <c r="AI232" s="419">
        <f>IF(ISNA(MATCH(AC232,L230:L237,0)),0,VLOOKUP(AC232,L230:P237,4,FALSE))</f>
        <v>0</v>
      </c>
      <c r="AJ232" s="419">
        <f>IF(ISNA(MATCH(AC232,R230:R237,0)),0,VLOOKUP(AC232,R230:U237,4,FALSE))</f>
        <v>0</v>
      </c>
      <c r="AK232" s="32">
        <f t="shared" si="195"/>
        <v>0</v>
      </c>
      <c r="AL232" s="32">
        <f t="shared" si="196"/>
        <v>0</v>
      </c>
      <c r="AM232" s="32">
        <f>IF(ISNA(MATCH(AC232,L230:L237,0)),0,VLOOKUP(AC232,L230:W237,AM$1,FALSE))</f>
        <v>0</v>
      </c>
      <c r="AN232" s="146">
        <f>IF(ISNA(MATCH(AC232,R230:R237,0)),0,VLOOKUP(AC232,R230:W237,AN$1,FALSE))</f>
        <v>0</v>
      </c>
      <c r="AP232" s="927"/>
      <c r="AQ232" s="927"/>
    </row>
    <row r="233" spans="1:47" ht="15.6" x14ac:dyDescent="0.3">
      <c r="A233" s="417">
        <f t="shared" si="197"/>
        <v>204</v>
      </c>
      <c r="B233" s="362" t="str">
        <f>'Event Details'!D$25</f>
        <v>R</v>
      </c>
      <c r="C233" s="381" t="str">
        <f>'Event Details'!E$25</f>
        <v>Rugby &amp; N'hampton</v>
      </c>
      <c r="D233" s="379"/>
      <c r="E233" s="378"/>
      <c r="F233" s="363" t="str">
        <f>VLOOKUP($B229,IF($H229="F",TeamSheetFemale,TeamSheetMale),$Y233-1,FALSE)</f>
        <v>R</v>
      </c>
      <c r="G233" s="380" t="str">
        <f>VLOOKUP($B229,IF($H229="F",TeamSheetFemale,TeamSheetMale),$Y233,FALSE)</f>
        <v>Sammy Chang</v>
      </c>
      <c r="H233" s="363" t="str">
        <f>VLOOKUP($B229,IF($H229="F",TeamSheetFemale,TeamSheetMale),$Y233+1,FALSE)</f>
        <v>RR</v>
      </c>
      <c r="I233" s="364" t="str">
        <f>VLOOKUP($B229,IF($H229="F",TeamSheetFemale,TeamSheetMale),$Y233+2,FALSE)</f>
        <v>Joe White</v>
      </c>
      <c r="K233" s="341" t="s">
        <v>274</v>
      </c>
      <c r="L233" s="16" t="str">
        <f t="shared" si="190"/>
        <v>U</v>
      </c>
      <c r="M233" s="927" t="s">
        <v>130</v>
      </c>
      <c r="N233" s="927">
        <v>15.6</v>
      </c>
      <c r="O233" s="353" t="str">
        <f>IF(LEN($M233)=1,VLOOKUP(LEFT($M233,1),B230:I237,5,FALSE),IF(LEN($M233)=2,VLOOKUP(LEFT($M233,1),B230:I237,7,FALSE),""))</f>
        <v>U</v>
      </c>
      <c r="P233" s="373" t="str">
        <f>IF(LEN($M233)=1,VLOOKUP(LEFT($M233,1),B230:I237,6,FALSE),IF(LEN($M233)=2,VLOOKUP(LEFT($M233,1),B230:I237,8,FALSE),""))</f>
        <v>Harry Morton</v>
      </c>
      <c r="Q233" s="341" t="s">
        <v>274</v>
      </c>
      <c r="R233" s="146" t="str">
        <f t="shared" si="191"/>
        <v/>
      </c>
      <c r="S233" s="927"/>
      <c r="T233" s="927"/>
      <c r="U233" s="353" t="str">
        <f>IF(LEN($S233)=1,VLOOKUP(LEFT($S233,1),B230:I237,5,FALSE),IF(LEN($S233)=2,VLOOKUP(LEFT($S233,1),B230:I237,7,FALSE),""))</f>
        <v/>
      </c>
      <c r="V233" s="373" t="str">
        <f>IF(LEN($S233)=1,VLOOKUP(LEFT($S233,1),B230:I237,6,FALSE),IF(LEN($S233)=2,VLOOKUP(LEFT($S233,1),B230:I237,8,FALSE),""))</f>
        <v/>
      </c>
      <c r="W233" s="417">
        <f t="shared" si="198"/>
        <v>5</v>
      </c>
      <c r="Y233" s="417">
        <v>22</v>
      </c>
      <c r="Z233" s="16" t="str">
        <f t="shared" si="192"/>
        <v>K&amp;S</v>
      </c>
      <c r="AA233" s="146">
        <f t="shared" si="193"/>
        <v>0</v>
      </c>
      <c r="AB233" s="32"/>
      <c r="AC233" s="16" t="str">
        <f t="shared" si="194"/>
        <v>R</v>
      </c>
      <c r="AD233" s="419" t="str">
        <f t="shared" si="194"/>
        <v>Rugby &amp; N'hampton</v>
      </c>
      <c r="AE233" s="419">
        <f>IF(ISNA(MATCH(AC233,N230:N239,0)),0,VLOOKUP(AC233,N230:S239,5,FALSE))</f>
        <v>0</v>
      </c>
      <c r="AF233" s="419" t="str">
        <f>IF(ISNA(MATCH(AC233,T230:T239,0))," ",VLOOKUP(AC233,T230:Y239,5,FALSE))</f>
        <v xml:space="preserve"> </v>
      </c>
      <c r="AG233" s="419">
        <f>IF(ISNA(MATCH(AC233,L230:L237,0)),0,VLOOKUP(AC233,L230:N237,3,FALSE))</f>
        <v>15.3</v>
      </c>
      <c r="AH233" s="419">
        <f>IF(ISNA(MATCH(AC233,R230:R237,0)),0,VLOOKUP(AC233,R230:T237,3,FALSE))</f>
        <v>18</v>
      </c>
      <c r="AI233" s="419" t="str">
        <f>IF(ISNA(MATCH(AC233,L230:L237,0)),0,VLOOKUP(AC233,L230:P237,4,FALSE))</f>
        <v>R</v>
      </c>
      <c r="AJ233" s="419" t="str">
        <f>IF(ISNA(MATCH(AC233,R230:R237,0)),0,VLOOKUP(AC233,R230:U237,4,FALSE))</f>
        <v>RR</v>
      </c>
      <c r="AK233" s="32">
        <f t="shared" si="195"/>
        <v>2</v>
      </c>
      <c r="AL233" s="32">
        <f t="shared" si="196"/>
        <v>3</v>
      </c>
      <c r="AM233" s="32">
        <f>IF(ISNA(MATCH(AC233,L230:L237,0)),0,VLOOKUP(AC233,L230:W237,AM$1,FALSE))</f>
        <v>7</v>
      </c>
      <c r="AN233" s="146">
        <f>IF(ISNA(MATCH(AC233,R230:R237,0)),0,VLOOKUP(AC233,R230:W237,AN$1,FALSE))</f>
        <v>6</v>
      </c>
      <c r="AP233" s="927"/>
      <c r="AQ233" s="927"/>
    </row>
    <row r="234" spans="1:47" ht="15.6" x14ac:dyDescent="0.3">
      <c r="A234" s="417">
        <f t="shared" si="197"/>
        <v>205</v>
      </c>
      <c r="B234" s="362" t="str">
        <f>'Event Details'!D$26</f>
        <v>M</v>
      </c>
      <c r="C234" s="381" t="str">
        <f>'Event Details'!E$26</f>
        <v>Solihull &amp; S.Heath</v>
      </c>
      <c r="D234" s="379"/>
      <c r="E234" s="378"/>
      <c r="F234" s="363" t="str">
        <f>VLOOKUP($B229,IF($H229="F",TeamSheetFemale,TeamSheetMale),$Y234-1,FALSE)</f>
        <v>M</v>
      </c>
      <c r="G234" s="380" t="str">
        <f>VLOOKUP($B229,IF($H229="F",TeamSheetFemale,TeamSheetMale),$Y234,FALSE)</f>
        <v>Luke Ager</v>
      </c>
      <c r="H234" s="363">
        <f>VLOOKUP($B229,IF($H229="F",TeamSheetFemale,TeamSheetMale),$Y234+1,FALSE)</f>
        <v>0</v>
      </c>
      <c r="I234" s="364">
        <f>VLOOKUP($B229,IF($H229="F",TeamSheetFemale,TeamSheetMale),$Y234+2,FALSE)</f>
        <v>0</v>
      </c>
      <c r="K234" s="341" t="s">
        <v>275</v>
      </c>
      <c r="L234" s="16" t="str">
        <f t="shared" si="190"/>
        <v>M</v>
      </c>
      <c r="M234" s="927" t="s">
        <v>127</v>
      </c>
      <c r="N234" s="927">
        <v>16.899999999999999</v>
      </c>
      <c r="O234" s="353" t="str">
        <f>IF(LEN($M234)=1,VLOOKUP(LEFT($M234,1),B230:I237,5,FALSE),IF(LEN($M234)=2,VLOOKUP(LEFT($M234,1),B230:I237,7,FALSE),""))</f>
        <v>M</v>
      </c>
      <c r="P234" s="373" t="str">
        <f>IF(LEN($M234)=1,VLOOKUP(LEFT($M234,1),B230:I237,6,FALSE),IF(LEN($M234)=2,VLOOKUP(LEFT($M234,1),B230:I237,8,FALSE),""))</f>
        <v>Luke Ager</v>
      </c>
      <c r="Q234" s="341" t="s">
        <v>275</v>
      </c>
      <c r="R234" s="146" t="str">
        <f t="shared" si="191"/>
        <v/>
      </c>
      <c r="S234" s="927"/>
      <c r="T234" s="927"/>
      <c r="U234" s="353" t="str">
        <f>IF(LEN($S234)=1,VLOOKUP(LEFT($S234,1),B230:I237,5,FALSE),IF(LEN($S234)=2,VLOOKUP(LEFT($S234,1),B230:I237,7,FALSE),""))</f>
        <v/>
      </c>
      <c r="V234" s="373" t="str">
        <f>IF(LEN($S234)=1,VLOOKUP(LEFT($S234,1),B230:I237,6,FALSE),IF(LEN($S234)=2,VLOOKUP(LEFT($S234,1),B230:I237,8,FALSE),""))</f>
        <v/>
      </c>
      <c r="W234" s="417">
        <f t="shared" si="198"/>
        <v>4</v>
      </c>
      <c r="Y234" s="417">
        <v>27</v>
      </c>
      <c r="Z234" s="16" t="str">
        <f t="shared" si="192"/>
        <v>Sol</v>
      </c>
      <c r="AA234" s="146">
        <f t="shared" si="193"/>
        <v>0</v>
      </c>
      <c r="AB234" s="32"/>
      <c r="AC234" s="16" t="str">
        <f t="shared" si="194"/>
        <v>M</v>
      </c>
      <c r="AD234" s="419" t="str">
        <f t="shared" si="194"/>
        <v>Solihull &amp; S.Heath</v>
      </c>
      <c r="AE234" s="419">
        <f>IF(ISNA(MATCH(AC234,N230:N239,0)),0,VLOOKUP(AC234,N230:S239,5,FALSE))</f>
        <v>0</v>
      </c>
      <c r="AF234" s="419" t="str">
        <f>IF(ISNA(MATCH(AC234,T230:T239,0))," ",VLOOKUP(AC234,T230:Y239,5,FALSE))</f>
        <v xml:space="preserve"> </v>
      </c>
      <c r="AG234" s="419">
        <f>IF(ISNA(MATCH(AC234,L230:L237,0)),0,VLOOKUP(AC234,L230:N237,3,FALSE))</f>
        <v>16.899999999999999</v>
      </c>
      <c r="AH234" s="419">
        <f>IF(ISNA(MATCH(AC234,R230:R237,0)),0,VLOOKUP(AC234,R230:T237,3,FALSE))</f>
        <v>0</v>
      </c>
      <c r="AI234" s="419" t="str">
        <f>IF(ISNA(MATCH(AC234,L230:L237,0)),0,VLOOKUP(AC234,L230:P237,4,FALSE))</f>
        <v>M</v>
      </c>
      <c r="AJ234" s="419">
        <f>IF(ISNA(MATCH(AC234,R230:R237,0)),0,VLOOKUP(AC234,R230:U237,4,FALSE))</f>
        <v>0</v>
      </c>
      <c r="AK234" s="32">
        <f t="shared" si="195"/>
        <v>5</v>
      </c>
      <c r="AL234" s="32">
        <f t="shared" si="196"/>
        <v>0</v>
      </c>
      <c r="AM234" s="32">
        <f>IF(ISNA(MATCH(AC234,L230:L237,0)),0,VLOOKUP(AC234,L230:W237,AM$1,FALSE))</f>
        <v>4</v>
      </c>
      <c r="AN234" s="146">
        <f>IF(ISNA(MATCH(AC234,R230:R237,0)),0,VLOOKUP(AC234,R230:W237,AN$1,FALSE))</f>
        <v>0</v>
      </c>
      <c r="AP234" s="927"/>
      <c r="AQ234" s="927"/>
    </row>
    <row r="235" spans="1:47" ht="15.6" x14ac:dyDescent="0.3">
      <c r="A235" s="417">
        <f t="shared" si="197"/>
        <v>206</v>
      </c>
      <c r="B235" s="362" t="str">
        <f>'Event Details'!D$27</f>
        <v>D</v>
      </c>
      <c r="C235" s="381" t="str">
        <f>'Event Details'!E$27</f>
        <v>Stratford</v>
      </c>
      <c r="D235" s="379"/>
      <c r="E235" s="378"/>
      <c r="F235" s="363" t="str">
        <f>VLOOKUP($B229,IF($H229="F",TeamSheetFemale,TeamSheetMale),$Y235-1,FALSE)</f>
        <v>D</v>
      </c>
      <c r="G235" s="380" t="str">
        <f>VLOOKUP($B229,IF($H229="F",TeamSheetFemale,TeamSheetMale),$Y235,FALSE)</f>
        <v>Finn Jackson</v>
      </c>
      <c r="H235" s="363" t="str">
        <f>VLOOKUP($B229,IF($H229="F",TeamSheetFemale,TeamSheetMale),$Y235+1,FALSE)</f>
        <v>DD</v>
      </c>
      <c r="I235" s="364" t="str">
        <f>VLOOKUP($B229,IF($H229="F",TeamSheetFemale,TeamSheetMale),$Y235+2,FALSE)</f>
        <v>Toby Hughes Webb</v>
      </c>
      <c r="K235" s="341" t="s">
        <v>276</v>
      </c>
      <c r="L235" s="16" t="str">
        <f t="shared" si="190"/>
        <v/>
      </c>
      <c r="M235" s="927"/>
      <c r="N235" s="927"/>
      <c r="O235" s="353" t="str">
        <f>IF(LEN($M235)=1,VLOOKUP(LEFT($M235,1),B230:I237,5,FALSE),IF(LEN($M235)=2,VLOOKUP(LEFT($M235,1),B230:I237,7,FALSE),""))</f>
        <v/>
      </c>
      <c r="P235" s="373" t="str">
        <f>IF(LEN($M235)=1,VLOOKUP(LEFT($M235,1),B230:I237,6,FALSE),IF(LEN($M235)=2,VLOOKUP(LEFT($M235,1),B230:I237,8,FALSE),""))</f>
        <v/>
      </c>
      <c r="Q235" s="341" t="s">
        <v>276</v>
      </c>
      <c r="R235" s="146" t="str">
        <f t="shared" si="191"/>
        <v/>
      </c>
      <c r="S235" s="927"/>
      <c r="T235" s="927"/>
      <c r="U235" s="353" t="str">
        <f>IF(LEN($S235)=1,VLOOKUP(LEFT($S235,1),B230:I237,5,FALSE),IF(LEN($S235)=2,VLOOKUP(LEFT($S235,1),B230:I237,7,FALSE),""))</f>
        <v/>
      </c>
      <c r="V235" s="373" t="str">
        <f>IF(LEN($S235)=1,VLOOKUP(LEFT($S235,1),B230:I237,6,FALSE),IF(LEN($S235)=2,VLOOKUP(LEFT($S235,1),B230:I237,8,FALSE),""))</f>
        <v/>
      </c>
      <c r="W235" s="417">
        <f t="shared" si="198"/>
        <v>3</v>
      </c>
      <c r="Y235" s="417">
        <v>32</v>
      </c>
      <c r="Z235" s="16">
        <f t="shared" si="192"/>
        <v>0</v>
      </c>
      <c r="AA235" s="146">
        <f t="shared" si="193"/>
        <v>0</v>
      </c>
      <c r="AB235" s="32"/>
      <c r="AC235" s="16" t="str">
        <f t="shared" si="194"/>
        <v>D</v>
      </c>
      <c r="AD235" s="419" t="str">
        <f t="shared" si="194"/>
        <v>Stratford</v>
      </c>
      <c r="AE235" s="419">
        <f>IF(ISNA(MATCH(AC235,N230:N239,0)),0,VLOOKUP(AC235,N230:S239,5,FALSE))</f>
        <v>0</v>
      </c>
      <c r="AF235" s="419" t="str">
        <f>IF(ISNA(MATCH(AC235,T230:T239,0))," ",VLOOKUP(AC235,T230:Y239,5,FALSE))</f>
        <v xml:space="preserve"> </v>
      </c>
      <c r="AG235" s="419">
        <f>IF(ISNA(MATCH(AC235,L230:L237,0)),0,VLOOKUP(AC235,L230:N237,3,FALSE))</f>
        <v>14.8</v>
      </c>
      <c r="AH235" s="419">
        <f>IF(ISNA(MATCH(AC235,R230:R237,0)),0,VLOOKUP(AC235,R230:T237,3,FALSE))</f>
        <v>15.4</v>
      </c>
      <c r="AI235" s="419" t="str">
        <f>IF(ISNA(MATCH(AC235,L230:L237,0)),0,VLOOKUP(AC235,L230:P237,4,FALSE))</f>
        <v>D</v>
      </c>
      <c r="AJ235" s="419" t="str">
        <f>IF(ISNA(MATCH(AC235,R230:R237,0)),0,VLOOKUP(AC235,R230:U237,4,FALSE))</f>
        <v>DD</v>
      </c>
      <c r="AK235" s="32">
        <f t="shared" si="195"/>
        <v>1</v>
      </c>
      <c r="AL235" s="32">
        <f t="shared" si="196"/>
        <v>1</v>
      </c>
      <c r="AM235" s="32">
        <f>IF(ISNA(MATCH(AC235,L230:L237,0)),0,VLOOKUP(AC235,L230:W237,AM$1,FALSE))</f>
        <v>8</v>
      </c>
      <c r="AN235" s="146">
        <f>IF(ISNA(MATCH(AC235,R230:R237,0)),0,VLOOKUP(AC235,R230:W237,AN$1,FALSE))</f>
        <v>8</v>
      </c>
      <c r="AP235" s="927"/>
      <c r="AQ235" s="927"/>
    </row>
    <row r="236" spans="1:47" ht="15.6" x14ac:dyDescent="0.3">
      <c r="A236" s="417">
        <f t="shared" si="197"/>
        <v>207</v>
      </c>
      <c r="B236" s="362" t="str">
        <f>'Event Details'!D$28</f>
        <v>F</v>
      </c>
      <c r="C236" s="381" t="str">
        <f>'Event Details'!E$28</f>
        <v>Tamworth</v>
      </c>
      <c r="D236" s="379"/>
      <c r="E236" s="378"/>
      <c r="F236" s="363" t="str">
        <f>VLOOKUP($B229,IF($H229="F",TeamSheetFemale,TeamSheetMale),$Y236-1,FALSE)</f>
        <v>F</v>
      </c>
      <c r="G236" s="380">
        <f>VLOOKUP($B229,IF($H229="F",TeamSheetFemale,TeamSheetMale),$Y236,FALSE)</f>
        <v>0</v>
      </c>
      <c r="H236" s="363" t="str">
        <f>VLOOKUP($B229,IF($H229="F",TeamSheetFemale,TeamSheetMale),$Y236+1,FALSE)</f>
        <v>FF</v>
      </c>
      <c r="I236" s="364">
        <f>VLOOKUP($B229,IF($H229="F",TeamSheetFemale,TeamSheetMale),$Y236+2,FALSE)</f>
        <v>0</v>
      </c>
      <c r="K236" s="341" t="s">
        <v>277</v>
      </c>
      <c r="L236" s="16" t="str">
        <f t="shared" si="190"/>
        <v/>
      </c>
      <c r="M236" s="927"/>
      <c r="N236" s="927"/>
      <c r="O236" s="353" t="str">
        <f>IF(LEN($M236)=1,VLOOKUP(LEFT($M236,1),B230:I237,5,FALSE),IF(LEN($M236)=2,VLOOKUP(LEFT($M236,1),B230:I237,7,FALSE),""))</f>
        <v/>
      </c>
      <c r="P236" s="373" t="str">
        <f>IF(LEN($M236)=1,VLOOKUP(LEFT($M236,1),B230:I237,6,FALSE),IF(LEN($M236)=2,VLOOKUP(LEFT($M236,1),B230:I237,8,FALSE),""))</f>
        <v/>
      </c>
      <c r="Q236" s="341" t="s">
        <v>277</v>
      </c>
      <c r="R236" s="146" t="str">
        <f t="shared" si="191"/>
        <v/>
      </c>
      <c r="S236" s="927"/>
      <c r="T236" s="927"/>
      <c r="U236" s="353" t="str">
        <f>IF(LEN($S236)=1,VLOOKUP(LEFT($S236,1),B230:I237,5,FALSE),IF(LEN($S236)=2,VLOOKUP(LEFT($S236,1),B230:I237,7,FALSE),""))</f>
        <v/>
      </c>
      <c r="V236" s="373" t="str">
        <f>IF(LEN($S236)=1,VLOOKUP(LEFT($S236,1),B230:I237,6,FALSE),IF(LEN($S236)=2,VLOOKUP(LEFT($S236,1),B230:I237,8,FALSE),""))</f>
        <v/>
      </c>
      <c r="W236" s="417">
        <f t="shared" si="198"/>
        <v>2</v>
      </c>
      <c r="Y236" s="417">
        <v>37</v>
      </c>
      <c r="Z236" s="16">
        <f t="shared" si="192"/>
        <v>0</v>
      </c>
      <c r="AA236" s="146">
        <f t="shared" si="193"/>
        <v>0</v>
      </c>
      <c r="AB236" s="32"/>
      <c r="AC236" s="16" t="str">
        <f t="shared" si="194"/>
        <v>F</v>
      </c>
      <c r="AD236" s="419" t="str">
        <f t="shared" si="194"/>
        <v>Tamworth</v>
      </c>
      <c r="AE236" s="419">
        <f>IF(ISNA(MATCH(AC236,N228:N237,0)),0,VLOOKUP(AC236,N228:S237,5,FALSE))</f>
        <v>0</v>
      </c>
      <c r="AF236" s="419" t="str">
        <f>IF(ISNA(MATCH(AC236,T228:T237,0))," ",VLOOKUP(AC236,T228:Y237,5,FALSE))</f>
        <v xml:space="preserve"> </v>
      </c>
      <c r="AG236" s="419">
        <f>IF(ISNA(MATCH(AC236,L230:L237,0)),0,VLOOKUP(AC236,L230:N237,3,FALSE))</f>
        <v>0</v>
      </c>
      <c r="AH236" s="419">
        <f>IF(ISNA(MATCH(AC236,R230:R237,0)),0,VLOOKUP(AC236,R230:T237,3,FALSE))</f>
        <v>0</v>
      </c>
      <c r="AI236" s="419">
        <f>IF(ISNA(MATCH(AC236,L230:L237,0)),0,VLOOKUP(AC236,L230:P237,4,FALSE))</f>
        <v>0</v>
      </c>
      <c r="AJ236" s="419">
        <f>IF(ISNA(MATCH(AC236,R230:R237,0)),0,VLOOKUP(AC236,R230:U237,4,FALSE))</f>
        <v>0</v>
      </c>
      <c r="AK236" s="32">
        <f t="shared" si="195"/>
        <v>0</v>
      </c>
      <c r="AL236" s="32">
        <f t="shared" si="196"/>
        <v>0</v>
      </c>
      <c r="AM236" s="32">
        <f>IF(ISNA(MATCH(AC236,L230:L237,0)),0,VLOOKUP(AC236,L230:W237,AM$1,FALSE))</f>
        <v>0</v>
      </c>
      <c r="AN236" s="146">
        <f>IF(ISNA(MATCH(AC236,R230:R237,0)),0,VLOOKUP(AC236,R230:W237,AN$1,FALSE))</f>
        <v>0</v>
      </c>
      <c r="AP236" s="927"/>
      <c r="AQ236" s="927"/>
    </row>
    <row r="237" spans="1:47" ht="16.2" thickBot="1" x14ac:dyDescent="0.35">
      <c r="A237" s="418">
        <f t="shared" si="197"/>
        <v>208</v>
      </c>
      <c r="B237" s="365" t="str">
        <f>'Event Details'!D$29</f>
        <v>Y</v>
      </c>
      <c r="C237" s="366" t="str">
        <f>'Event Details'!E$29</f>
        <v>Worcester</v>
      </c>
      <c r="D237" s="361"/>
      <c r="E237" s="370"/>
      <c r="F237" s="367" t="str">
        <f>VLOOKUP($B229,IF($H229="F",TeamSheetFemale,TeamSheetMale),$Y237-1,FALSE)</f>
        <v>Y</v>
      </c>
      <c r="G237" s="368" t="str">
        <f>VLOOKUP($B229,IF($H229="F",TeamSheetFemale,TeamSheetMale),$Y237,FALSE)</f>
        <v>Hayden Helme</v>
      </c>
      <c r="H237" s="367">
        <f>VLOOKUP($B229,IF($H229="F",TeamSheetFemale,TeamSheetMale),$Y237+1,FALSE)</f>
        <v>0</v>
      </c>
      <c r="I237" s="369">
        <f>VLOOKUP($B229,IF($H229="F",TeamSheetFemale,TeamSheetMale),$Y237+2,FALSE)</f>
        <v>0</v>
      </c>
      <c r="K237" s="346" t="s">
        <v>278</v>
      </c>
      <c r="L237" s="25" t="str">
        <f t="shared" si="190"/>
        <v/>
      </c>
      <c r="M237" s="932"/>
      <c r="N237" s="932"/>
      <c r="O237" s="375" t="str">
        <f>IF(LEN($M237)=1,VLOOKUP(LEFT($M237,1),B230:I237,5,FALSE),IF(LEN($M237)=2,VLOOKUP(LEFT($M237,1),B230:I237,7,FALSE),""))</f>
        <v/>
      </c>
      <c r="P237" s="376" t="str">
        <f>IF(LEN($M237)=1,VLOOKUP(LEFT($M237,1),B230:I237,6,FALSE),IF(LEN($M237)=2,VLOOKUP(LEFT($M237,1),B230:I237,8,FALSE),""))</f>
        <v/>
      </c>
      <c r="Q237" s="346" t="s">
        <v>278</v>
      </c>
      <c r="R237" s="523" t="str">
        <f t="shared" si="191"/>
        <v/>
      </c>
      <c r="S237" s="932"/>
      <c r="T237" s="932"/>
      <c r="U237" s="375" t="str">
        <f>IF(LEN($S237)=1,VLOOKUP(LEFT($S237,1),B230:I237,5,FALSE),IF(LEN($S237)=2,VLOOKUP(LEFT($S237,1),B230:I237,7,FALSE),""))</f>
        <v/>
      </c>
      <c r="V237" s="376" t="str">
        <f>IF(LEN($S237)=1,VLOOKUP(LEFT($S237,1),B230:I237,6,FALSE),IF(LEN($S237)=2,VLOOKUP(LEFT($S237,1),B230:I237,8,FALSE),""))</f>
        <v/>
      </c>
      <c r="W237" s="418">
        <f t="shared" si="198"/>
        <v>1</v>
      </c>
      <c r="Y237" s="418">
        <v>42</v>
      </c>
      <c r="Z237" s="25">
        <f t="shared" si="192"/>
        <v>0</v>
      </c>
      <c r="AA237" s="523">
        <f t="shared" si="193"/>
        <v>0</v>
      </c>
      <c r="AB237" s="32"/>
      <c r="AC237" s="25" t="str">
        <f t="shared" si="194"/>
        <v>Y</v>
      </c>
      <c r="AD237" s="624" t="str">
        <f t="shared" si="194"/>
        <v>Worcester</v>
      </c>
      <c r="AE237" s="624">
        <f>IF(ISNA(MATCH(AC237,N229:N238,0)),0,VLOOKUP(AC237,N229:S238,5,FALSE))</f>
        <v>0</v>
      </c>
      <c r="AF237" s="624" t="str">
        <f t="shared" ref="AF237" si="199">IF(ISNA(MATCH(AC237,T229:T238,0))," ",VLOOKUP(AC237,T229:Y238,5,FALSE))</f>
        <v xml:space="preserve"> </v>
      </c>
      <c r="AG237" s="624">
        <f>IF(ISNA(MATCH(AC237,L230:L237,0)),0,VLOOKUP(AC237,L230:N237,3,FALSE))</f>
        <v>0</v>
      </c>
      <c r="AH237" s="624">
        <f>IF(ISNA(MATCH(AC237,R230:R237,0)),0,VLOOKUP(AC237,R230:T237,3,FALSE))</f>
        <v>0</v>
      </c>
      <c r="AI237" s="624">
        <f>IF(ISNA(MATCH(AC237,L230:L237,0)),0,VLOOKUP(AC237,L230:P237,4,FALSE))</f>
        <v>0</v>
      </c>
      <c r="AJ237" s="624">
        <f>IF(ISNA(MATCH(AC237,R230:R237,0)),0,VLOOKUP(AC237,R230:U237,4,FALSE))</f>
        <v>0</v>
      </c>
      <c r="AK237" s="116">
        <f t="shared" si="195"/>
        <v>0</v>
      </c>
      <c r="AL237" s="116">
        <f t="shared" si="196"/>
        <v>0</v>
      </c>
      <c r="AM237" s="116">
        <f>IF(ISNA(MATCH(AC237,L230:L237,0)),0,VLOOKUP(AC237,L230:W237,AM$1,FALSE))</f>
        <v>0</v>
      </c>
      <c r="AN237" s="523">
        <f>IF(ISNA(MATCH(AC237,R230:R237,0)),0,VLOOKUP(AC237,R230:W237,AN$1,FALSE))</f>
        <v>0</v>
      </c>
      <c r="AP237" s="932"/>
      <c r="AQ237" s="932"/>
    </row>
    <row r="238" spans="1:47" ht="15" thickBot="1" x14ac:dyDescent="0.35">
      <c r="M238" s="276"/>
      <c r="N238" s="276"/>
      <c r="S238" s="276"/>
      <c r="T238" s="276"/>
      <c r="AP238" s="276"/>
      <c r="AQ238" s="276"/>
    </row>
    <row r="239" spans="1:47" x14ac:dyDescent="0.3">
      <c r="B239" s="400" t="s">
        <v>258</v>
      </c>
      <c r="C239" s="398"/>
      <c r="D239" s="401" t="s">
        <v>165</v>
      </c>
      <c r="E239" s="398"/>
      <c r="F239" s="398"/>
      <c r="G239" s="402" t="s">
        <v>259</v>
      </c>
      <c r="H239" s="403" t="s">
        <v>249</v>
      </c>
      <c r="I239" s="404" t="s">
        <v>168</v>
      </c>
      <c r="K239" s="360"/>
      <c r="L239" s="661"/>
      <c r="M239" s="387" t="s">
        <v>260</v>
      </c>
      <c r="N239" s="387" t="s">
        <v>261</v>
      </c>
      <c r="O239" s="387" t="s">
        <v>262</v>
      </c>
      <c r="P239" s="388" t="s">
        <v>75</v>
      </c>
      <c r="Q239" s="412"/>
      <c r="R239" s="657"/>
      <c r="S239" s="387" t="s">
        <v>260</v>
      </c>
      <c r="T239" s="387" t="s">
        <v>261</v>
      </c>
      <c r="U239" s="387" t="s">
        <v>262</v>
      </c>
      <c r="V239" s="388" t="s">
        <v>75</v>
      </c>
      <c r="W239" s="672" t="s">
        <v>76</v>
      </c>
      <c r="Y239" s="654" t="s">
        <v>263</v>
      </c>
      <c r="Z239" s="656" t="s">
        <v>74</v>
      </c>
      <c r="AA239" s="657" t="s">
        <v>75</v>
      </c>
      <c r="AC239" s="665" t="s">
        <v>71</v>
      </c>
      <c r="AD239" s="657" t="s">
        <v>86</v>
      </c>
      <c r="AE239" s="661" t="s">
        <v>149</v>
      </c>
      <c r="AF239" s="661" t="s">
        <v>94</v>
      </c>
      <c r="AG239" s="661" t="s">
        <v>149</v>
      </c>
      <c r="AH239" s="661" t="s">
        <v>94</v>
      </c>
      <c r="AI239" s="661" t="s">
        <v>149</v>
      </c>
      <c r="AJ239" s="661" t="s">
        <v>94</v>
      </c>
      <c r="AK239" s="1332" t="s">
        <v>149</v>
      </c>
      <c r="AL239" s="661" t="s">
        <v>94</v>
      </c>
      <c r="AM239" s="1406" t="s">
        <v>76</v>
      </c>
      <c r="AN239" s="1407"/>
      <c r="AP239" s="387" t="s">
        <v>260</v>
      </c>
      <c r="AQ239" s="387" t="s">
        <v>261</v>
      </c>
      <c r="AS239" s="1218" t="s">
        <v>165</v>
      </c>
      <c r="AT239" s="1219" t="s">
        <v>79</v>
      </c>
      <c r="AU239" s="1220" t="s">
        <v>80</v>
      </c>
    </row>
    <row r="240" spans="1:47" ht="15" thickBot="1" x14ac:dyDescent="0.35">
      <c r="B240" s="405">
        <v>21</v>
      </c>
      <c r="C240" s="399"/>
      <c r="D240" s="385" t="str">
        <f>VLOOKUP($B240,EventOrder,6,FALSE)</f>
        <v>Long Jump Pit 2</v>
      </c>
      <c r="E240" s="399"/>
      <c r="F240" s="385"/>
      <c r="G240" s="386" t="str">
        <f>VLOOKUP($B240,EventOrder,4,FALSE)</f>
        <v>U16 Female</v>
      </c>
      <c r="H240" s="396" t="str">
        <f>IF(MID(G240,5,1)="F","F","M")</f>
        <v>F</v>
      </c>
      <c r="I240" s="397">
        <f>VLOOKUP($B240,EventOrder,2,FALSE)</f>
        <v>1</v>
      </c>
      <c r="K240" s="372"/>
      <c r="L240" s="667" t="s">
        <v>149</v>
      </c>
      <c r="M240" s="409" t="s">
        <v>264</v>
      </c>
      <c r="N240" s="409" t="s">
        <v>265</v>
      </c>
      <c r="O240" s="409" t="s">
        <v>266</v>
      </c>
      <c r="P240" s="408"/>
      <c r="Q240" s="413"/>
      <c r="R240" s="659" t="s">
        <v>94</v>
      </c>
      <c r="S240" s="409" t="s">
        <v>264</v>
      </c>
      <c r="T240" s="409" t="s">
        <v>265</v>
      </c>
      <c r="U240" s="409" t="s">
        <v>266</v>
      </c>
      <c r="V240" s="408"/>
      <c r="W240" s="671"/>
      <c r="Y240" s="655" t="s">
        <v>167</v>
      </c>
      <c r="Z240" s="658" t="s">
        <v>149</v>
      </c>
      <c r="AA240" s="659" t="s">
        <v>94</v>
      </c>
      <c r="AC240" s="666"/>
      <c r="AD240" s="668"/>
      <c r="AE240" s="768" t="s">
        <v>75</v>
      </c>
      <c r="AF240" s="768" t="s">
        <v>75</v>
      </c>
      <c r="AG240" s="768" t="s">
        <v>267</v>
      </c>
      <c r="AH240" s="768" t="s">
        <v>267</v>
      </c>
      <c r="AI240" s="768" t="s">
        <v>268</v>
      </c>
      <c r="AJ240" s="768" t="s">
        <v>268</v>
      </c>
      <c r="AK240" s="770" t="s">
        <v>269</v>
      </c>
      <c r="AL240" s="768" t="s">
        <v>269</v>
      </c>
      <c r="AM240" s="667" t="s">
        <v>149</v>
      </c>
      <c r="AN240" s="659" t="s">
        <v>94</v>
      </c>
      <c r="AP240" s="409" t="s">
        <v>264</v>
      </c>
      <c r="AQ240" s="409" t="s">
        <v>265</v>
      </c>
      <c r="AS240" s="1221" t="s">
        <v>270</v>
      </c>
      <c r="AT240" s="1222" t="s">
        <v>270</v>
      </c>
      <c r="AU240" s="1223" t="s">
        <v>270</v>
      </c>
    </row>
    <row r="241" spans="1:47" ht="15.6" x14ac:dyDescent="0.3">
      <c r="A241" s="416">
        <f>(B240*10)+1</f>
        <v>211</v>
      </c>
      <c r="B241" s="362" t="str">
        <f>'Event Details'!D$22</f>
        <v>S</v>
      </c>
      <c r="C241" s="381" t="str">
        <f>'Event Details'!E$22</f>
        <v>BRAT</v>
      </c>
      <c r="D241" s="379"/>
      <c r="E241" s="378"/>
      <c r="F241" s="363" t="str">
        <f>VLOOKUP($B240,IF($H240="F",TeamSheetFemale,TeamSheetMale),$Y241-1,FALSE)</f>
        <v>S</v>
      </c>
      <c r="G241" s="380" t="str">
        <f>VLOOKUP($B240,IF($H240="F",TeamSheetFemale,TeamSheetMale),$Y241,FALSE)</f>
        <v>Tamera Campbell</v>
      </c>
      <c r="H241" s="363" t="str">
        <f>VLOOKUP($B240,IF($H240="F",TeamSheetFemale,TeamSheetMale),$Y241+1,FALSE)</f>
        <v>SS</v>
      </c>
      <c r="I241" s="364" t="str">
        <f>VLOOKUP($B240,IF($H240="F",TeamSheetFemale,TeamSheetMale),$Y241+2,FALSE)</f>
        <v>Libby Molenaar</v>
      </c>
      <c r="K241" s="393" t="s">
        <v>271</v>
      </c>
      <c r="L241" s="16" t="str">
        <f t="shared" ref="L241:L248" si="200">LEFT(M241,1)</f>
        <v>S</v>
      </c>
      <c r="M241" s="926" t="s">
        <v>100</v>
      </c>
      <c r="N241" s="926">
        <v>5.01</v>
      </c>
      <c r="O241" s="394" t="str">
        <f>IF(LEN($M241)=1,VLOOKUP(LEFT($M241,1),B241:I248,5,FALSE),IF(LEN($M241)=2,VLOOKUP(LEFT($M241,1),B241:I248,7,FALSE),""))</f>
        <v>S</v>
      </c>
      <c r="P241" s="395" t="str">
        <f>IF(LEN($M241)=1,VLOOKUP(LEFT($M241,1),B241:I248,6,FALSE),IF(LEN($M241)=2,VLOOKUP(LEFT($M241,1),B241:I248,8,FALSE),""))</f>
        <v>Tamera Campbell</v>
      </c>
      <c r="Q241" s="406" t="s">
        <v>271</v>
      </c>
      <c r="R241" s="146" t="str">
        <f t="shared" ref="R241:R248" si="201">LEFT(S241,1)</f>
        <v>S</v>
      </c>
      <c r="S241" s="926" t="s">
        <v>818</v>
      </c>
      <c r="T241" s="926">
        <v>4.55</v>
      </c>
      <c r="U241" s="394" t="str">
        <f>IF(LEN($S241)=1,VLOOKUP(LEFT($S241,1),B241:I248,5,FALSE),IF(LEN($S241)=2,VLOOKUP(LEFT($S241,1),B241:I248,7,FALSE),""))</f>
        <v>SS</v>
      </c>
      <c r="V241" s="395" t="str">
        <f>IF(LEN($S241)=1,VLOOKUP(LEFT($S241,1),B241:I248,6,FALSE),IF(LEN($S241)=2,VLOOKUP(LEFT($S241,1),B241:I248,8,FALSE),""))</f>
        <v>Libby Molenaar</v>
      </c>
      <c r="W241" s="417">
        <f>AN$6</f>
        <v>8</v>
      </c>
      <c r="Y241" s="653">
        <v>7</v>
      </c>
      <c r="Z241" s="653" t="str">
        <f t="shared" ref="Z241:Z248" si="202">IF(LEN(M241)&gt;0,VLOOKUP(LEFT(M241,1),ShortName,5,FALSE),0)</f>
        <v>BRAT</v>
      </c>
      <c r="AA241" s="138" t="str">
        <f t="shared" ref="AA241:AA248" si="203">IF(LEN(S241)&gt;0,VLOOKUP(LEFT(S241,1),ShortName,5,FALSE),0)</f>
        <v>BRAT</v>
      </c>
      <c r="AC241" s="16" t="str">
        <f t="shared" ref="AC241:AD248" si="204">B241</f>
        <v>S</v>
      </c>
      <c r="AD241" s="419" t="str">
        <f t="shared" si="204"/>
        <v>BRAT</v>
      </c>
      <c r="AE241" s="635">
        <f>IF(ISNA(MATCH(AC241,N241:N250,0)),0,VLOOKUP(AC241,N241:S250,5,FALSE))</f>
        <v>0</v>
      </c>
      <c r="AF241" s="635" t="str">
        <f>IF(ISNA(MATCH(AC241,T241:T250,0))," ",VLOOKUP(AC241,T241:Y250,5,FALSE))</f>
        <v xml:space="preserve"> </v>
      </c>
      <c r="AG241" s="635">
        <f>IF(ISNA(MATCH(AC241,L241:L248,0)),0,VLOOKUP(AC241,L241:N248,3,FALSE))</f>
        <v>5.01</v>
      </c>
      <c r="AH241" s="635">
        <f>IF(ISNA(MATCH(AC241,R241:R248,0)),0,VLOOKUP(AC241,R241:T248,3,FALSE))</f>
        <v>4.55</v>
      </c>
      <c r="AI241" s="635" t="str">
        <f>IF(ISNA(MATCH(AC241,L241:L248,0)),0,VLOOKUP(AC241,L241:P248,4,FALSE))</f>
        <v>S</v>
      </c>
      <c r="AJ241" s="635" t="str">
        <f>IF(ISNA(MATCH(AC241,R241:R248,0)),0,VLOOKUP(AC241,R241:U248,4,FALSE))</f>
        <v>SS</v>
      </c>
      <c r="AK241" s="49">
        <f t="shared" ref="AK241:AK248" si="205">IF(AM241=0,0,AN$6-(AM241-1))</f>
        <v>1</v>
      </c>
      <c r="AL241" s="49">
        <f t="shared" ref="AL241:AL248" si="206">IF(AN241=0,0,AN$6-(AN241-1))</f>
        <v>1</v>
      </c>
      <c r="AM241" s="49">
        <f>IF(ISNA(MATCH(AC241,L241:L248,0)),0,VLOOKUP(AC241,L241:W248,AM$1,FALSE))</f>
        <v>8</v>
      </c>
      <c r="AN241" s="138">
        <f>IF(ISNA(MATCH(AC241,R241:R248,0)),0,VLOOKUP(AC241,R241:W248,AN$1,FALSE))</f>
        <v>8</v>
      </c>
      <c r="AP241" s="926"/>
      <c r="AQ241" s="926"/>
      <c r="AS241" s="32">
        <f>IF(LEN(N241)&gt;0,1,0)</f>
        <v>1</v>
      </c>
      <c r="AT241" s="32">
        <f>IF(AND(AS241=1,H240="M"),1,0)</f>
        <v>0</v>
      </c>
      <c r="AU241" s="32">
        <f>IF(AND(AS241=1,H240="F"),1,0)</f>
        <v>1</v>
      </c>
    </row>
    <row r="242" spans="1:47" ht="15.6" x14ac:dyDescent="0.3">
      <c r="A242" s="417">
        <f>A241+1</f>
        <v>212</v>
      </c>
      <c r="B242" s="362" t="str">
        <f>'Event Details'!D$23</f>
        <v>U</v>
      </c>
      <c r="C242" s="381" t="str">
        <f>'Event Details'!E$23</f>
        <v>Kidder &amp; Stourport</v>
      </c>
      <c r="D242" s="379"/>
      <c r="E242" s="378"/>
      <c r="F242" s="363" t="str">
        <f>VLOOKUP($B240,IF($H240="F",TeamSheetFemale,TeamSheetMale),$Y242-1,FALSE)</f>
        <v>U</v>
      </c>
      <c r="G242" s="380" t="str">
        <f>VLOOKUP($B240,IF($H240="F",TeamSheetFemale,TeamSheetMale),$Y242,FALSE)</f>
        <v>Florence Aspinall</v>
      </c>
      <c r="H242" s="363">
        <f>VLOOKUP($B240,IF($H240="F",TeamSheetFemale,TeamSheetMale),$Y242+1,FALSE)</f>
        <v>0</v>
      </c>
      <c r="I242" s="364">
        <f>VLOOKUP($B240,IF($H240="F",TeamSheetFemale,TeamSheetMale),$Y242+2,FALSE)</f>
        <v>0</v>
      </c>
      <c r="K242" s="341" t="s">
        <v>272</v>
      </c>
      <c r="L242" s="16" t="str">
        <f t="shared" si="200"/>
        <v>M</v>
      </c>
      <c r="M242" s="927" t="s">
        <v>127</v>
      </c>
      <c r="N242" s="927">
        <v>4.7</v>
      </c>
      <c r="O242" s="354" t="str">
        <f>IF(LEN($M242)=1,VLOOKUP(LEFT($M242,1),B241:I248,5,FALSE),IF(LEN($M242)=2,VLOOKUP(LEFT($M242,1),B241:I248,7,FALSE),""))</f>
        <v>M</v>
      </c>
      <c r="P242" s="410" t="str">
        <f>IF(LEN($M242)=1,VLOOKUP(LEFT($M242,1),B241:I248,6,FALSE),IF(LEN($M242)=2,VLOOKUP(LEFT($M242,1),B241:I248,8,FALSE),""))</f>
        <v>Ada Masson</v>
      </c>
      <c r="Q242" s="371" t="s">
        <v>272</v>
      </c>
      <c r="R242" s="146" t="str">
        <f t="shared" si="201"/>
        <v>M</v>
      </c>
      <c r="S242" s="927" t="s">
        <v>821</v>
      </c>
      <c r="T242" s="927">
        <v>4.3600000000000003</v>
      </c>
      <c r="U242" s="354" t="str">
        <f>IF(LEN($S242)=1,VLOOKUP(LEFT($S242,1),B241:I248,5,FALSE),IF(LEN($S242)=2,VLOOKUP(LEFT($S242,1),B241:I248,7,FALSE),""))</f>
        <v>MM</v>
      </c>
      <c r="V242" s="410" t="str">
        <f>IF(LEN($S242)=1,VLOOKUP(LEFT($S242,1),B241:I248,6,FALSE),IF(LEN($S242)=2,VLOOKUP(LEFT($S242,1),B241:I248,8,FALSE),""))</f>
        <v>Gabrielle Blake</v>
      </c>
      <c r="W242" s="417">
        <f>W241-1</f>
        <v>7</v>
      </c>
      <c r="Y242" s="16">
        <v>12</v>
      </c>
      <c r="Z242" s="16" t="str">
        <f t="shared" si="202"/>
        <v>Sol</v>
      </c>
      <c r="AA242" s="146" t="str">
        <f t="shared" si="203"/>
        <v>Sol</v>
      </c>
      <c r="AC242" s="16" t="str">
        <f t="shared" si="204"/>
        <v>U</v>
      </c>
      <c r="AD242" s="419" t="str">
        <f t="shared" si="204"/>
        <v>Kidder &amp; Stourport</v>
      </c>
      <c r="AE242" s="419">
        <f>IF(ISNA(MATCH(AC242,N241:N250,0)),0,VLOOKUP(AC242,N241:S250,5,FALSE))</f>
        <v>0</v>
      </c>
      <c r="AF242" s="419" t="str">
        <f>IF(ISNA(MATCH(AC242,T241:T250,0))," ",VLOOKUP(AC242,T241:Y250,5,FALSE))</f>
        <v xml:space="preserve"> </v>
      </c>
      <c r="AG242" s="419">
        <f>IF(ISNA(MATCH(AC242,L241:L248,0)),0,VLOOKUP(AC242,L241:N248,3,FALSE))</f>
        <v>3.63</v>
      </c>
      <c r="AH242" s="419">
        <f>IF(ISNA(MATCH(AC242,R241:R248,0)),0,VLOOKUP(AC242,R241:T248,3,FALSE))</f>
        <v>0</v>
      </c>
      <c r="AI242" s="419" t="str">
        <f>IF(ISNA(MATCH(AC242,L241:L248,0)),0,VLOOKUP(AC242,L241:P248,4,FALSE))</f>
        <v>U</v>
      </c>
      <c r="AJ242" s="419">
        <f>IF(ISNA(MATCH(AC242,R241:R248,0)),0,VLOOKUP(AC242,R241:U248,4,FALSE))</f>
        <v>0</v>
      </c>
      <c r="AK242" s="32">
        <f t="shared" si="205"/>
        <v>8</v>
      </c>
      <c r="AL242" s="32">
        <f t="shared" si="206"/>
        <v>0</v>
      </c>
      <c r="AM242" s="32">
        <f>IF(ISNA(MATCH(AC242,L241:L248,0)),0,VLOOKUP(AC242,L241:W248,AM$1,FALSE))</f>
        <v>1</v>
      </c>
      <c r="AN242" s="146">
        <f>IF(ISNA(MATCH(AC242,R241:R248,0)),0,VLOOKUP(AC242,R241:W248,AN$1,FALSE))</f>
        <v>0</v>
      </c>
      <c r="AP242" s="927"/>
      <c r="AQ242" s="927"/>
    </row>
    <row r="243" spans="1:47" ht="15.6" x14ac:dyDescent="0.3">
      <c r="A243" s="417">
        <f t="shared" ref="A243:A248" si="207">A242+1</f>
        <v>213</v>
      </c>
      <c r="B243" s="362" t="str">
        <f>'Event Details'!D$24</f>
        <v>G</v>
      </c>
      <c r="C243" s="381" t="str">
        <f>'Event Details'!E$24</f>
        <v>Royal Sutton</v>
      </c>
      <c r="D243" s="379"/>
      <c r="E243" s="378"/>
      <c r="F243" s="363" t="str">
        <f>VLOOKUP($B240,IF($H240="F",TeamSheetFemale,TeamSheetMale),$Y243-1,FALSE)</f>
        <v>G</v>
      </c>
      <c r="G243" s="380" t="str">
        <f>VLOOKUP($B240,IF($H240="F",TeamSheetFemale,TeamSheetMale),$Y243,FALSE)</f>
        <v>Aiza Ulhaq</v>
      </c>
      <c r="H243" s="363" t="str">
        <f>VLOOKUP($B240,IF($H240="F",TeamSheetFemale,TeamSheetMale),$Y243+1,FALSE)</f>
        <v>GG</v>
      </c>
      <c r="I243" s="364" t="str">
        <f>VLOOKUP($B240,IF($H240="F",TeamSheetFemale,TeamSheetMale),$Y243+2,FALSE)</f>
        <v>Zareen Ulhaq</v>
      </c>
      <c r="K243" s="341" t="s">
        <v>273</v>
      </c>
      <c r="L243" s="16" t="str">
        <f t="shared" si="200"/>
        <v>F</v>
      </c>
      <c r="M243" s="927" t="s">
        <v>576</v>
      </c>
      <c r="N243" s="927">
        <v>4.66</v>
      </c>
      <c r="O243" s="354" t="str">
        <f>IF(LEN($M243)=1,VLOOKUP(LEFT($M243,1),B241:I248,5,FALSE),IF(LEN($M243)=2,VLOOKUP(LEFT($M243,1),B241:I248,7,FALSE),""))</f>
        <v>FF</v>
      </c>
      <c r="P243" s="410" t="str">
        <f>IF(LEN($M243)=1,VLOOKUP(LEFT($M243,1),B241:I248,6,FALSE),IF(LEN($M243)=2,VLOOKUP(LEFT($M243,1),B241:I248,8,FALSE),""))</f>
        <v>Brodie Horler</v>
      </c>
      <c r="Q243" s="371" t="s">
        <v>273</v>
      </c>
      <c r="R243" s="146" t="str">
        <f t="shared" si="201"/>
        <v>R</v>
      </c>
      <c r="S243" s="927" t="s">
        <v>819</v>
      </c>
      <c r="T243" s="927">
        <v>4.2300000000000004</v>
      </c>
      <c r="U243" s="354" t="str">
        <f>IF(LEN($S243)=1,VLOOKUP(LEFT($S243,1),B241:I248,5,FALSE),IF(LEN($S243)=2,VLOOKUP(LEFT($S243,1),B241:I248,7,FALSE),""))</f>
        <v>RR</v>
      </c>
      <c r="V243" s="410" t="str">
        <f>IF(LEN($S243)=1,VLOOKUP(LEFT($S243,1),B241:I248,6,FALSE),IF(LEN($S243)=2,VLOOKUP(LEFT($S243,1),B241:I248,8,FALSE),""))</f>
        <v>Isabella Atwell</v>
      </c>
      <c r="W243" s="417">
        <f t="shared" ref="W243:W248" si="208">W242-1</f>
        <v>6</v>
      </c>
      <c r="Y243" s="16">
        <v>17</v>
      </c>
      <c r="Z243" s="16" t="str">
        <f t="shared" si="202"/>
        <v>Tam</v>
      </c>
      <c r="AA243" s="146" t="str">
        <f t="shared" si="203"/>
        <v>Rugby</v>
      </c>
      <c r="AC243" s="16" t="str">
        <f t="shared" si="204"/>
        <v>G</v>
      </c>
      <c r="AD243" s="419" t="str">
        <f t="shared" si="204"/>
        <v>Royal Sutton</v>
      </c>
      <c r="AE243" s="419">
        <f>IF(ISNA(MATCH(AC243,N241:N250,0)),0,VLOOKUP(AC243,N241:S250,5,FALSE))</f>
        <v>0</v>
      </c>
      <c r="AF243" s="419" t="str">
        <f>IF(ISNA(MATCH(AC243,T241:T250,0))," ",VLOOKUP(AC243,T241:Y250,5,FALSE))</f>
        <v xml:space="preserve"> </v>
      </c>
      <c r="AG243" s="419">
        <f>IF(ISNA(MATCH(AC243,L241:L248,0)),0,VLOOKUP(AC243,L241:N248,3,FALSE))</f>
        <v>4.2300000000000004</v>
      </c>
      <c r="AH243" s="419">
        <f>IF(ISNA(MATCH(AC243,R241:R248,0)),0,VLOOKUP(AC243,R241:T248,3,FALSE))</f>
        <v>3.7</v>
      </c>
      <c r="AI243" s="419" t="str">
        <f>IF(ISNA(MATCH(AC243,L241:L248,0)),0,VLOOKUP(AC243,L241:P248,4,FALSE))</f>
        <v>G</v>
      </c>
      <c r="AJ243" s="419" t="str">
        <f>IF(ISNA(MATCH(AC243,R241:R248,0)),0,VLOOKUP(AC243,R241:U248,4,FALSE))</f>
        <v>GG</v>
      </c>
      <c r="AK243" s="32">
        <f t="shared" si="205"/>
        <v>6</v>
      </c>
      <c r="AL243" s="32">
        <f t="shared" si="206"/>
        <v>6</v>
      </c>
      <c r="AM243" s="32">
        <f>IF(ISNA(MATCH(AC243,L241:L248,0)),0,VLOOKUP(AC243,L241:W248,AM$1,FALSE))</f>
        <v>3</v>
      </c>
      <c r="AN243" s="146">
        <f>IF(ISNA(MATCH(AC243,R241:R248,0)),0,VLOOKUP(AC243,R241:W248,AN$1,FALSE))</f>
        <v>3</v>
      </c>
      <c r="AP243" s="927"/>
      <c r="AQ243" s="927"/>
    </row>
    <row r="244" spans="1:47" ht="15.6" x14ac:dyDescent="0.3">
      <c r="A244" s="417">
        <f t="shared" si="207"/>
        <v>214</v>
      </c>
      <c r="B244" s="362" t="str">
        <f>'Event Details'!D$25</f>
        <v>R</v>
      </c>
      <c r="C244" s="381" t="str">
        <f>'Event Details'!E$25</f>
        <v>Rugby &amp; N'hampton</v>
      </c>
      <c r="D244" s="379"/>
      <c r="E244" s="378"/>
      <c r="F244" s="363" t="str">
        <f>VLOOKUP($B240,IF($H240="F",TeamSheetFemale,TeamSheetMale),$Y244-1,FALSE)</f>
        <v>R</v>
      </c>
      <c r="G244" s="380" t="str">
        <f>VLOOKUP($B240,IF($H240="F",TeamSheetFemale,TeamSheetMale),$Y244,FALSE)</f>
        <v>Betsy Fahey</v>
      </c>
      <c r="H244" s="363" t="str">
        <f>VLOOKUP($B240,IF($H240="F",TeamSheetFemale,TeamSheetMale),$Y244+1,FALSE)</f>
        <v>RR</v>
      </c>
      <c r="I244" s="364" t="str">
        <f>VLOOKUP($B240,IF($H240="F",TeamSheetFemale,TeamSheetMale),$Y244+2,FALSE)</f>
        <v>Isabella Atwell</v>
      </c>
      <c r="K244" s="341" t="s">
        <v>274</v>
      </c>
      <c r="L244" s="16" t="str">
        <f t="shared" si="200"/>
        <v>R</v>
      </c>
      <c r="M244" s="927" t="s">
        <v>118</v>
      </c>
      <c r="N244" s="927">
        <v>4.43</v>
      </c>
      <c r="O244" s="354" t="str">
        <f>IF(LEN($M244)=1,VLOOKUP(LEFT($M244,1),B241:I248,5,FALSE),IF(LEN($M244)=2,VLOOKUP(LEFT($M244,1),B241:I248,7,FALSE),""))</f>
        <v>R</v>
      </c>
      <c r="P244" s="410" t="str">
        <f>IF(LEN($M244)=1,VLOOKUP(LEFT($M244,1),B241:I248,6,FALSE),IF(LEN($M244)=2,VLOOKUP(LEFT($M244,1),B241:I248,8,FALSE),""))</f>
        <v>Betsy Fahey</v>
      </c>
      <c r="Q244" s="371" t="s">
        <v>274</v>
      </c>
      <c r="R244" s="146" t="str">
        <f t="shared" si="201"/>
        <v>D</v>
      </c>
      <c r="S244" s="927" t="s">
        <v>136</v>
      </c>
      <c r="T244" s="927">
        <v>4.21</v>
      </c>
      <c r="U244" s="354" t="str">
        <f>IF(LEN($S244)=1,VLOOKUP(LEFT($S244,1),B241:I248,5,FALSE),IF(LEN($S244)=2,VLOOKUP(LEFT($S244,1),B241:I248,7,FALSE),""))</f>
        <v>D</v>
      </c>
      <c r="V244" s="410" t="str">
        <f>IF(LEN($S244)=1,VLOOKUP(LEFT($S244,1),B241:I248,6,FALSE),IF(LEN($S244)=2,VLOOKUP(LEFT($S244,1),B241:I248,8,FALSE),""))</f>
        <v>Lila Gallinagh</v>
      </c>
      <c r="W244" s="417">
        <f t="shared" si="208"/>
        <v>5</v>
      </c>
      <c r="Y244" s="16">
        <v>22</v>
      </c>
      <c r="Z244" s="16" t="str">
        <f t="shared" si="202"/>
        <v>Rugby</v>
      </c>
      <c r="AA244" s="146" t="str">
        <f t="shared" si="203"/>
        <v>Strat</v>
      </c>
      <c r="AC244" s="16" t="str">
        <f t="shared" si="204"/>
        <v>R</v>
      </c>
      <c r="AD244" s="419" t="str">
        <f t="shared" si="204"/>
        <v>Rugby &amp; N'hampton</v>
      </c>
      <c r="AE244" s="419">
        <f>IF(ISNA(MATCH(AC244,N241:N250,0)),0,VLOOKUP(AC244,N241:S250,5,FALSE))</f>
        <v>0</v>
      </c>
      <c r="AF244" s="419" t="str">
        <f>IF(ISNA(MATCH(AC244,T241:T250,0))," ",VLOOKUP(AC244,T241:Y250,5,FALSE))</f>
        <v xml:space="preserve"> </v>
      </c>
      <c r="AG244" s="419">
        <f>IF(ISNA(MATCH(AC244,L241:L248,0)),0,VLOOKUP(AC244,L241:N248,3,FALSE))</f>
        <v>4.43</v>
      </c>
      <c r="AH244" s="419">
        <f>IF(ISNA(MATCH(AC244,R241:R248,0)),0,VLOOKUP(AC244,R241:T248,3,FALSE))</f>
        <v>4.2300000000000004</v>
      </c>
      <c r="AI244" s="419" t="str">
        <f>IF(ISNA(MATCH(AC244,L241:L248,0)),0,VLOOKUP(AC244,L241:P248,4,FALSE))</f>
        <v>R</v>
      </c>
      <c r="AJ244" s="419" t="str">
        <f>IF(ISNA(MATCH(AC244,R241:R248,0)),0,VLOOKUP(AC244,R241:U248,4,FALSE))</f>
        <v>RR</v>
      </c>
      <c r="AK244" s="32">
        <f t="shared" si="205"/>
        <v>4</v>
      </c>
      <c r="AL244" s="32">
        <f t="shared" si="206"/>
        <v>3</v>
      </c>
      <c r="AM244" s="32">
        <f>IF(ISNA(MATCH(AC244,L241:L248,0)),0,VLOOKUP(AC244,L241:W248,AM$1,FALSE))</f>
        <v>5</v>
      </c>
      <c r="AN244" s="146">
        <f>IF(ISNA(MATCH(AC244,R241:R248,0)),0,VLOOKUP(AC244,R241:W248,AN$1,FALSE))</f>
        <v>6</v>
      </c>
      <c r="AP244" s="927"/>
      <c r="AQ244" s="927"/>
    </row>
    <row r="245" spans="1:47" ht="15.6" x14ac:dyDescent="0.3">
      <c r="A245" s="417">
        <f t="shared" si="207"/>
        <v>215</v>
      </c>
      <c r="B245" s="362" t="str">
        <f>'Event Details'!D$26</f>
        <v>M</v>
      </c>
      <c r="C245" s="381" t="str">
        <f>'Event Details'!E$26</f>
        <v>Solihull &amp; S.Heath</v>
      </c>
      <c r="D245" s="379"/>
      <c r="E245" s="378"/>
      <c r="F245" s="363" t="str">
        <f>VLOOKUP($B240,IF($H240="F",TeamSheetFemale,TeamSheetMale),$Y245-1,FALSE)</f>
        <v>M</v>
      </c>
      <c r="G245" s="380" t="str">
        <f>VLOOKUP($B240,IF($H240="F",TeamSheetFemale,TeamSheetMale),$Y245,FALSE)</f>
        <v>Ada Masson</v>
      </c>
      <c r="H245" s="363" t="str">
        <f>VLOOKUP($B240,IF($H240="F",TeamSheetFemale,TeamSheetMale),$Y245+1,FALSE)</f>
        <v>MM</v>
      </c>
      <c r="I245" s="364" t="str">
        <f>VLOOKUP($B240,IF($H240="F",TeamSheetFemale,TeamSheetMale),$Y245+2,FALSE)</f>
        <v>Gabrielle Blake</v>
      </c>
      <c r="K245" s="341" t="s">
        <v>275</v>
      </c>
      <c r="L245" s="16" t="str">
        <f t="shared" si="200"/>
        <v>D</v>
      </c>
      <c r="M245" s="927" t="s">
        <v>513</v>
      </c>
      <c r="N245" s="927">
        <v>4.29</v>
      </c>
      <c r="O245" s="354" t="str">
        <f>IF(LEN($M245)=1,VLOOKUP(LEFT($M245,1),B241:I248,5,FALSE),IF(LEN($M245)=2,VLOOKUP(LEFT($M245,1),B241:I248,7,FALSE),""))</f>
        <v>DD</v>
      </c>
      <c r="P245" s="410" t="str">
        <f>IF(LEN($M245)=1,VLOOKUP(LEFT($M245,1),B241:I248,6,FALSE),IF(LEN($M245)=2,VLOOKUP(LEFT($M245,1),B241:I248,8,FALSE),""))</f>
        <v>Lottie Willis</v>
      </c>
      <c r="Q245" s="371" t="s">
        <v>275</v>
      </c>
      <c r="R245" s="146" t="str">
        <f t="shared" si="201"/>
        <v>Y</v>
      </c>
      <c r="S245" s="927" t="s">
        <v>822</v>
      </c>
      <c r="T245" s="927">
        <v>3.72</v>
      </c>
      <c r="U245" s="354" t="str">
        <f>IF(LEN($S245)=1,VLOOKUP(LEFT($S245,1),B241:I248,5,FALSE),IF(LEN($S245)=2,VLOOKUP(LEFT($S245,1),B241:I248,7,FALSE),""))</f>
        <v>YY</v>
      </c>
      <c r="V245" s="410" t="str">
        <f>IF(LEN($S245)=1,VLOOKUP(LEFT($S245,1),B241:I248,6,FALSE),IF(LEN($S245)=2,VLOOKUP(LEFT($S245,1),B241:I248,8,FALSE),""))</f>
        <v>Seren Kerry</v>
      </c>
      <c r="W245" s="417">
        <f t="shared" si="208"/>
        <v>4</v>
      </c>
      <c r="Y245" s="16">
        <v>27</v>
      </c>
      <c r="Z245" s="16" t="str">
        <f t="shared" si="202"/>
        <v>Strat</v>
      </c>
      <c r="AA245" s="146" t="str">
        <f t="shared" si="203"/>
        <v>Worc</v>
      </c>
      <c r="AC245" s="16" t="str">
        <f t="shared" si="204"/>
        <v>M</v>
      </c>
      <c r="AD245" s="419" t="str">
        <f t="shared" si="204"/>
        <v>Solihull &amp; S.Heath</v>
      </c>
      <c r="AE245" s="419">
        <f>IF(ISNA(MATCH(AC245,N241:N250,0)),0,VLOOKUP(AC245,N241:S250,5,FALSE))</f>
        <v>0</v>
      </c>
      <c r="AF245" s="419" t="str">
        <f>IF(ISNA(MATCH(AC245,T241:T250,0))," ",VLOOKUP(AC245,T241:Y250,5,FALSE))</f>
        <v xml:space="preserve"> </v>
      </c>
      <c r="AG245" s="419">
        <f>IF(ISNA(MATCH(AC245,L241:L248,0)),0,VLOOKUP(AC245,L241:N248,3,FALSE))</f>
        <v>4.7</v>
      </c>
      <c r="AH245" s="419">
        <f>IF(ISNA(MATCH(AC245,R241:R248,0)),0,VLOOKUP(AC245,R241:T248,3,FALSE))</f>
        <v>4.3600000000000003</v>
      </c>
      <c r="AI245" s="419" t="str">
        <f>IF(ISNA(MATCH(AC245,L241:L248,0)),0,VLOOKUP(AC245,L241:P248,4,FALSE))</f>
        <v>M</v>
      </c>
      <c r="AJ245" s="419" t="str">
        <f>IF(ISNA(MATCH(AC245,R241:R248,0)),0,VLOOKUP(AC245,R241:U248,4,FALSE))</f>
        <v>MM</v>
      </c>
      <c r="AK245" s="32">
        <f t="shared" si="205"/>
        <v>2</v>
      </c>
      <c r="AL245" s="32">
        <f t="shared" si="206"/>
        <v>2</v>
      </c>
      <c r="AM245" s="32">
        <f>IF(ISNA(MATCH(AC245,L241:L248,0)),0,VLOOKUP(AC245,L241:W248,AM$1,FALSE))</f>
        <v>7</v>
      </c>
      <c r="AN245" s="146">
        <f>IF(ISNA(MATCH(AC245,R241:R248,0)),0,VLOOKUP(AC245,R241:W248,AN$1,FALSE))</f>
        <v>7</v>
      </c>
      <c r="AP245" s="927"/>
      <c r="AQ245" s="927"/>
    </row>
    <row r="246" spans="1:47" ht="15.6" x14ac:dyDescent="0.3">
      <c r="A246" s="417">
        <f t="shared" si="207"/>
        <v>216</v>
      </c>
      <c r="B246" s="362" t="str">
        <f>'Event Details'!D$27</f>
        <v>D</v>
      </c>
      <c r="C246" s="381" t="str">
        <f>'Event Details'!E$27</f>
        <v>Stratford</v>
      </c>
      <c r="D246" s="379"/>
      <c r="E246" s="378"/>
      <c r="F246" s="363" t="str">
        <f>VLOOKUP($B240,IF($H240="F",TeamSheetFemale,TeamSheetMale),$Y246-1,FALSE)</f>
        <v>D</v>
      </c>
      <c r="G246" s="380" t="str">
        <f>VLOOKUP($B240,IF($H240="F",TeamSheetFemale,TeamSheetMale),$Y246,FALSE)</f>
        <v>Lila Gallinagh</v>
      </c>
      <c r="H246" s="363" t="str">
        <f>VLOOKUP($B240,IF($H240="F",TeamSheetFemale,TeamSheetMale),$Y246+1,FALSE)</f>
        <v>DD</v>
      </c>
      <c r="I246" s="364" t="str">
        <f>VLOOKUP($B240,IF($H240="F",TeamSheetFemale,TeamSheetMale),$Y246+2,FALSE)</f>
        <v>Lottie Willis</v>
      </c>
      <c r="K246" s="341" t="s">
        <v>276</v>
      </c>
      <c r="L246" s="16" t="str">
        <f t="shared" si="200"/>
        <v>G</v>
      </c>
      <c r="M246" s="927" t="s">
        <v>110</v>
      </c>
      <c r="N246" s="927">
        <v>4.2300000000000004</v>
      </c>
      <c r="O246" s="354" t="str">
        <f>IF(LEN($M246)=1,VLOOKUP(LEFT($M246,1),B241:I248,5,FALSE),IF(LEN($M246)=2,VLOOKUP(LEFT($M246,1),B241:I248,7,FALSE),""))</f>
        <v>G</v>
      </c>
      <c r="P246" s="410" t="str">
        <f>IF(LEN($M246)=1,VLOOKUP(LEFT($M246,1),B241:I248,6,FALSE),IF(LEN($M246)=2,VLOOKUP(LEFT($M246,1),B241:I248,8,FALSE),""))</f>
        <v>Aiza Ulhaq</v>
      </c>
      <c r="Q246" s="371" t="s">
        <v>276</v>
      </c>
      <c r="R246" s="146" t="str">
        <f t="shared" si="201"/>
        <v>G</v>
      </c>
      <c r="S246" s="927" t="s">
        <v>820</v>
      </c>
      <c r="T246" s="927">
        <v>3.7</v>
      </c>
      <c r="U246" s="354" t="str">
        <f>IF(LEN($S246)=1,VLOOKUP(LEFT($S246,1),B241:I248,5,FALSE),IF(LEN($S246)=2,VLOOKUP(LEFT($S246,1),B241:I248,7,FALSE),""))</f>
        <v>GG</v>
      </c>
      <c r="V246" s="410" t="str">
        <f>IF(LEN($S246)=1,VLOOKUP(LEFT($S246,1),B241:I248,6,FALSE),IF(LEN($S246)=2,VLOOKUP(LEFT($S246,1),B241:I248,8,FALSE),""))</f>
        <v>Zareen Ulhaq</v>
      </c>
      <c r="W246" s="417">
        <f t="shared" si="208"/>
        <v>3</v>
      </c>
      <c r="Y246" s="16">
        <v>32</v>
      </c>
      <c r="Z246" s="16" t="str">
        <f t="shared" si="202"/>
        <v>Royal</v>
      </c>
      <c r="AA246" s="146" t="str">
        <f t="shared" si="203"/>
        <v>Royal</v>
      </c>
      <c r="AC246" s="16" t="str">
        <f t="shared" si="204"/>
        <v>D</v>
      </c>
      <c r="AD246" s="419" t="str">
        <f t="shared" si="204"/>
        <v>Stratford</v>
      </c>
      <c r="AE246" s="419">
        <f>IF(ISNA(MATCH(AC246,N241:N250,0)),0,VLOOKUP(AC246,N241:S250,5,FALSE))</f>
        <v>0</v>
      </c>
      <c r="AF246" s="419" t="str">
        <f>IF(ISNA(MATCH(AC246,T241:T250,0))," ",VLOOKUP(AC246,T241:Y250,5,FALSE))</f>
        <v xml:space="preserve"> </v>
      </c>
      <c r="AG246" s="419">
        <f>IF(ISNA(MATCH(AC246,L241:L248,0)),0,VLOOKUP(AC246,L241:N248,3,FALSE))</f>
        <v>4.29</v>
      </c>
      <c r="AH246" s="419">
        <f>IF(ISNA(MATCH(AC246,R241:R248,0)),0,VLOOKUP(AC246,R241:T248,3,FALSE))</f>
        <v>4.21</v>
      </c>
      <c r="AI246" s="419" t="str">
        <f>IF(ISNA(MATCH(AC246,L241:L248,0)),0,VLOOKUP(AC246,L241:P248,4,FALSE))</f>
        <v>DD</v>
      </c>
      <c r="AJ246" s="419" t="str">
        <f>IF(ISNA(MATCH(AC246,R241:R248,0)),0,VLOOKUP(AC246,R241:U248,4,FALSE))</f>
        <v>D</v>
      </c>
      <c r="AK246" s="32">
        <f t="shared" si="205"/>
        <v>5</v>
      </c>
      <c r="AL246" s="32">
        <f t="shared" si="206"/>
        <v>4</v>
      </c>
      <c r="AM246" s="32">
        <f>IF(ISNA(MATCH(AC246,L241:L248,0)),0,VLOOKUP(AC246,L241:W248,AM$1,FALSE))</f>
        <v>4</v>
      </c>
      <c r="AN246" s="146">
        <f>IF(ISNA(MATCH(AC246,R241:R248,0)),0,VLOOKUP(AC246,R241:W248,AN$1,FALSE))</f>
        <v>5</v>
      </c>
      <c r="AP246" s="927"/>
      <c r="AQ246" s="927"/>
    </row>
    <row r="247" spans="1:47" ht="15.6" x14ac:dyDescent="0.3">
      <c r="A247" s="417">
        <f t="shared" si="207"/>
        <v>217</v>
      </c>
      <c r="B247" s="362" t="str">
        <f>'Event Details'!D$28</f>
        <v>F</v>
      </c>
      <c r="C247" s="381" t="str">
        <f>'Event Details'!E$28</f>
        <v>Tamworth</v>
      </c>
      <c r="D247" s="379"/>
      <c r="E247" s="378"/>
      <c r="F247" s="363" t="str">
        <f>VLOOKUP($B240,IF($H240="F",TeamSheetFemale,TeamSheetMale),$Y247-1,FALSE)</f>
        <v>F</v>
      </c>
      <c r="G247" s="380" t="str">
        <f>VLOOKUP($B240,IF($H240="F",TeamSheetFemale,TeamSheetMale),$Y247,FALSE)</f>
        <v>Tiarna Walls</v>
      </c>
      <c r="H247" s="363" t="str">
        <f>VLOOKUP($B240,IF($H240="F",TeamSheetFemale,TeamSheetMale),$Y247+1,FALSE)</f>
        <v>FF</v>
      </c>
      <c r="I247" s="364" t="str">
        <f>VLOOKUP($B240,IF($H240="F",TeamSheetFemale,TeamSheetMale),$Y247+2,FALSE)</f>
        <v>Brodie Horler</v>
      </c>
      <c r="K247" s="341" t="s">
        <v>277</v>
      </c>
      <c r="L247" s="16" t="str">
        <f t="shared" si="200"/>
        <v>Y</v>
      </c>
      <c r="M247" s="927" t="s">
        <v>151</v>
      </c>
      <c r="N247" s="927">
        <v>4.0599999999999996</v>
      </c>
      <c r="O247" s="354" t="str">
        <f>IF(LEN($M247)=1,VLOOKUP(LEFT($M247,1),B241:I248,5,FALSE),IF(LEN($M247)=2,VLOOKUP(LEFT($M247,1),B241:I248,7,FALSE),""))</f>
        <v>Y</v>
      </c>
      <c r="P247" s="410" t="str">
        <f>IF(LEN($M247)=1,VLOOKUP(LEFT($M247,1),B241:I248,6,FALSE),IF(LEN($M247)=2,VLOOKUP(LEFT($M247,1),B241:I248,8,FALSE),""))</f>
        <v>Penelope Cale</v>
      </c>
      <c r="Q247" s="371" t="s">
        <v>277</v>
      </c>
      <c r="R247" s="146" t="str">
        <f t="shared" si="201"/>
        <v>F</v>
      </c>
      <c r="S247" s="927" t="s">
        <v>142</v>
      </c>
      <c r="T247" s="927">
        <v>3.46</v>
      </c>
      <c r="U247" s="354" t="str">
        <f>IF(LEN($S247)=1,VLOOKUP(LEFT($S247,1),B241:I248,5,FALSE),IF(LEN($S247)=2,VLOOKUP(LEFT($S247,1),B241:I248,7,FALSE),""))</f>
        <v>F</v>
      </c>
      <c r="V247" s="410" t="str">
        <f>IF(LEN($S247)=1,VLOOKUP(LEFT($S247,1),B241:I248,6,FALSE),IF(LEN($S247)=2,VLOOKUP(LEFT($S247,1),B241:I248,8,FALSE),""))</f>
        <v>Tiarna Walls</v>
      </c>
      <c r="W247" s="417">
        <f t="shared" si="208"/>
        <v>2</v>
      </c>
      <c r="Y247" s="16">
        <v>37</v>
      </c>
      <c r="Z247" s="16" t="str">
        <f t="shared" si="202"/>
        <v>Worc</v>
      </c>
      <c r="AA247" s="146" t="str">
        <f t="shared" si="203"/>
        <v>Tam</v>
      </c>
      <c r="AC247" s="16" t="str">
        <f t="shared" si="204"/>
        <v>F</v>
      </c>
      <c r="AD247" s="419" t="str">
        <f t="shared" si="204"/>
        <v>Tamworth</v>
      </c>
      <c r="AE247" s="419">
        <f>IF(ISNA(MATCH(AC247,N239:N248,0)),0,VLOOKUP(AC247,N239:S248,5,FALSE))</f>
        <v>0</v>
      </c>
      <c r="AF247" s="419" t="str">
        <f>IF(ISNA(MATCH(AC247,T239:T248,0))," ",VLOOKUP(AC247,T239:Y248,5,FALSE))</f>
        <v xml:space="preserve"> </v>
      </c>
      <c r="AG247" s="419">
        <f>IF(ISNA(MATCH(AC247,L241:L248,0)),0,VLOOKUP(AC247,L241:N248,3,FALSE))</f>
        <v>4.66</v>
      </c>
      <c r="AH247" s="419">
        <f>IF(ISNA(MATCH(AC247,R241:R248,0)),0,VLOOKUP(AC247,R241:T248,3,FALSE))</f>
        <v>3.46</v>
      </c>
      <c r="AI247" s="419" t="str">
        <f>IF(ISNA(MATCH(AC247,L241:L248,0)),0,VLOOKUP(AC247,L241:P248,4,FALSE))</f>
        <v>FF</v>
      </c>
      <c r="AJ247" s="419" t="str">
        <f>IF(ISNA(MATCH(AC247,R241:R248,0)),0,VLOOKUP(AC247,R241:U248,4,FALSE))</f>
        <v>F</v>
      </c>
      <c r="AK247" s="32">
        <f t="shared" si="205"/>
        <v>3</v>
      </c>
      <c r="AL247" s="32">
        <f t="shared" si="206"/>
        <v>7</v>
      </c>
      <c r="AM247" s="32">
        <f>IF(ISNA(MATCH(AC247,L241:L248,0)),0,VLOOKUP(AC247,L241:W248,AM$1,FALSE))</f>
        <v>6</v>
      </c>
      <c r="AN247" s="146">
        <f>IF(ISNA(MATCH(AC247,R241:R248,0)),0,VLOOKUP(AC247,R241:W248,AN$1,FALSE))</f>
        <v>2</v>
      </c>
      <c r="AP247" s="927"/>
      <c r="AQ247" s="927"/>
    </row>
    <row r="248" spans="1:47" ht="16.2" thickBot="1" x14ac:dyDescent="0.35">
      <c r="A248" s="418">
        <f t="shared" si="207"/>
        <v>218</v>
      </c>
      <c r="B248" s="365" t="str">
        <f>'Event Details'!D$29</f>
        <v>Y</v>
      </c>
      <c r="C248" s="366" t="str">
        <f>'Event Details'!E$29</f>
        <v>Worcester</v>
      </c>
      <c r="D248" s="361"/>
      <c r="E248" s="370"/>
      <c r="F248" s="367" t="str">
        <f>VLOOKUP($B240,IF($H240="F",TeamSheetFemale,TeamSheetMale),$Y248-1,FALSE)</f>
        <v>Y</v>
      </c>
      <c r="G248" s="368" t="str">
        <f>VLOOKUP($B240,IF($H240="F",TeamSheetFemale,TeamSheetMale),$Y248,FALSE)</f>
        <v>Penelope Cale</v>
      </c>
      <c r="H248" s="367" t="str">
        <f>VLOOKUP($B240,IF($H240="F",TeamSheetFemale,TeamSheetMale),$Y248+1,FALSE)</f>
        <v>YY</v>
      </c>
      <c r="I248" s="369" t="str">
        <f>VLOOKUP($B240,IF($H240="F",TeamSheetFemale,TeamSheetMale),$Y248+2,FALSE)</f>
        <v>Seren Kerry</v>
      </c>
      <c r="K248" s="346" t="s">
        <v>278</v>
      </c>
      <c r="L248" s="25" t="str">
        <f t="shared" si="200"/>
        <v>U</v>
      </c>
      <c r="M248" s="928" t="s">
        <v>130</v>
      </c>
      <c r="N248" s="932">
        <v>3.63</v>
      </c>
      <c r="O248" s="374" t="str">
        <f>IF(LEN($M248)=1,VLOOKUP(LEFT($M248,1),B241:I248,5,FALSE),IF(LEN($M248)=2,VLOOKUP(LEFT($M248,1),B241:I248,7,FALSE),""))</f>
        <v>U</v>
      </c>
      <c r="P248" s="411" t="str">
        <f>IF(LEN($M248)=1,VLOOKUP(LEFT($M248,1),B241:I248,6,FALSE),IF(LEN($M248)=2,VLOOKUP(LEFT($M248,1),B241:I248,8,FALSE),""))</f>
        <v>Florence Aspinall</v>
      </c>
      <c r="Q248" s="407" t="s">
        <v>278</v>
      </c>
      <c r="R248" s="523" t="str">
        <f t="shared" si="201"/>
        <v/>
      </c>
      <c r="S248" s="928"/>
      <c r="T248" s="932"/>
      <c r="U248" s="374" t="str">
        <f>IF(LEN($S248)=1,VLOOKUP(LEFT($S248,1),B241:I248,5,FALSE),IF(LEN($S248)=2,VLOOKUP(LEFT($S248,1),B241:I248,7,FALSE),""))</f>
        <v/>
      </c>
      <c r="V248" s="411" t="str">
        <f>IF(LEN($S248)=1,VLOOKUP(LEFT($S248,1),B241:I248,6,FALSE),IF(LEN($S248)=2,VLOOKUP(LEFT($S248,1),B241:I248,8,FALSE),""))</f>
        <v/>
      </c>
      <c r="W248" s="418">
        <f t="shared" si="208"/>
        <v>1</v>
      </c>
      <c r="Y248" s="25">
        <v>42</v>
      </c>
      <c r="Z248" s="25" t="str">
        <f t="shared" si="202"/>
        <v>K&amp;S</v>
      </c>
      <c r="AA248" s="523">
        <f t="shared" si="203"/>
        <v>0</v>
      </c>
      <c r="AC248" s="25" t="str">
        <f t="shared" si="204"/>
        <v>Y</v>
      </c>
      <c r="AD248" s="624" t="str">
        <f t="shared" si="204"/>
        <v>Worcester</v>
      </c>
      <c r="AE248" s="624">
        <f>IF(ISNA(MATCH(AC248,N240:N249,0)),0,VLOOKUP(AC248,N240:S249,5,FALSE))</f>
        <v>0</v>
      </c>
      <c r="AF248" s="624" t="str">
        <f t="shared" ref="AF248" si="209">IF(ISNA(MATCH(AC248,T240:T249,0))," ",VLOOKUP(AC248,T240:Y249,5,FALSE))</f>
        <v xml:space="preserve"> </v>
      </c>
      <c r="AG248" s="624">
        <f>IF(ISNA(MATCH(AC248,L241:L248,0)),0,VLOOKUP(AC248,L241:N248,3,FALSE))</f>
        <v>4.0599999999999996</v>
      </c>
      <c r="AH248" s="624">
        <f>IF(ISNA(MATCH(AC248,R241:R248,0)),0,VLOOKUP(AC248,R241:T248,3,FALSE))</f>
        <v>3.72</v>
      </c>
      <c r="AI248" s="624" t="str">
        <f>IF(ISNA(MATCH(AC248,L241:L248,0)),0,VLOOKUP(AC248,L241:P248,4,FALSE))</f>
        <v>Y</v>
      </c>
      <c r="AJ248" s="624" t="str">
        <f>IF(ISNA(MATCH(AC248,R241:R248,0)),0,VLOOKUP(AC248,R241:U248,4,FALSE))</f>
        <v>YY</v>
      </c>
      <c r="AK248" s="116">
        <f t="shared" si="205"/>
        <v>7</v>
      </c>
      <c r="AL248" s="116">
        <f t="shared" si="206"/>
        <v>5</v>
      </c>
      <c r="AM248" s="116">
        <f>IF(ISNA(MATCH(AC248,L241:L248,0)),0,VLOOKUP(AC248,L241:W248,AM$1,FALSE))</f>
        <v>2</v>
      </c>
      <c r="AN248" s="523">
        <f>IF(ISNA(MATCH(AC248,R241:R248,0)),0,VLOOKUP(AC248,R241:W248,AN$1,FALSE))</f>
        <v>4</v>
      </c>
      <c r="AP248" s="928"/>
      <c r="AQ248" s="932"/>
    </row>
    <row r="249" spans="1:47" ht="15" thickBot="1" x14ac:dyDescent="0.35">
      <c r="M249" s="276"/>
      <c r="N249" s="307"/>
      <c r="S249" s="276"/>
      <c r="T249" s="307"/>
      <c r="AP249" s="276"/>
      <c r="AQ249" s="307"/>
    </row>
    <row r="250" spans="1:47" x14ac:dyDescent="0.3">
      <c r="B250" s="400" t="s">
        <v>258</v>
      </c>
      <c r="C250" s="398"/>
      <c r="D250" s="401" t="s">
        <v>165</v>
      </c>
      <c r="E250" s="398"/>
      <c r="F250" s="398"/>
      <c r="G250" s="402" t="s">
        <v>259</v>
      </c>
      <c r="H250" s="403" t="s">
        <v>249</v>
      </c>
      <c r="I250" s="404" t="s">
        <v>168</v>
      </c>
      <c r="K250" s="360"/>
      <c r="L250" s="661"/>
      <c r="M250" s="929" t="s">
        <v>260</v>
      </c>
      <c r="N250" s="929" t="s">
        <v>261</v>
      </c>
      <c r="O250" s="387" t="s">
        <v>262</v>
      </c>
      <c r="P250" s="388" t="s">
        <v>75</v>
      </c>
      <c r="Q250" s="389"/>
      <c r="R250" s="657"/>
      <c r="S250" s="929" t="s">
        <v>260</v>
      </c>
      <c r="T250" s="929" t="s">
        <v>261</v>
      </c>
      <c r="U250" s="387" t="s">
        <v>262</v>
      </c>
      <c r="V250" s="388" t="s">
        <v>75</v>
      </c>
      <c r="W250" s="672" t="s">
        <v>76</v>
      </c>
      <c r="Y250" s="414" t="s">
        <v>263</v>
      </c>
      <c r="Z250" s="656" t="s">
        <v>74</v>
      </c>
      <c r="AA250" s="657" t="s">
        <v>75</v>
      </c>
      <c r="AC250" s="665" t="s">
        <v>71</v>
      </c>
      <c r="AD250" s="657" t="s">
        <v>86</v>
      </c>
      <c r="AE250" s="661" t="s">
        <v>149</v>
      </c>
      <c r="AF250" s="661" t="s">
        <v>94</v>
      </c>
      <c r="AG250" s="661" t="s">
        <v>149</v>
      </c>
      <c r="AH250" s="661" t="s">
        <v>94</v>
      </c>
      <c r="AI250" s="661" t="s">
        <v>149</v>
      </c>
      <c r="AJ250" s="661" t="s">
        <v>94</v>
      </c>
      <c r="AK250" s="1332" t="s">
        <v>149</v>
      </c>
      <c r="AL250" s="661" t="s">
        <v>94</v>
      </c>
      <c r="AM250" s="1406" t="s">
        <v>76</v>
      </c>
      <c r="AN250" s="1407"/>
      <c r="AP250" s="929" t="s">
        <v>260</v>
      </c>
      <c r="AQ250" s="929" t="s">
        <v>261</v>
      </c>
      <c r="AS250" s="1218" t="s">
        <v>165</v>
      </c>
      <c r="AT250" s="1219" t="s">
        <v>79</v>
      </c>
      <c r="AU250" s="1220" t="s">
        <v>80</v>
      </c>
    </row>
    <row r="251" spans="1:47" ht="15" thickBot="1" x14ac:dyDescent="0.35">
      <c r="B251" s="405">
        <v>22</v>
      </c>
      <c r="C251" s="399"/>
      <c r="D251" s="385" t="str">
        <f>VLOOKUP($B251,EventOrder,6,FALSE)</f>
        <v xml:space="preserve">Shot </v>
      </c>
      <c r="E251" s="399"/>
      <c r="F251" s="385"/>
      <c r="G251" s="386" t="str">
        <f>VLOOKUP($B251,EventOrder,4,FALSE)</f>
        <v>U16 Male</v>
      </c>
      <c r="H251" s="396" t="str">
        <f>IF(MID(G251,5,1)="F","F","M")</f>
        <v>M</v>
      </c>
      <c r="I251" s="397">
        <f>VLOOKUP($B251,EventOrder,2,FALSE)</f>
        <v>1</v>
      </c>
      <c r="K251" s="377"/>
      <c r="L251" s="667" t="s">
        <v>149</v>
      </c>
      <c r="M251" s="930" t="s">
        <v>264</v>
      </c>
      <c r="N251" s="930" t="s">
        <v>265</v>
      </c>
      <c r="O251" s="390" t="s">
        <v>266</v>
      </c>
      <c r="P251" s="391"/>
      <c r="Q251" s="392"/>
      <c r="R251" s="659" t="s">
        <v>94</v>
      </c>
      <c r="S251" s="930" t="s">
        <v>264</v>
      </c>
      <c r="T251" s="930" t="s">
        <v>265</v>
      </c>
      <c r="U251" s="390" t="s">
        <v>266</v>
      </c>
      <c r="V251" s="391"/>
      <c r="W251" s="671"/>
      <c r="Y251" s="415" t="s">
        <v>167</v>
      </c>
      <c r="Z251" s="658" t="s">
        <v>149</v>
      </c>
      <c r="AA251" s="659" t="s">
        <v>94</v>
      </c>
      <c r="AC251" s="666"/>
      <c r="AD251" s="668"/>
      <c r="AE251" s="768" t="s">
        <v>75</v>
      </c>
      <c r="AF251" s="768" t="s">
        <v>75</v>
      </c>
      <c r="AG251" s="768" t="s">
        <v>267</v>
      </c>
      <c r="AH251" s="768" t="s">
        <v>267</v>
      </c>
      <c r="AI251" s="768" t="s">
        <v>268</v>
      </c>
      <c r="AJ251" s="768" t="s">
        <v>268</v>
      </c>
      <c r="AK251" s="770" t="s">
        <v>269</v>
      </c>
      <c r="AL251" s="768" t="s">
        <v>269</v>
      </c>
      <c r="AM251" s="667" t="s">
        <v>149</v>
      </c>
      <c r="AN251" s="659" t="s">
        <v>94</v>
      </c>
      <c r="AP251" s="930" t="s">
        <v>264</v>
      </c>
      <c r="AQ251" s="930" t="s">
        <v>265</v>
      </c>
      <c r="AS251" s="1221" t="s">
        <v>270</v>
      </c>
      <c r="AT251" s="1222" t="s">
        <v>270</v>
      </c>
      <c r="AU251" s="1223" t="s">
        <v>270</v>
      </c>
    </row>
    <row r="252" spans="1:47" ht="15.6" x14ac:dyDescent="0.3">
      <c r="A252" s="416">
        <f>(B251*10)+1</f>
        <v>221</v>
      </c>
      <c r="B252" s="362" t="str">
        <f>'Event Details'!D$22</f>
        <v>S</v>
      </c>
      <c r="C252" s="381" t="str">
        <f>'Event Details'!E$22</f>
        <v>BRAT</v>
      </c>
      <c r="D252" s="379"/>
      <c r="E252" s="378"/>
      <c r="F252" s="363" t="str">
        <f>VLOOKUP($B251,IF($H251="F",TeamSheetFemale,TeamSheetMale),$Y252-1,FALSE)</f>
        <v>S</v>
      </c>
      <c r="G252" s="380" t="str">
        <f>VLOOKUP($B251,IF($H251="F",TeamSheetFemale,TeamSheetMale),$Y252,FALSE)</f>
        <v>Heinrich</v>
      </c>
      <c r="H252" s="363" t="str">
        <f>VLOOKUP($B251,IF($H251="F",TeamSheetFemale,TeamSheetMale),$Y252+1,FALSE)</f>
        <v>SS</v>
      </c>
      <c r="I252" s="364" t="str">
        <f>VLOOKUP($B251,IF($H251="F",TeamSheetFemale,TeamSheetMale),$Y252+2,FALSE)</f>
        <v xml:space="preserve">Austin Demanya </v>
      </c>
      <c r="K252" s="393" t="s">
        <v>271</v>
      </c>
      <c r="L252" s="16" t="str">
        <f t="shared" ref="L252:L259" si="210">LEFT(M252,1)</f>
        <v>S</v>
      </c>
      <c r="M252" s="926" t="s">
        <v>100</v>
      </c>
      <c r="N252" s="926">
        <v>11.33</v>
      </c>
      <c r="O252" s="394" t="str">
        <f>IF(LEN($M252)=1,VLOOKUP(LEFT($M252,1),B252:I259,5,FALSE),IF(LEN($M252)=2,VLOOKUP(LEFT($M252,1),B252:I259,7,FALSE),""))</f>
        <v>S</v>
      </c>
      <c r="P252" s="395" t="str">
        <f>IF(LEN($M252)=1,VLOOKUP(LEFT($M252,1),B252:I259,6,FALSE),IF(LEN($M252)=2,VLOOKUP(LEFT($M252,1),B252:I259,8,FALSE),""))</f>
        <v>Heinrich</v>
      </c>
      <c r="Q252" s="393" t="s">
        <v>271</v>
      </c>
      <c r="R252" s="146" t="str">
        <f t="shared" ref="R252:R259" si="211">LEFT(S252,1)</f>
        <v>S</v>
      </c>
      <c r="S252" s="926" t="s">
        <v>818</v>
      </c>
      <c r="T252" s="926">
        <v>9.7200000000000006</v>
      </c>
      <c r="U252" s="394" t="str">
        <f>IF(LEN($S252)=1,VLOOKUP(LEFT($S252,1),B252:I259,5,FALSE),IF(LEN($S252)=2,VLOOKUP(LEFT($S252,1),B252:I259,7,FALSE),""))</f>
        <v>SS</v>
      </c>
      <c r="V252" s="395" t="str">
        <f>IF(LEN($S252)=1,VLOOKUP(LEFT($S252,1),B252:I259,6,FALSE),IF(LEN($S252)=2,VLOOKUP(LEFT($S252,1),B252:I259,8,FALSE),""))</f>
        <v xml:space="preserve">Austin Demanya </v>
      </c>
      <c r="W252" s="417">
        <f>AN$6</f>
        <v>8</v>
      </c>
      <c r="Y252" s="416">
        <v>7</v>
      </c>
      <c r="Z252" s="653" t="str">
        <f t="shared" ref="Z252:Z259" si="212">IF(LEN(M252)&gt;0,VLOOKUP(LEFT(M252,1),ShortName,5,FALSE),0)</f>
        <v>BRAT</v>
      </c>
      <c r="AA252" s="138" t="str">
        <f t="shared" ref="AA252:AA259" si="213">IF(LEN(S252)&gt;0,VLOOKUP(LEFT(S252,1),ShortName,5,FALSE),0)</f>
        <v>BRAT</v>
      </c>
      <c r="AC252" s="16" t="str">
        <f t="shared" ref="AC252:AD259" si="214">B252</f>
        <v>S</v>
      </c>
      <c r="AD252" s="419" t="str">
        <f t="shared" si="214"/>
        <v>BRAT</v>
      </c>
      <c r="AE252" s="635">
        <f>IF(ISNA(MATCH(AC252,N252:N261,0)),0,VLOOKUP(AC252,N252:S261,5,FALSE))</f>
        <v>0</v>
      </c>
      <c r="AF252" s="635" t="str">
        <f>IF(ISNA(MATCH(AC252,T252:T261,0))," ",VLOOKUP(AC252,T252:Y261,5,FALSE))</f>
        <v xml:space="preserve"> </v>
      </c>
      <c r="AG252" s="635">
        <f>IF(ISNA(MATCH(AC252,L252:L259,0)),0,VLOOKUP(AC252,L252:N259,3,FALSE))</f>
        <v>11.33</v>
      </c>
      <c r="AH252" s="635">
        <f>IF(ISNA(MATCH(AC252,R252:R259,0)),0,VLOOKUP(AC252,R252:T259,3,FALSE))</f>
        <v>9.7200000000000006</v>
      </c>
      <c r="AI252" s="635" t="str">
        <f>IF(ISNA(MATCH(AC252,L252:L259,0)),0,VLOOKUP(AC252,L252:P259,4,FALSE))</f>
        <v>S</v>
      </c>
      <c r="AJ252" s="635" t="str">
        <f>IF(ISNA(MATCH(AC252,R252:R259,0)),0,VLOOKUP(AC252,R252:U259,4,FALSE))</f>
        <v>SS</v>
      </c>
      <c r="AK252" s="49">
        <f t="shared" ref="AK252:AK259" si="215">IF(AM252=0,0,AN$6-(AM252-1))</f>
        <v>1</v>
      </c>
      <c r="AL252" s="49">
        <f t="shared" ref="AL252:AL259" si="216">IF(AN252=0,0,AN$6-(AN252-1))</f>
        <v>1</v>
      </c>
      <c r="AM252" s="49">
        <f>IF(ISNA(MATCH(AC252,L252:L259,0)),0,VLOOKUP(AC252,L252:W259,AM$1,FALSE))</f>
        <v>8</v>
      </c>
      <c r="AN252" s="138">
        <f>IF(ISNA(MATCH(AC252,R252:R259,0)),0,VLOOKUP(AC252,R252:W259,AN$1,FALSE))</f>
        <v>8</v>
      </c>
      <c r="AP252" s="926"/>
      <c r="AQ252" s="926"/>
      <c r="AS252" s="32">
        <f>IF(LEN(N252)&gt;0,1,0)</f>
        <v>1</v>
      </c>
      <c r="AT252" s="32">
        <f>IF(AND(AS252=1,H251="M"),1,0)</f>
        <v>1</v>
      </c>
      <c r="AU252" s="32">
        <f>IF(AND(AS252=1,H251="F"),1,0)</f>
        <v>0</v>
      </c>
    </row>
    <row r="253" spans="1:47" ht="15.6" x14ac:dyDescent="0.3">
      <c r="A253" s="417">
        <f>A252+1</f>
        <v>222</v>
      </c>
      <c r="B253" s="362" t="str">
        <f>'Event Details'!D$23</f>
        <v>U</v>
      </c>
      <c r="C253" s="381" t="str">
        <f>'Event Details'!E$23</f>
        <v>Kidder &amp; Stourport</v>
      </c>
      <c r="D253" s="379"/>
      <c r="E253" s="378"/>
      <c r="F253" s="363">
        <f>VLOOKUP($B251,IF($H251="F",TeamSheetFemale,TeamSheetMale),$Y253-1,FALSE)</f>
        <v>0</v>
      </c>
      <c r="G253" s="380">
        <f>VLOOKUP($B251,IF($H251="F",TeamSheetFemale,TeamSheetMale),$Y253,FALSE)</f>
        <v>0</v>
      </c>
      <c r="H253" s="363">
        <f>VLOOKUP($B251,IF($H251="F",TeamSheetFemale,TeamSheetMale),$Y253+1,FALSE)</f>
        <v>0</v>
      </c>
      <c r="I253" s="364">
        <f>VLOOKUP($B251,IF($H251="F",TeamSheetFemale,TeamSheetMale),$Y253+2,FALSE)</f>
        <v>0</v>
      </c>
      <c r="K253" s="341" t="s">
        <v>272</v>
      </c>
      <c r="L253" s="16" t="str">
        <f t="shared" si="210"/>
        <v>R</v>
      </c>
      <c r="M253" s="927" t="s">
        <v>118</v>
      </c>
      <c r="N253" s="927">
        <v>10.63</v>
      </c>
      <c r="O253" s="353" t="str">
        <f>IF(LEN($M253)=1,VLOOKUP(LEFT($M253,1),B252:I259,5,FALSE),IF(LEN($M253)=2,VLOOKUP(LEFT($M253,1),B252:I259,7,FALSE),""))</f>
        <v>R</v>
      </c>
      <c r="P253" s="373" t="str">
        <f>IF(LEN($M253)=1,VLOOKUP(LEFT($M253,1),B252:I259,6,FALSE),IF(LEN($M253)=2,VLOOKUP(LEFT($M253,1),B252:I259,8,FALSE),""))</f>
        <v>Dexter Barrett</v>
      </c>
      <c r="Q253" s="341" t="s">
        <v>272</v>
      </c>
      <c r="R253" s="146" t="str">
        <f t="shared" si="211"/>
        <v>R</v>
      </c>
      <c r="S253" s="927" t="s">
        <v>819</v>
      </c>
      <c r="T253" s="927">
        <v>9.14</v>
      </c>
      <c r="U253" s="353" t="str">
        <f>IF(LEN($S253)=1,VLOOKUP(LEFT($S253,1),B252:I259,5,FALSE),IF(LEN($S253)=2,VLOOKUP(LEFT($S253,1),B252:I259,7,FALSE),""))</f>
        <v>RR</v>
      </c>
      <c r="V253" s="373" t="str">
        <f>IF(LEN($S253)=1,VLOOKUP(LEFT($S253,1),B252:I259,6,FALSE),IF(LEN($S253)=2,VLOOKUP(LEFT($S253,1),B252:I259,8,FALSE),""))</f>
        <v>Matei Cosciug</v>
      </c>
      <c r="W253" s="417">
        <f>W252-1</f>
        <v>7</v>
      </c>
      <c r="Y253" s="417">
        <v>12</v>
      </c>
      <c r="Z253" s="16" t="str">
        <f t="shared" si="212"/>
        <v>Rugby</v>
      </c>
      <c r="AA253" s="146" t="str">
        <f t="shared" si="213"/>
        <v>Rugby</v>
      </c>
      <c r="AC253" s="16" t="str">
        <f t="shared" si="214"/>
        <v>U</v>
      </c>
      <c r="AD253" s="419" t="str">
        <f t="shared" si="214"/>
        <v>Kidder &amp; Stourport</v>
      </c>
      <c r="AE253" s="419">
        <f>IF(ISNA(MATCH(AC253,N252:N261,0)),0,VLOOKUP(AC253,N252:S261,5,FALSE))</f>
        <v>0</v>
      </c>
      <c r="AF253" s="419" t="str">
        <f>IF(ISNA(MATCH(AC253,T252:T261,0))," ",VLOOKUP(AC253,T252:Y261,5,FALSE))</f>
        <v xml:space="preserve"> </v>
      </c>
      <c r="AG253" s="419">
        <f>IF(ISNA(MATCH(AC253,L252:L259,0)),0,VLOOKUP(AC253,L252:N259,3,FALSE))</f>
        <v>0</v>
      </c>
      <c r="AH253" s="419">
        <f>IF(ISNA(MATCH(AC253,R252:R259,0)),0,VLOOKUP(AC253,R252:T259,3,FALSE))</f>
        <v>0</v>
      </c>
      <c r="AI253" s="419">
        <f>IF(ISNA(MATCH(AC253,L252:L259,0)),0,VLOOKUP(AC253,L252:P259,4,FALSE))</f>
        <v>0</v>
      </c>
      <c r="AJ253" s="419">
        <f>IF(ISNA(MATCH(AC253,R252:R259,0)),0,VLOOKUP(AC253,R252:U259,4,FALSE))</f>
        <v>0</v>
      </c>
      <c r="AK253" s="32">
        <f t="shared" si="215"/>
        <v>0</v>
      </c>
      <c r="AL253" s="32">
        <f t="shared" si="216"/>
        <v>0</v>
      </c>
      <c r="AM253" s="32">
        <f>IF(ISNA(MATCH(AC253,L252:L259,0)),0,VLOOKUP(AC253,L252:W259,AM$1,FALSE))</f>
        <v>0</v>
      </c>
      <c r="AN253" s="146">
        <f>IF(ISNA(MATCH(AC253,R252:R259,0)),0,VLOOKUP(AC253,R252:W259,AN$1,FALSE))</f>
        <v>0</v>
      </c>
      <c r="AP253" s="927"/>
      <c r="AQ253" s="927"/>
    </row>
    <row r="254" spans="1:47" ht="15.6" x14ac:dyDescent="0.3">
      <c r="A254" s="417">
        <f t="shared" ref="A254:A259" si="217">A253+1</f>
        <v>223</v>
      </c>
      <c r="B254" s="362" t="str">
        <f>'Event Details'!D$24</f>
        <v>G</v>
      </c>
      <c r="C254" s="381" t="str">
        <f>'Event Details'!E$24</f>
        <v>Royal Sutton</v>
      </c>
      <c r="D254" s="379"/>
      <c r="E254" s="378"/>
      <c r="F254" s="363" t="str">
        <f>VLOOKUP($B251,IF($H251="F",TeamSheetFemale,TeamSheetMale),$Y254-1,FALSE)</f>
        <v>G</v>
      </c>
      <c r="G254" s="380" t="str">
        <f>VLOOKUP($B251,IF($H251="F",TeamSheetFemale,TeamSheetMale),$Y254,FALSE)</f>
        <v>Louis Matthews</v>
      </c>
      <c r="H254" s="363" t="str">
        <f>VLOOKUP($B251,IF($H251="F",TeamSheetFemale,TeamSheetMale),$Y254+1,FALSE)</f>
        <v>GG</v>
      </c>
      <c r="I254" s="364" t="str">
        <f>VLOOKUP($B251,IF($H251="F",TeamSheetFemale,TeamSheetMale),$Y254+2,FALSE)</f>
        <v>Amos Aucutt</v>
      </c>
      <c r="K254" s="341" t="s">
        <v>273</v>
      </c>
      <c r="L254" s="16" t="str">
        <f t="shared" si="210"/>
        <v>G</v>
      </c>
      <c r="M254" s="927" t="s">
        <v>110</v>
      </c>
      <c r="N254" s="927">
        <v>9.94</v>
      </c>
      <c r="O254" s="353" t="str">
        <f>IF(LEN($M254)=1,VLOOKUP(LEFT($M254,1),B252:I259,5,FALSE),IF(LEN($M254)=2,VLOOKUP(LEFT($M254,1),B252:I259,7,FALSE),""))</f>
        <v>G</v>
      </c>
      <c r="P254" s="373" t="str">
        <f>IF(LEN($M254)=1,VLOOKUP(LEFT($M254,1),B252:I259,6,FALSE),IF(LEN($M254)=2,VLOOKUP(LEFT($M254,1),B252:I259,8,FALSE),""))</f>
        <v>Louis Matthews</v>
      </c>
      <c r="Q254" s="341" t="s">
        <v>273</v>
      </c>
      <c r="R254" s="146" t="str">
        <f t="shared" si="211"/>
        <v>D</v>
      </c>
      <c r="S254" s="927" t="s">
        <v>136</v>
      </c>
      <c r="T254" s="927">
        <v>8.11</v>
      </c>
      <c r="U254" s="353" t="str">
        <f>IF(LEN($S254)=1,VLOOKUP(LEFT($S254,1),B252:I259,5,FALSE),IF(LEN($S254)=2,VLOOKUP(LEFT($S254,1),B252:I259,7,FALSE),""))</f>
        <v>D</v>
      </c>
      <c r="V254" s="373" t="str">
        <f>IF(LEN($S254)=1,VLOOKUP(LEFT($S254,1),B252:I259,6,FALSE),IF(LEN($S254)=2,VLOOKUP(LEFT($S254,1),B252:I259,8,FALSE),""))</f>
        <v>Zac Birch</v>
      </c>
      <c r="W254" s="417">
        <f t="shared" ref="W254:W259" si="218">W253-1</f>
        <v>6</v>
      </c>
      <c r="Y254" s="417">
        <v>17</v>
      </c>
      <c r="Z254" s="16" t="str">
        <f t="shared" si="212"/>
        <v>Royal</v>
      </c>
      <c r="AA254" s="146" t="str">
        <f t="shared" si="213"/>
        <v>Strat</v>
      </c>
      <c r="AB254" s="32"/>
      <c r="AC254" s="16" t="str">
        <f t="shared" si="214"/>
        <v>G</v>
      </c>
      <c r="AD254" s="419" t="str">
        <f t="shared" si="214"/>
        <v>Royal Sutton</v>
      </c>
      <c r="AE254" s="419">
        <f>IF(ISNA(MATCH(AC254,N252:N261,0)),0,VLOOKUP(AC254,N252:S261,5,FALSE))</f>
        <v>0</v>
      </c>
      <c r="AF254" s="419" t="str">
        <f>IF(ISNA(MATCH(AC254,T252:T261,0))," ",VLOOKUP(AC254,T252:Y261,5,FALSE))</f>
        <v xml:space="preserve"> </v>
      </c>
      <c r="AG254" s="419">
        <f>IF(ISNA(MATCH(AC254,L252:L259,0)),0,VLOOKUP(AC254,L252:N259,3,FALSE))</f>
        <v>9.94</v>
      </c>
      <c r="AH254" s="419">
        <f>IF(ISNA(MATCH(AC254,R252:R259,0)),0,VLOOKUP(AC254,R252:T259,3,FALSE))</f>
        <v>7.47</v>
      </c>
      <c r="AI254" s="419" t="str">
        <f>IF(ISNA(MATCH(AC254,L252:L259,0)),0,VLOOKUP(AC254,L252:P259,4,FALSE))</f>
        <v>G</v>
      </c>
      <c r="AJ254" s="419" t="str">
        <f>IF(ISNA(MATCH(AC254,R252:R259,0)),0,VLOOKUP(AC254,R252:U259,4,FALSE))</f>
        <v>GG</v>
      </c>
      <c r="AK254" s="32">
        <f t="shared" si="215"/>
        <v>3</v>
      </c>
      <c r="AL254" s="32">
        <f t="shared" si="216"/>
        <v>6</v>
      </c>
      <c r="AM254" s="32">
        <f>IF(ISNA(MATCH(AC254,L252:L259,0)),0,VLOOKUP(AC254,L252:W259,AM$1,FALSE))</f>
        <v>6</v>
      </c>
      <c r="AN254" s="146">
        <f>IF(ISNA(MATCH(AC254,R252:R259,0)),0,VLOOKUP(AC254,R252:W259,AN$1,FALSE))</f>
        <v>3</v>
      </c>
      <c r="AP254" s="927"/>
      <c r="AQ254" s="927"/>
    </row>
    <row r="255" spans="1:47" ht="15.6" x14ac:dyDescent="0.3">
      <c r="A255" s="417">
        <f t="shared" si="217"/>
        <v>224</v>
      </c>
      <c r="B255" s="362" t="str">
        <f>'Event Details'!D$25</f>
        <v>R</v>
      </c>
      <c r="C255" s="381" t="str">
        <f>'Event Details'!E$25</f>
        <v>Rugby &amp; N'hampton</v>
      </c>
      <c r="D255" s="379"/>
      <c r="E255" s="378"/>
      <c r="F255" s="363" t="str">
        <f>VLOOKUP($B251,IF($H251="F",TeamSheetFemale,TeamSheetMale),$Y255-1,FALSE)</f>
        <v>R</v>
      </c>
      <c r="G255" s="380" t="str">
        <f>VLOOKUP($B251,IF($H251="F",TeamSheetFemale,TeamSheetMale),$Y255,FALSE)</f>
        <v>Dexter Barrett</v>
      </c>
      <c r="H255" s="363" t="str">
        <f>VLOOKUP($B251,IF($H251="F",TeamSheetFemale,TeamSheetMale),$Y255+1,FALSE)</f>
        <v>RR</v>
      </c>
      <c r="I255" s="364" t="str">
        <f>VLOOKUP($B251,IF($H251="F",TeamSheetFemale,TeamSheetMale),$Y255+2,FALSE)</f>
        <v>Matei Cosciug</v>
      </c>
      <c r="K255" s="341" t="s">
        <v>274</v>
      </c>
      <c r="L255" s="16" t="str">
        <f t="shared" si="210"/>
        <v>D</v>
      </c>
      <c r="M255" s="927" t="s">
        <v>513</v>
      </c>
      <c r="N255" s="927">
        <v>8.67</v>
      </c>
      <c r="O255" s="353" t="str">
        <f>IF(LEN($M255)=1,VLOOKUP(LEFT($M255,1),B252:I259,5,FALSE),IF(LEN($M255)=2,VLOOKUP(LEFT($M255,1),B252:I259,7,FALSE),""))</f>
        <v>DD</v>
      </c>
      <c r="P255" s="373" t="str">
        <f>IF(LEN($M255)=1,VLOOKUP(LEFT($M255,1),B252:I259,6,FALSE),IF(LEN($M255)=2,VLOOKUP(LEFT($M255,1),B252:I259,8,FALSE),""))</f>
        <v>Toby Wilkinson</v>
      </c>
      <c r="Q255" s="341" t="s">
        <v>274</v>
      </c>
      <c r="R255" s="146" t="str">
        <f t="shared" si="211"/>
        <v>M</v>
      </c>
      <c r="S255" s="927" t="s">
        <v>127</v>
      </c>
      <c r="T255" s="927">
        <v>8.0500000000000007</v>
      </c>
      <c r="U255" s="353" t="str">
        <f>IF(LEN($S255)=1,VLOOKUP(LEFT($S255,1),B252:I259,5,FALSE),IF(LEN($S255)=2,VLOOKUP(LEFT($S255,1),B252:I259,7,FALSE),""))</f>
        <v>M</v>
      </c>
      <c r="V255" s="373" t="str">
        <f>IF(LEN($S255)=1,VLOOKUP(LEFT($S255,1),B252:I259,6,FALSE),IF(LEN($S255)=2,VLOOKUP(LEFT($S255,1),B252:I259,8,FALSE),""))</f>
        <v>Elijah Simpson</v>
      </c>
      <c r="W255" s="417">
        <f t="shared" si="218"/>
        <v>5</v>
      </c>
      <c r="Y255" s="417">
        <v>22</v>
      </c>
      <c r="Z255" s="16" t="str">
        <f t="shared" si="212"/>
        <v>Strat</v>
      </c>
      <c r="AA255" s="146" t="str">
        <f t="shared" si="213"/>
        <v>Sol</v>
      </c>
      <c r="AB255" s="32"/>
      <c r="AC255" s="16" t="str">
        <f t="shared" si="214"/>
        <v>R</v>
      </c>
      <c r="AD255" s="419" t="str">
        <f t="shared" si="214"/>
        <v>Rugby &amp; N'hampton</v>
      </c>
      <c r="AE255" s="419">
        <f>IF(ISNA(MATCH(AC255,N252:N261,0)),0,VLOOKUP(AC255,N252:S261,5,FALSE))</f>
        <v>0</v>
      </c>
      <c r="AF255" s="419" t="str">
        <f>IF(ISNA(MATCH(AC255,T252:T261,0))," ",VLOOKUP(AC255,T252:Y261,5,FALSE))</f>
        <v xml:space="preserve"> </v>
      </c>
      <c r="AG255" s="419">
        <f>IF(ISNA(MATCH(AC255,L252:L259,0)),0,VLOOKUP(AC255,L252:N259,3,FALSE))</f>
        <v>10.63</v>
      </c>
      <c r="AH255" s="419">
        <f>IF(ISNA(MATCH(AC255,R252:R259,0)),0,VLOOKUP(AC255,R252:T259,3,FALSE))</f>
        <v>9.14</v>
      </c>
      <c r="AI255" s="419" t="str">
        <f>IF(ISNA(MATCH(AC255,L252:L259,0)),0,VLOOKUP(AC255,L252:P259,4,FALSE))</f>
        <v>R</v>
      </c>
      <c r="AJ255" s="419" t="str">
        <f>IF(ISNA(MATCH(AC255,R252:R259,0)),0,VLOOKUP(AC255,R252:U259,4,FALSE))</f>
        <v>RR</v>
      </c>
      <c r="AK255" s="32">
        <f t="shared" si="215"/>
        <v>2</v>
      </c>
      <c r="AL255" s="32">
        <f t="shared" si="216"/>
        <v>2</v>
      </c>
      <c r="AM255" s="32">
        <f>IF(ISNA(MATCH(AC255,L252:L259,0)),0,VLOOKUP(AC255,L252:W259,AM$1,FALSE))</f>
        <v>7</v>
      </c>
      <c r="AN255" s="146">
        <f>IF(ISNA(MATCH(AC255,R252:R259,0)),0,VLOOKUP(AC255,R252:W259,AN$1,FALSE))</f>
        <v>7</v>
      </c>
      <c r="AP255" s="927"/>
      <c r="AQ255" s="927"/>
    </row>
    <row r="256" spans="1:47" ht="15.6" x14ac:dyDescent="0.3">
      <c r="A256" s="417">
        <f t="shared" si="217"/>
        <v>225</v>
      </c>
      <c r="B256" s="362" t="str">
        <f>'Event Details'!D$26</f>
        <v>M</v>
      </c>
      <c r="C256" s="381" t="str">
        <f>'Event Details'!E$26</f>
        <v>Solihull &amp; S.Heath</v>
      </c>
      <c r="D256" s="379"/>
      <c r="E256" s="378"/>
      <c r="F256" s="363" t="str">
        <f>VLOOKUP($B251,IF($H251="F",TeamSheetFemale,TeamSheetMale),$Y256-1,FALSE)</f>
        <v>M</v>
      </c>
      <c r="G256" s="380" t="str">
        <f>VLOOKUP($B251,IF($H251="F",TeamSheetFemale,TeamSheetMale),$Y256,FALSE)</f>
        <v>Elijah Simpson</v>
      </c>
      <c r="H256" s="363" t="str">
        <f>VLOOKUP($B251,IF($H251="F",TeamSheetFemale,TeamSheetMale),$Y256+1,FALSE)</f>
        <v>MM</v>
      </c>
      <c r="I256" s="364" t="str">
        <f>VLOOKUP($B251,IF($H251="F",TeamSheetFemale,TeamSheetMale),$Y256+2,FALSE)</f>
        <v>Luca Woodley</v>
      </c>
      <c r="K256" s="341" t="s">
        <v>275</v>
      </c>
      <c r="L256" s="16" t="str">
        <f t="shared" si="210"/>
        <v>Y</v>
      </c>
      <c r="M256" s="927" t="s">
        <v>151</v>
      </c>
      <c r="N256" s="927">
        <v>8.4600000000000009</v>
      </c>
      <c r="O256" s="353" t="str">
        <f>IF(LEN($M256)=1,VLOOKUP(LEFT($M256,1),B252:I259,5,FALSE),IF(LEN($M256)=2,VLOOKUP(LEFT($M256,1),B252:I259,7,FALSE),""))</f>
        <v>Y</v>
      </c>
      <c r="P256" s="373" t="str">
        <f>IF(LEN($M256)=1,VLOOKUP(LEFT($M256,1),B252:I259,6,FALSE),IF(LEN($M256)=2,VLOOKUP(LEFT($M256,1),B252:I259,8,FALSE),""))</f>
        <v>Huw Mabey</v>
      </c>
      <c r="Q256" s="341" t="s">
        <v>275</v>
      </c>
      <c r="R256" s="146" t="str">
        <f t="shared" si="211"/>
        <v>Y</v>
      </c>
      <c r="S256" s="927" t="s">
        <v>822</v>
      </c>
      <c r="T256" s="927">
        <v>7.81</v>
      </c>
      <c r="U256" s="353" t="str">
        <f>IF(LEN($S256)=1,VLOOKUP(LEFT($S256,1),B252:I259,5,FALSE),IF(LEN($S256)=2,VLOOKUP(LEFT($S256,1),B252:I259,7,FALSE),""))</f>
        <v>YY</v>
      </c>
      <c r="V256" s="373" t="str">
        <f>IF(LEN($S256)=1,VLOOKUP(LEFT($S256,1),B252:I259,6,FALSE),IF(LEN($S256)=2,VLOOKUP(LEFT($S256,1),B252:I259,8,FALSE),""))</f>
        <v>Hayden Helme</v>
      </c>
      <c r="W256" s="417">
        <f t="shared" si="218"/>
        <v>4</v>
      </c>
      <c r="Y256" s="417">
        <v>27</v>
      </c>
      <c r="Z256" s="16" t="str">
        <f t="shared" si="212"/>
        <v>Worc</v>
      </c>
      <c r="AA256" s="146" t="str">
        <f t="shared" si="213"/>
        <v>Worc</v>
      </c>
      <c r="AB256" s="32"/>
      <c r="AC256" s="16" t="str">
        <f t="shared" si="214"/>
        <v>M</v>
      </c>
      <c r="AD256" s="419" t="str">
        <f t="shared" si="214"/>
        <v>Solihull &amp; S.Heath</v>
      </c>
      <c r="AE256" s="419">
        <f>IF(ISNA(MATCH(AC256,N252:N261,0)),0,VLOOKUP(AC256,N252:S261,5,FALSE))</f>
        <v>0</v>
      </c>
      <c r="AF256" s="419" t="str">
        <f>IF(ISNA(MATCH(AC256,T252:T261,0))," ",VLOOKUP(AC256,T252:Y261,5,FALSE))</f>
        <v xml:space="preserve"> </v>
      </c>
      <c r="AG256" s="419">
        <f>IF(ISNA(MATCH(AC256,L252:L259,0)),0,VLOOKUP(AC256,L252:N259,3,FALSE))</f>
        <v>8.07</v>
      </c>
      <c r="AH256" s="419">
        <f>IF(ISNA(MATCH(AC256,R252:R259,0)),0,VLOOKUP(AC256,R252:T259,3,FALSE))</f>
        <v>8.0500000000000007</v>
      </c>
      <c r="AI256" s="419" t="str">
        <f>IF(ISNA(MATCH(AC256,L252:L259,0)),0,VLOOKUP(AC256,L252:P259,4,FALSE))</f>
        <v>MM</v>
      </c>
      <c r="AJ256" s="419" t="str">
        <f>IF(ISNA(MATCH(AC256,R252:R259,0)),0,VLOOKUP(AC256,R252:U259,4,FALSE))</f>
        <v>M</v>
      </c>
      <c r="AK256" s="32">
        <f t="shared" si="215"/>
        <v>6</v>
      </c>
      <c r="AL256" s="32">
        <f t="shared" si="216"/>
        <v>4</v>
      </c>
      <c r="AM256" s="32">
        <f>IF(ISNA(MATCH(AC256,L252:L259,0)),0,VLOOKUP(AC256,L252:W259,AM$1,FALSE))</f>
        <v>3</v>
      </c>
      <c r="AN256" s="146">
        <f>IF(ISNA(MATCH(AC256,R252:R259,0)),0,VLOOKUP(AC256,R252:W259,AN$1,FALSE))</f>
        <v>5</v>
      </c>
      <c r="AP256" s="927"/>
      <c r="AQ256" s="927"/>
    </row>
    <row r="257" spans="1:47" ht="15.6" x14ac:dyDescent="0.3">
      <c r="A257" s="417">
        <f t="shared" si="217"/>
        <v>226</v>
      </c>
      <c r="B257" s="362" t="str">
        <f>'Event Details'!D$27</f>
        <v>D</v>
      </c>
      <c r="C257" s="381" t="str">
        <f>'Event Details'!E$27</f>
        <v>Stratford</v>
      </c>
      <c r="D257" s="379"/>
      <c r="E257" s="378"/>
      <c r="F257" s="363" t="str">
        <f>VLOOKUP($B251,IF($H251="F",TeamSheetFemale,TeamSheetMale),$Y257-1,FALSE)</f>
        <v>D</v>
      </c>
      <c r="G257" s="380" t="str">
        <f>VLOOKUP($B251,IF($H251="F",TeamSheetFemale,TeamSheetMale),$Y257,FALSE)</f>
        <v>Zac Birch</v>
      </c>
      <c r="H257" s="363" t="str">
        <f>VLOOKUP($B251,IF($H251="F",TeamSheetFemale,TeamSheetMale),$Y257+1,FALSE)</f>
        <v>DD</v>
      </c>
      <c r="I257" s="364" t="str">
        <f>VLOOKUP($B251,IF($H251="F",TeamSheetFemale,TeamSheetMale),$Y257+2,FALSE)</f>
        <v>Toby Wilkinson</v>
      </c>
      <c r="K257" s="341" t="s">
        <v>276</v>
      </c>
      <c r="L257" s="16" t="str">
        <f t="shared" si="210"/>
        <v>M</v>
      </c>
      <c r="M257" s="927" t="s">
        <v>821</v>
      </c>
      <c r="N257" s="927">
        <v>8.07</v>
      </c>
      <c r="O257" s="353" t="str">
        <f>IF(LEN($M257)=1,VLOOKUP(LEFT($M257,1),B252:I259,5,FALSE),IF(LEN($M257)=2,VLOOKUP(LEFT($M257,1),B252:I259,7,FALSE),""))</f>
        <v>MM</v>
      </c>
      <c r="P257" s="373" t="str">
        <f>IF(LEN($M257)=1,VLOOKUP(LEFT($M257,1),B252:I259,6,FALSE),IF(LEN($M257)=2,VLOOKUP(LEFT($M257,1),B252:I259,8,FALSE),""))</f>
        <v>Luca Woodley</v>
      </c>
      <c r="Q257" s="341" t="s">
        <v>276</v>
      </c>
      <c r="R257" s="146" t="str">
        <f t="shared" si="211"/>
        <v>G</v>
      </c>
      <c r="S257" s="927" t="s">
        <v>820</v>
      </c>
      <c r="T257" s="927">
        <v>7.47</v>
      </c>
      <c r="U257" s="353" t="str">
        <f>IF(LEN($S257)=1,VLOOKUP(LEFT($S257,1),B252:I259,5,FALSE),IF(LEN($S257)=2,VLOOKUP(LEFT($S257,1),B252:I259,7,FALSE),""))</f>
        <v>GG</v>
      </c>
      <c r="V257" s="373" t="str">
        <f>IF(LEN($S257)=1,VLOOKUP(LEFT($S257,1),B252:I259,6,FALSE),IF(LEN($S257)=2,VLOOKUP(LEFT($S257,1),B252:I259,8,FALSE),""))</f>
        <v>Amos Aucutt</v>
      </c>
      <c r="W257" s="417">
        <f t="shared" si="218"/>
        <v>3</v>
      </c>
      <c r="Y257" s="417">
        <v>32</v>
      </c>
      <c r="Z257" s="16" t="str">
        <f t="shared" si="212"/>
        <v>Sol</v>
      </c>
      <c r="AA257" s="146" t="str">
        <f t="shared" si="213"/>
        <v>Royal</v>
      </c>
      <c r="AB257" s="32"/>
      <c r="AC257" s="16" t="str">
        <f t="shared" si="214"/>
        <v>D</v>
      </c>
      <c r="AD257" s="419" t="str">
        <f t="shared" si="214"/>
        <v>Stratford</v>
      </c>
      <c r="AE257" s="419">
        <f>IF(ISNA(MATCH(AC257,N252:N261,0)),0,VLOOKUP(AC257,N252:S261,5,FALSE))</f>
        <v>0</v>
      </c>
      <c r="AF257" s="419" t="str">
        <f>IF(ISNA(MATCH(AC257,T252:T261,0))," ",VLOOKUP(AC257,T252:Y261,5,FALSE))</f>
        <v xml:space="preserve"> </v>
      </c>
      <c r="AG257" s="419">
        <f>IF(ISNA(MATCH(AC257,L252:L259,0)),0,VLOOKUP(AC257,L252:N259,3,FALSE))</f>
        <v>8.67</v>
      </c>
      <c r="AH257" s="419">
        <f>IF(ISNA(MATCH(AC257,R252:R259,0)),0,VLOOKUP(AC257,R252:T259,3,FALSE))</f>
        <v>8.11</v>
      </c>
      <c r="AI257" s="419" t="str">
        <f>IF(ISNA(MATCH(AC257,L252:L259,0)),0,VLOOKUP(AC257,L252:P259,4,FALSE))</f>
        <v>DD</v>
      </c>
      <c r="AJ257" s="419" t="str">
        <f>IF(ISNA(MATCH(AC257,R252:R259,0)),0,VLOOKUP(AC257,R252:U259,4,FALSE))</f>
        <v>D</v>
      </c>
      <c r="AK257" s="32">
        <f t="shared" si="215"/>
        <v>4</v>
      </c>
      <c r="AL257" s="32">
        <f t="shared" si="216"/>
        <v>3</v>
      </c>
      <c r="AM257" s="32">
        <f>IF(ISNA(MATCH(AC257,L252:L259,0)),0,VLOOKUP(AC257,L252:W259,AM$1,FALSE))</f>
        <v>5</v>
      </c>
      <c r="AN257" s="146">
        <f>IF(ISNA(MATCH(AC257,R252:R259,0)),0,VLOOKUP(AC257,R252:W259,AN$1,FALSE))</f>
        <v>6</v>
      </c>
      <c r="AP257" s="927"/>
      <c r="AQ257" s="927"/>
    </row>
    <row r="258" spans="1:47" ht="15.6" x14ac:dyDescent="0.3">
      <c r="A258" s="417">
        <f t="shared" si="217"/>
        <v>227</v>
      </c>
      <c r="B258" s="362" t="str">
        <f>'Event Details'!D$28</f>
        <v>F</v>
      </c>
      <c r="C258" s="381" t="str">
        <f>'Event Details'!E$28</f>
        <v>Tamworth</v>
      </c>
      <c r="D258" s="379"/>
      <c r="E258" s="378"/>
      <c r="F258" s="363" t="str">
        <f>VLOOKUP($B251,IF($H251="F",TeamSheetFemale,TeamSheetMale),$Y258-1,FALSE)</f>
        <v>F</v>
      </c>
      <c r="G258" s="380" t="str">
        <f>VLOOKUP($B251,IF($H251="F",TeamSheetFemale,TeamSheetMale),$Y258,FALSE)</f>
        <v>Oscar Brehler</v>
      </c>
      <c r="H258" s="363" t="str">
        <f>VLOOKUP($B251,IF($H251="F",TeamSheetFemale,TeamSheetMale),$Y258+1,FALSE)</f>
        <v>FF</v>
      </c>
      <c r="I258" s="364">
        <f>VLOOKUP($B251,IF($H251="F",TeamSheetFemale,TeamSheetMale),$Y258+2,FALSE)</f>
        <v>0</v>
      </c>
      <c r="K258" s="341" t="s">
        <v>277</v>
      </c>
      <c r="L258" s="16" t="str">
        <f t="shared" si="210"/>
        <v>F</v>
      </c>
      <c r="M258" s="931" t="s">
        <v>142</v>
      </c>
      <c r="N258" s="927">
        <v>7.04</v>
      </c>
      <c r="O258" s="353" t="str">
        <f>IF(LEN($M258)=1,VLOOKUP(LEFT($M258,1),B252:I259,5,FALSE),IF(LEN($M258)=2,VLOOKUP(LEFT($M258,1),B252:I259,7,FALSE),""))</f>
        <v>F</v>
      </c>
      <c r="P258" s="373" t="str">
        <f>IF(LEN($M258)=1,VLOOKUP(LEFT($M258,1),B252:I259,6,FALSE),IF(LEN($M258)=2,VLOOKUP(LEFT($M258,1),B252:I259,8,FALSE),""))</f>
        <v>Oscar Brehler</v>
      </c>
      <c r="Q258" s="341" t="s">
        <v>277</v>
      </c>
      <c r="R258" s="146" t="str">
        <f t="shared" si="211"/>
        <v/>
      </c>
      <c r="S258" s="931"/>
      <c r="T258" s="927"/>
      <c r="U258" s="353" t="str">
        <f>IF(LEN($S258)=1,VLOOKUP(LEFT($S258,1),B252:I259,5,FALSE),IF(LEN($S258)=2,VLOOKUP(LEFT($S258,1),B252:I259,7,FALSE),""))</f>
        <v/>
      </c>
      <c r="V258" s="373" t="str">
        <f>IF(LEN($S258)=1,VLOOKUP(LEFT($S258,1),B252:I259,6,FALSE),IF(LEN($S258)=2,VLOOKUP(LEFT($S258,1),B252:I259,8,FALSE),""))</f>
        <v/>
      </c>
      <c r="W258" s="417">
        <f t="shared" si="218"/>
        <v>2</v>
      </c>
      <c r="Y258" s="417">
        <v>37</v>
      </c>
      <c r="Z258" s="16" t="str">
        <f t="shared" si="212"/>
        <v>Tam</v>
      </c>
      <c r="AA258" s="146">
        <f t="shared" si="213"/>
        <v>0</v>
      </c>
      <c r="AB258" s="32"/>
      <c r="AC258" s="16" t="str">
        <f t="shared" si="214"/>
        <v>F</v>
      </c>
      <c r="AD258" s="419" t="str">
        <f t="shared" si="214"/>
        <v>Tamworth</v>
      </c>
      <c r="AE258" s="419">
        <f>IF(ISNA(MATCH(AC258,N250:N259,0)),0,VLOOKUP(AC258,N250:S259,5,FALSE))</f>
        <v>0</v>
      </c>
      <c r="AF258" s="419" t="str">
        <f>IF(ISNA(MATCH(AC258,T250:T259,0))," ",VLOOKUP(AC258,T250:Y259,5,FALSE))</f>
        <v xml:space="preserve"> </v>
      </c>
      <c r="AG258" s="419">
        <f>IF(ISNA(MATCH(AC258,L252:L259,0)),0,VLOOKUP(AC258,L252:N259,3,FALSE))</f>
        <v>7.04</v>
      </c>
      <c r="AH258" s="419">
        <f>IF(ISNA(MATCH(AC258,R252:R259,0)),0,VLOOKUP(AC258,R252:T259,3,FALSE))</f>
        <v>0</v>
      </c>
      <c r="AI258" s="419" t="str">
        <f>IF(ISNA(MATCH(AC258,L252:L259,0)),0,VLOOKUP(AC258,L252:P259,4,FALSE))</f>
        <v>F</v>
      </c>
      <c r="AJ258" s="419">
        <f>IF(ISNA(MATCH(AC258,R252:R259,0)),0,VLOOKUP(AC258,R252:U259,4,FALSE))</f>
        <v>0</v>
      </c>
      <c r="AK258" s="32">
        <f t="shared" si="215"/>
        <v>7</v>
      </c>
      <c r="AL258" s="32">
        <f t="shared" si="216"/>
        <v>0</v>
      </c>
      <c r="AM258" s="32">
        <f>IF(ISNA(MATCH(AC258,L252:L259,0)),0,VLOOKUP(AC258,L252:W259,AM$1,FALSE))</f>
        <v>2</v>
      </c>
      <c r="AN258" s="146">
        <f>IF(ISNA(MATCH(AC258,R252:R259,0)),0,VLOOKUP(AC258,R252:W259,AN$1,FALSE))</f>
        <v>0</v>
      </c>
      <c r="AP258" s="931"/>
      <c r="AQ258" s="927"/>
    </row>
    <row r="259" spans="1:47" ht="16.2" thickBot="1" x14ac:dyDescent="0.35">
      <c r="A259" s="418">
        <f t="shared" si="217"/>
        <v>228</v>
      </c>
      <c r="B259" s="365" t="str">
        <f>'Event Details'!D$29</f>
        <v>Y</v>
      </c>
      <c r="C259" s="366" t="str">
        <f>'Event Details'!E$29</f>
        <v>Worcester</v>
      </c>
      <c r="D259" s="361"/>
      <c r="E259" s="370"/>
      <c r="F259" s="367" t="str">
        <f>VLOOKUP($B251,IF($H251="F",TeamSheetFemale,TeamSheetMale),$Y259-1,FALSE)</f>
        <v>Y</v>
      </c>
      <c r="G259" s="368" t="str">
        <f>VLOOKUP($B251,IF($H251="F",TeamSheetFemale,TeamSheetMale),$Y259,FALSE)</f>
        <v>Huw Mabey</v>
      </c>
      <c r="H259" s="367" t="str">
        <f>VLOOKUP($B251,IF($H251="F",TeamSheetFemale,TeamSheetMale),$Y259+1,FALSE)</f>
        <v>YY</v>
      </c>
      <c r="I259" s="369" t="str">
        <f>VLOOKUP($B251,IF($H251="F",TeamSheetFemale,TeamSheetMale),$Y259+2,FALSE)</f>
        <v>Hayden Helme</v>
      </c>
      <c r="K259" s="346" t="s">
        <v>278</v>
      </c>
      <c r="L259" s="25" t="str">
        <f t="shared" si="210"/>
        <v/>
      </c>
      <c r="M259" s="928" t="s">
        <v>148</v>
      </c>
      <c r="N259" s="932"/>
      <c r="O259" s="375" t="str">
        <f>IF(LEN($M259)=1,VLOOKUP(LEFT($M259,1),B252:I259,5,FALSE),IF(LEN($M259)=2,VLOOKUP(LEFT($M259,1),B252:I259,7,FALSE),""))</f>
        <v/>
      </c>
      <c r="P259" s="376" t="str">
        <f>IF(LEN($M259)=1,VLOOKUP(LEFT($M259,1),B252:I259,6,FALSE),IF(LEN($M259)=2,VLOOKUP(LEFT($M259,1),B252:I259,8,FALSE),""))</f>
        <v/>
      </c>
      <c r="Q259" s="346" t="s">
        <v>278</v>
      </c>
      <c r="R259" s="523" t="str">
        <f t="shared" si="211"/>
        <v/>
      </c>
      <c r="S259" s="928" t="s">
        <v>148</v>
      </c>
      <c r="T259" s="932"/>
      <c r="U259" s="375" t="str">
        <f>IF(LEN($S259)=1,VLOOKUP(LEFT($S259,1),B252:I259,5,FALSE),IF(LEN($S259)=2,VLOOKUP(LEFT($S259,1),B252:I259,7,FALSE),""))</f>
        <v/>
      </c>
      <c r="V259" s="376" t="str">
        <f>IF(LEN($S259)=1,VLOOKUP(LEFT($S259,1),B252:I259,6,FALSE),IF(LEN($S259)=2,VLOOKUP(LEFT($S259,1),B252:I259,8,FALSE),""))</f>
        <v/>
      </c>
      <c r="W259" s="418">
        <f t="shared" si="218"/>
        <v>1</v>
      </c>
      <c r="Y259" s="418">
        <v>42</v>
      </c>
      <c r="Z259" s="25">
        <f t="shared" si="212"/>
        <v>0</v>
      </c>
      <c r="AA259" s="523">
        <f t="shared" si="213"/>
        <v>0</v>
      </c>
      <c r="AB259" s="32"/>
      <c r="AC259" s="25" t="str">
        <f t="shared" si="214"/>
        <v>Y</v>
      </c>
      <c r="AD259" s="624" t="str">
        <f t="shared" si="214"/>
        <v>Worcester</v>
      </c>
      <c r="AE259" s="624">
        <f>IF(ISNA(MATCH(AC259,N251:N260,0)),0,VLOOKUP(AC259,N251:S260,5,FALSE))</f>
        <v>0</v>
      </c>
      <c r="AF259" s="624" t="str">
        <f t="shared" ref="AF259" si="219">IF(ISNA(MATCH(AC259,T251:T260,0))," ",VLOOKUP(AC259,T251:Y260,5,FALSE))</f>
        <v xml:space="preserve"> </v>
      </c>
      <c r="AG259" s="624">
        <f>IF(ISNA(MATCH(AC259,L252:L259,0)),0,VLOOKUP(AC259,L252:N259,3,FALSE))</f>
        <v>8.4600000000000009</v>
      </c>
      <c r="AH259" s="624">
        <f>IF(ISNA(MATCH(AC259,R252:R259,0)),0,VLOOKUP(AC259,R252:T259,3,FALSE))</f>
        <v>7.81</v>
      </c>
      <c r="AI259" s="624" t="str">
        <f>IF(ISNA(MATCH(AC259,L252:L259,0)),0,VLOOKUP(AC259,L252:P259,4,FALSE))</f>
        <v>Y</v>
      </c>
      <c r="AJ259" s="624" t="str">
        <f>IF(ISNA(MATCH(AC259,R252:R259,0)),0,VLOOKUP(AC259,R252:U259,4,FALSE))</f>
        <v>YY</v>
      </c>
      <c r="AK259" s="116">
        <f t="shared" si="215"/>
        <v>5</v>
      </c>
      <c r="AL259" s="116">
        <f t="shared" si="216"/>
        <v>5</v>
      </c>
      <c r="AM259" s="116">
        <f>IF(ISNA(MATCH(AC259,L252:L259,0)),0,VLOOKUP(AC259,L252:W259,AM$1,FALSE))</f>
        <v>4</v>
      </c>
      <c r="AN259" s="523">
        <f>IF(ISNA(MATCH(AC259,R252:R259,0)),0,VLOOKUP(AC259,R252:W259,AN$1,FALSE))</f>
        <v>4</v>
      </c>
      <c r="AP259" s="928" t="s">
        <v>148</v>
      </c>
      <c r="AQ259" s="932"/>
    </row>
    <row r="260" spans="1:47" ht="15" thickBot="1" x14ac:dyDescent="0.35">
      <c r="M260" s="276"/>
      <c r="N260" s="307"/>
      <c r="S260" s="276"/>
      <c r="T260" s="307"/>
      <c r="AP260" s="276"/>
      <c r="AQ260" s="307"/>
    </row>
    <row r="261" spans="1:47" x14ac:dyDescent="0.3">
      <c r="B261" s="400" t="s">
        <v>258</v>
      </c>
      <c r="C261" s="398"/>
      <c r="D261" s="401" t="s">
        <v>165</v>
      </c>
      <c r="E261" s="398"/>
      <c r="F261" s="398"/>
      <c r="G261" s="402" t="s">
        <v>259</v>
      </c>
      <c r="H261" s="403" t="s">
        <v>249</v>
      </c>
      <c r="I261" s="404" t="s">
        <v>168</v>
      </c>
      <c r="K261" s="360"/>
      <c r="L261" s="661"/>
      <c r="M261" s="387" t="s">
        <v>260</v>
      </c>
      <c r="N261" s="387" t="s">
        <v>261</v>
      </c>
      <c r="O261" s="387" t="s">
        <v>262</v>
      </c>
      <c r="P261" s="388" t="s">
        <v>75</v>
      </c>
      <c r="Q261" s="412"/>
      <c r="R261" s="657"/>
      <c r="S261" s="387" t="s">
        <v>260</v>
      </c>
      <c r="T261" s="387" t="s">
        <v>261</v>
      </c>
      <c r="U261" s="387" t="s">
        <v>262</v>
      </c>
      <c r="V261" s="388" t="s">
        <v>75</v>
      </c>
      <c r="W261" s="672" t="s">
        <v>76</v>
      </c>
      <c r="Y261" s="654" t="s">
        <v>263</v>
      </c>
      <c r="Z261" s="656" t="s">
        <v>74</v>
      </c>
      <c r="AA261" s="657" t="s">
        <v>75</v>
      </c>
      <c r="AC261" s="665" t="s">
        <v>71</v>
      </c>
      <c r="AD261" s="657" t="s">
        <v>86</v>
      </c>
      <c r="AE261" s="661" t="s">
        <v>149</v>
      </c>
      <c r="AF261" s="661" t="s">
        <v>94</v>
      </c>
      <c r="AG261" s="661" t="s">
        <v>149</v>
      </c>
      <c r="AH261" s="661" t="s">
        <v>94</v>
      </c>
      <c r="AI261" s="661" t="s">
        <v>149</v>
      </c>
      <c r="AJ261" s="661" t="s">
        <v>94</v>
      </c>
      <c r="AK261" s="1332" t="s">
        <v>149</v>
      </c>
      <c r="AL261" s="661" t="s">
        <v>94</v>
      </c>
      <c r="AM261" s="1406" t="s">
        <v>76</v>
      </c>
      <c r="AN261" s="1407"/>
      <c r="AP261" s="387" t="s">
        <v>260</v>
      </c>
      <c r="AQ261" s="387" t="s">
        <v>261</v>
      </c>
      <c r="AS261" s="1218" t="s">
        <v>165</v>
      </c>
      <c r="AT261" s="1219" t="s">
        <v>79</v>
      </c>
      <c r="AU261" s="1220" t="s">
        <v>80</v>
      </c>
    </row>
    <row r="262" spans="1:47" ht="15" thickBot="1" x14ac:dyDescent="0.35">
      <c r="B262" s="405">
        <v>23</v>
      </c>
      <c r="C262" s="399"/>
      <c r="D262" s="385" t="str">
        <f>VLOOKUP($B262,EventOrder,6,FALSE)</f>
        <v>Discus (U18) Match 2</v>
      </c>
      <c r="E262" s="399"/>
      <c r="F262" s="385"/>
      <c r="G262" s="386" t="str">
        <f>VLOOKUP($B262,EventOrder,4,FALSE)</f>
        <v>U18 Men</v>
      </c>
      <c r="H262" s="396" t="str">
        <f>IF(MID(G262,5,1)="F","F","M")</f>
        <v>M</v>
      </c>
      <c r="I262" s="397">
        <f>VLOOKUP($B262,EventOrder,2,FALSE)</f>
        <v>1</v>
      </c>
      <c r="K262" s="372"/>
      <c r="L262" s="667" t="s">
        <v>149</v>
      </c>
      <c r="M262" s="409" t="s">
        <v>264</v>
      </c>
      <c r="N262" s="409" t="s">
        <v>265</v>
      </c>
      <c r="O262" s="409" t="s">
        <v>266</v>
      </c>
      <c r="P262" s="408"/>
      <c r="Q262" s="413"/>
      <c r="R262" s="659" t="s">
        <v>94</v>
      </c>
      <c r="S262" s="409" t="s">
        <v>264</v>
      </c>
      <c r="T262" s="409" t="s">
        <v>265</v>
      </c>
      <c r="U262" s="409" t="s">
        <v>266</v>
      </c>
      <c r="V262" s="408"/>
      <c r="W262" s="671"/>
      <c r="Y262" s="655" t="s">
        <v>167</v>
      </c>
      <c r="Z262" s="658" t="s">
        <v>149</v>
      </c>
      <c r="AA262" s="659" t="s">
        <v>94</v>
      </c>
      <c r="AC262" s="666"/>
      <c r="AD262" s="668"/>
      <c r="AE262" s="768" t="s">
        <v>75</v>
      </c>
      <c r="AF262" s="768" t="s">
        <v>75</v>
      </c>
      <c r="AG262" s="768" t="s">
        <v>267</v>
      </c>
      <c r="AH262" s="768" t="s">
        <v>267</v>
      </c>
      <c r="AI262" s="768" t="s">
        <v>268</v>
      </c>
      <c r="AJ262" s="768" t="s">
        <v>268</v>
      </c>
      <c r="AK262" s="770" t="s">
        <v>269</v>
      </c>
      <c r="AL262" s="768" t="s">
        <v>269</v>
      </c>
      <c r="AM262" s="667" t="s">
        <v>149</v>
      </c>
      <c r="AN262" s="659" t="s">
        <v>94</v>
      </c>
      <c r="AP262" s="409" t="s">
        <v>264</v>
      </c>
      <c r="AQ262" s="409" t="s">
        <v>265</v>
      </c>
      <c r="AS262" s="1221" t="s">
        <v>270</v>
      </c>
      <c r="AT262" s="1222" t="s">
        <v>270</v>
      </c>
      <c r="AU262" s="1223" t="s">
        <v>270</v>
      </c>
    </row>
    <row r="263" spans="1:47" ht="15.6" x14ac:dyDescent="0.3">
      <c r="A263" s="416">
        <f>(B262*10)+1</f>
        <v>231</v>
      </c>
      <c r="B263" s="362" t="str">
        <f>'Event Details'!D$22</f>
        <v>S</v>
      </c>
      <c r="C263" s="381" t="str">
        <f>'Event Details'!E$22</f>
        <v>BRAT</v>
      </c>
      <c r="D263" s="379"/>
      <c r="E263" s="378"/>
      <c r="F263" s="363">
        <f>VLOOKUP($B262,IF($H262="F",TeamSheetFemale,TeamSheetMale),$Y263-1,FALSE)</f>
        <v>0</v>
      </c>
      <c r="G263" s="380">
        <f>VLOOKUP($B262,IF($H262="F",TeamSheetFemale,TeamSheetMale),$Y263,FALSE)</f>
        <v>0</v>
      </c>
      <c r="H263" s="363">
        <f>VLOOKUP($B262,IF($H262="F",TeamSheetFemale,TeamSheetMale),$Y263+1,FALSE)</f>
        <v>0</v>
      </c>
      <c r="I263" s="364">
        <f>VLOOKUP($B262,IF($H262="F",TeamSheetFemale,TeamSheetMale),$Y263+2,FALSE)</f>
        <v>0</v>
      </c>
      <c r="K263" s="393" t="s">
        <v>271</v>
      </c>
      <c r="L263" s="16" t="str">
        <f t="shared" ref="L263:L270" si="220">LEFT(M263,1)</f>
        <v/>
      </c>
      <c r="M263" s="926"/>
      <c r="N263" s="926"/>
      <c r="O263" s="394" t="str">
        <f>IF(LEN($M263)=1,VLOOKUP(LEFT($M263,1),B263:I270,5,FALSE),IF(LEN($M263)=2,VLOOKUP(LEFT($M263,1),B263:I270,7,FALSE),""))</f>
        <v/>
      </c>
      <c r="P263" s="395" t="str">
        <f>IF(LEN($M263)=1,VLOOKUP(LEFT($M263,1),B263:I270,6,FALSE),IF(LEN($M263)=2,VLOOKUP(LEFT($M263,1),B263:I270,8,FALSE),""))</f>
        <v/>
      </c>
      <c r="Q263" s="406" t="s">
        <v>271</v>
      </c>
      <c r="R263" s="146" t="str">
        <f t="shared" ref="R263:R270" si="221">LEFT(S263,1)</f>
        <v/>
      </c>
      <c r="S263" s="926"/>
      <c r="T263" s="926"/>
      <c r="U263" s="394" t="str">
        <f>IF(LEN($S263)=1,VLOOKUP(LEFT($S263,1),B263:I270,5,FALSE),IF(LEN($S263)=2,VLOOKUP(LEFT($S263,1),B263:I270,7,FALSE),""))</f>
        <v/>
      </c>
      <c r="V263" s="395" t="str">
        <f>IF(LEN($S263)=1,VLOOKUP(LEFT($S263,1),B263:I270,6,FALSE),IF(LEN($S263)=2,VLOOKUP(LEFT($S263,1),B263:I270,8,FALSE),""))</f>
        <v/>
      </c>
      <c r="W263" s="417">
        <f>AN$6</f>
        <v>8</v>
      </c>
      <c r="Y263" s="653">
        <v>7</v>
      </c>
      <c r="Z263" s="653">
        <f t="shared" ref="Z263:Z270" si="222">IF(LEN(M263)&gt;0,VLOOKUP(LEFT(M263,1),ShortName,5,FALSE),0)</f>
        <v>0</v>
      </c>
      <c r="AA263" s="138">
        <f t="shared" ref="AA263:AA270" si="223">IF(LEN(S263)&gt;0,VLOOKUP(LEFT(S263,1),ShortName,5,FALSE),0)</f>
        <v>0</v>
      </c>
      <c r="AC263" s="16" t="str">
        <f t="shared" ref="AC263:AD270" si="224">B263</f>
        <v>S</v>
      </c>
      <c r="AD263" s="419" t="str">
        <f t="shared" si="224"/>
        <v>BRAT</v>
      </c>
      <c r="AE263" s="635">
        <f>IF(ISNA(MATCH(AC263,N263:N272,0)),0,VLOOKUP(AC263,N263:S272,5,FALSE))</f>
        <v>0</v>
      </c>
      <c r="AF263" s="635" t="str">
        <f>IF(ISNA(MATCH(AC263,T263:T272,0))," ",VLOOKUP(AC263,T263:Y272,5,FALSE))</f>
        <v xml:space="preserve"> </v>
      </c>
      <c r="AG263" s="635">
        <f>IF(ISNA(MATCH(AC263,L263:L270,0)),0,VLOOKUP(AC263,L263:N270,3,FALSE))</f>
        <v>0</v>
      </c>
      <c r="AH263" s="635">
        <f>IF(ISNA(MATCH(AC263,R263:R270,0)),0,VLOOKUP(AC263,R263:T270,3,FALSE))</f>
        <v>0</v>
      </c>
      <c r="AI263" s="635">
        <f>IF(ISNA(MATCH(AC263,L263:L270,0)),0,VLOOKUP(AC263,L263:P270,4,FALSE))</f>
        <v>0</v>
      </c>
      <c r="AJ263" s="635">
        <f>IF(ISNA(MATCH(AC263,R263:R270,0)),0,VLOOKUP(AC263,R263:U270,4,FALSE))</f>
        <v>0</v>
      </c>
      <c r="AK263" s="49">
        <f t="shared" ref="AK263:AK270" si="225">IF(AM263=0,0,AN$6-(AM263-1))</f>
        <v>0</v>
      </c>
      <c r="AL263" s="49">
        <f t="shared" ref="AL263:AL270" si="226">IF(AN263=0,0,AN$6-(AN263-1))</f>
        <v>0</v>
      </c>
      <c r="AM263" s="49">
        <f>IF(ISNA(MATCH(AC263,L263:L270,0)),0,VLOOKUP(AC263,L263:W270,AM$1,FALSE))</f>
        <v>0</v>
      </c>
      <c r="AN263" s="138">
        <f>IF(ISNA(MATCH(AC263,R263:R270,0)),0,VLOOKUP(AC263,R263:W270,AN$1,FALSE))</f>
        <v>0</v>
      </c>
      <c r="AP263" s="926"/>
      <c r="AQ263" s="926"/>
      <c r="AS263" s="32">
        <f>IF(LEN(N263)&gt;0,1,0)</f>
        <v>0</v>
      </c>
      <c r="AT263" s="32">
        <f>IF(AND(AS263=1,H262="M"),1,0)</f>
        <v>0</v>
      </c>
      <c r="AU263" s="32">
        <f>IF(AND(AS263=1,H262="F"),1,0)</f>
        <v>0</v>
      </c>
    </row>
    <row r="264" spans="1:47" ht="15.6" x14ac:dyDescent="0.3">
      <c r="A264" s="417">
        <f>A263+1</f>
        <v>232</v>
      </c>
      <c r="B264" s="362" t="str">
        <f>'Event Details'!D$23</f>
        <v>U</v>
      </c>
      <c r="C264" s="381" t="str">
        <f>'Event Details'!E$23</f>
        <v>Kidder &amp; Stourport</v>
      </c>
      <c r="D264" s="379"/>
      <c r="E264" s="378"/>
      <c r="F264" s="363">
        <f>VLOOKUP($B262,IF($H262="F",TeamSheetFemale,TeamSheetMale),$Y264-1,FALSE)</f>
        <v>0</v>
      </c>
      <c r="G264" s="380">
        <f>VLOOKUP($B262,IF($H262="F",TeamSheetFemale,TeamSheetMale),$Y264,FALSE)</f>
        <v>0</v>
      </c>
      <c r="H264" s="363">
        <f>VLOOKUP($B262,IF($H262="F",TeamSheetFemale,TeamSheetMale),$Y264+1,FALSE)</f>
        <v>0</v>
      </c>
      <c r="I264" s="364">
        <f>VLOOKUP($B262,IF($H262="F",TeamSheetFemale,TeamSheetMale),$Y264+2,FALSE)</f>
        <v>0</v>
      </c>
      <c r="K264" s="341" t="s">
        <v>272</v>
      </c>
      <c r="L264" s="16" t="str">
        <f t="shared" si="220"/>
        <v/>
      </c>
      <c r="M264" s="927"/>
      <c r="N264" s="927"/>
      <c r="O264" s="354" t="str">
        <f>IF(LEN($M264)=1,VLOOKUP(LEFT($M264,1),B263:I270,5,FALSE),IF(LEN($M264)=2,VLOOKUP(LEFT($M264,1),B263:I270,7,FALSE),""))</f>
        <v/>
      </c>
      <c r="P264" s="410" t="str">
        <f>IF(LEN($M264)=1,VLOOKUP(LEFT($M264,1),B263:I270,6,FALSE),IF(LEN($M264)=2,VLOOKUP(LEFT($M264,1),B263:I270,8,FALSE),""))</f>
        <v/>
      </c>
      <c r="Q264" s="371" t="s">
        <v>272</v>
      </c>
      <c r="R264" s="146" t="str">
        <f t="shared" si="221"/>
        <v/>
      </c>
      <c r="S264" s="927"/>
      <c r="T264" s="927"/>
      <c r="U264" s="354" t="str">
        <f>IF(LEN($S264)=1,VLOOKUP(LEFT($S264,1),B263:I270,5,FALSE),IF(LEN($S264)=2,VLOOKUP(LEFT($S264,1),B263:I270,7,FALSE),""))</f>
        <v/>
      </c>
      <c r="V264" s="410" t="str">
        <f>IF(LEN($S264)=1,VLOOKUP(LEFT($S264,1),B263:I270,6,FALSE),IF(LEN($S264)=2,VLOOKUP(LEFT($S264,1),B263:I270,8,FALSE),""))</f>
        <v/>
      </c>
      <c r="W264" s="417">
        <f>W263-1</f>
        <v>7</v>
      </c>
      <c r="Y264" s="16">
        <v>12</v>
      </c>
      <c r="Z264" s="16">
        <f t="shared" si="222"/>
        <v>0</v>
      </c>
      <c r="AA264" s="146">
        <f t="shared" si="223"/>
        <v>0</v>
      </c>
      <c r="AC264" s="16" t="str">
        <f t="shared" si="224"/>
        <v>U</v>
      </c>
      <c r="AD264" s="419" t="str">
        <f t="shared" si="224"/>
        <v>Kidder &amp; Stourport</v>
      </c>
      <c r="AE264" s="419">
        <f>IF(ISNA(MATCH(AC264,N263:N272,0)),0,VLOOKUP(AC264,N263:S272,5,FALSE))</f>
        <v>0</v>
      </c>
      <c r="AF264" s="419" t="str">
        <f>IF(ISNA(MATCH(AC264,T263:T272,0))," ",VLOOKUP(AC264,T263:Y272,5,FALSE))</f>
        <v xml:space="preserve"> </v>
      </c>
      <c r="AG264" s="419">
        <f>IF(ISNA(MATCH(AC264,L263:L270,0)),0,VLOOKUP(AC264,L263:N270,3,FALSE))</f>
        <v>0</v>
      </c>
      <c r="AH264" s="419">
        <f>IF(ISNA(MATCH(AC264,R263:R270,0)),0,VLOOKUP(AC264,R263:T270,3,FALSE))</f>
        <v>0</v>
      </c>
      <c r="AI264" s="419">
        <f>IF(ISNA(MATCH(AC264,L263:L270,0)),0,VLOOKUP(AC264,L263:P270,4,FALSE))</f>
        <v>0</v>
      </c>
      <c r="AJ264" s="419">
        <f>IF(ISNA(MATCH(AC264,R263:R270,0)),0,VLOOKUP(AC264,R263:U270,4,FALSE))</f>
        <v>0</v>
      </c>
      <c r="AK264" s="32">
        <f t="shared" si="225"/>
        <v>0</v>
      </c>
      <c r="AL264" s="32">
        <f t="shared" si="226"/>
        <v>0</v>
      </c>
      <c r="AM264" s="32">
        <f>IF(ISNA(MATCH(AC264,L263:L270,0)),0,VLOOKUP(AC264,L263:W270,AM$1,FALSE))</f>
        <v>0</v>
      </c>
      <c r="AN264" s="146">
        <f>IF(ISNA(MATCH(AC264,R263:R270,0)),0,VLOOKUP(AC264,R263:W270,AN$1,FALSE))</f>
        <v>0</v>
      </c>
      <c r="AP264" s="927"/>
      <c r="AQ264" s="927"/>
    </row>
    <row r="265" spans="1:47" ht="15.6" x14ac:dyDescent="0.3">
      <c r="A265" s="417">
        <f t="shared" ref="A265:A270" si="227">A264+1</f>
        <v>233</v>
      </c>
      <c r="B265" s="362" t="str">
        <f>'Event Details'!D$24</f>
        <v>G</v>
      </c>
      <c r="C265" s="381" t="str">
        <f>'Event Details'!E$24</f>
        <v>Royal Sutton</v>
      </c>
      <c r="D265" s="379"/>
      <c r="E265" s="378"/>
      <c r="F265" s="363" t="str">
        <f>VLOOKUP($B262,IF($H262="F",TeamSheetFemale,TeamSheetMale),$Y265-1,FALSE)</f>
        <v>G</v>
      </c>
      <c r="G265" s="380">
        <f>VLOOKUP($B262,IF($H262="F",TeamSheetFemale,TeamSheetMale),$Y265,FALSE)</f>
        <v>0</v>
      </c>
      <c r="H265" s="363" t="str">
        <f>VLOOKUP($B262,IF($H262="F",TeamSheetFemale,TeamSheetMale),$Y265+1,FALSE)</f>
        <v>GG</v>
      </c>
      <c r="I265" s="364">
        <f>VLOOKUP($B262,IF($H262="F",TeamSheetFemale,TeamSheetMale),$Y265+2,FALSE)</f>
        <v>0</v>
      </c>
      <c r="K265" s="341" t="s">
        <v>273</v>
      </c>
      <c r="L265" s="16" t="str">
        <f t="shared" si="220"/>
        <v/>
      </c>
      <c r="M265" s="927"/>
      <c r="N265" s="927"/>
      <c r="O265" s="354" t="str">
        <f>IF(LEN($M265)=1,VLOOKUP(LEFT($M265,1),B263:I270,5,FALSE),IF(LEN($M265)=2,VLOOKUP(LEFT($M265,1),B263:I270,7,FALSE),""))</f>
        <v/>
      </c>
      <c r="P265" s="410" t="str">
        <f>IF(LEN($M265)=1,VLOOKUP(LEFT($M265,1),B263:I270,6,FALSE),IF(LEN($M265)=2,VLOOKUP(LEFT($M265,1),B263:I270,8,FALSE),""))</f>
        <v/>
      </c>
      <c r="Q265" s="371" t="s">
        <v>273</v>
      </c>
      <c r="R265" s="146" t="str">
        <f t="shared" si="221"/>
        <v/>
      </c>
      <c r="S265" s="927"/>
      <c r="T265" s="927"/>
      <c r="U265" s="354" t="str">
        <f>IF(LEN($S265)=1,VLOOKUP(LEFT($S265,1),B263:I270,5,FALSE),IF(LEN($S265)=2,VLOOKUP(LEFT($S265,1),B263:I270,7,FALSE),""))</f>
        <v/>
      </c>
      <c r="V265" s="410" t="str">
        <f>IF(LEN($S265)=1,VLOOKUP(LEFT($S265,1),B263:I270,6,FALSE),IF(LEN($S265)=2,VLOOKUP(LEFT($S265,1),B263:I270,8,FALSE),""))</f>
        <v/>
      </c>
      <c r="W265" s="417">
        <f t="shared" ref="W265:W270" si="228">W264-1</f>
        <v>6</v>
      </c>
      <c r="Y265" s="16">
        <v>17</v>
      </c>
      <c r="Z265" s="16">
        <f t="shared" si="222"/>
        <v>0</v>
      </c>
      <c r="AA265" s="146">
        <f t="shared" si="223"/>
        <v>0</v>
      </c>
      <c r="AC265" s="16" t="str">
        <f t="shared" si="224"/>
        <v>G</v>
      </c>
      <c r="AD265" s="419" t="str">
        <f t="shared" si="224"/>
        <v>Royal Sutton</v>
      </c>
      <c r="AE265" s="419">
        <f>IF(ISNA(MATCH(AC265,N263:N272,0)),0,VLOOKUP(AC265,N263:S272,5,FALSE))</f>
        <v>0</v>
      </c>
      <c r="AF265" s="419" t="str">
        <f>IF(ISNA(MATCH(AC265,T263:T272,0))," ",VLOOKUP(AC265,T263:Y272,5,FALSE))</f>
        <v xml:space="preserve"> </v>
      </c>
      <c r="AG265" s="419">
        <f>IF(ISNA(MATCH(AC265,L263:L270,0)),0,VLOOKUP(AC265,L263:N270,3,FALSE))</f>
        <v>0</v>
      </c>
      <c r="AH265" s="419">
        <f>IF(ISNA(MATCH(AC265,R263:R270,0)),0,VLOOKUP(AC265,R263:T270,3,FALSE))</f>
        <v>0</v>
      </c>
      <c r="AI265" s="419">
        <f>IF(ISNA(MATCH(AC265,L263:L270,0)),0,VLOOKUP(AC265,L263:P270,4,FALSE))</f>
        <v>0</v>
      </c>
      <c r="AJ265" s="419">
        <f>IF(ISNA(MATCH(AC265,R263:R270,0)),0,VLOOKUP(AC265,R263:U270,4,FALSE))</f>
        <v>0</v>
      </c>
      <c r="AK265" s="32">
        <f t="shared" si="225"/>
        <v>0</v>
      </c>
      <c r="AL265" s="32">
        <f t="shared" si="226"/>
        <v>0</v>
      </c>
      <c r="AM265" s="32">
        <f>IF(ISNA(MATCH(AC265,L263:L270,0)),0,VLOOKUP(AC265,L263:W270,AM$1,FALSE))</f>
        <v>0</v>
      </c>
      <c r="AN265" s="146">
        <f>IF(ISNA(MATCH(AC265,R263:R270,0)),0,VLOOKUP(AC265,R263:W270,AN$1,FALSE))</f>
        <v>0</v>
      </c>
      <c r="AP265" s="927"/>
      <c r="AQ265" s="927"/>
    </row>
    <row r="266" spans="1:47" ht="15.6" x14ac:dyDescent="0.3">
      <c r="A266" s="417">
        <f t="shared" si="227"/>
        <v>234</v>
      </c>
      <c r="B266" s="362" t="str">
        <f>'Event Details'!D$25</f>
        <v>R</v>
      </c>
      <c r="C266" s="381" t="str">
        <f>'Event Details'!E$25</f>
        <v>Rugby &amp; N'hampton</v>
      </c>
      <c r="D266" s="379"/>
      <c r="E266" s="378"/>
      <c r="F266" s="363" t="str">
        <f>VLOOKUP($B262,IF($H262="F",TeamSheetFemale,TeamSheetMale),$Y266-1,FALSE)</f>
        <v>R</v>
      </c>
      <c r="G266" s="380">
        <f>VLOOKUP($B262,IF($H262="F",TeamSheetFemale,TeamSheetMale),$Y266,FALSE)</f>
        <v>0</v>
      </c>
      <c r="H266" s="363" t="str">
        <f>VLOOKUP($B262,IF($H262="F",TeamSheetFemale,TeamSheetMale),$Y266+1,FALSE)</f>
        <v>RR</v>
      </c>
      <c r="I266" s="364">
        <f>VLOOKUP($B262,IF($H262="F",TeamSheetFemale,TeamSheetMale),$Y266+2,FALSE)</f>
        <v>0</v>
      </c>
      <c r="K266" s="341" t="s">
        <v>274</v>
      </c>
      <c r="L266" s="16" t="str">
        <f t="shared" si="220"/>
        <v/>
      </c>
      <c r="M266" s="927"/>
      <c r="N266" s="927"/>
      <c r="O266" s="354" t="str">
        <f>IF(LEN($M266)=1,VLOOKUP(LEFT($M266,1),B263:I270,5,FALSE),IF(LEN($M266)=2,VLOOKUP(LEFT($M266,1),B263:I270,7,FALSE),""))</f>
        <v/>
      </c>
      <c r="P266" s="410" t="str">
        <f>IF(LEN($M266)=1,VLOOKUP(LEFT($M266,1),B263:I270,6,FALSE),IF(LEN($M266)=2,VLOOKUP(LEFT($M266,1),B263:I270,8,FALSE),""))</f>
        <v/>
      </c>
      <c r="Q266" s="371" t="s">
        <v>274</v>
      </c>
      <c r="R266" s="146" t="str">
        <f t="shared" si="221"/>
        <v/>
      </c>
      <c r="S266" s="927"/>
      <c r="T266" s="927"/>
      <c r="U266" s="354" t="str">
        <f>IF(LEN($S266)=1,VLOOKUP(LEFT($S266,1),B263:I270,5,FALSE),IF(LEN($S266)=2,VLOOKUP(LEFT($S266,1),B263:I270,7,FALSE),""))</f>
        <v/>
      </c>
      <c r="V266" s="410" t="str">
        <f>IF(LEN($S266)=1,VLOOKUP(LEFT($S266,1),B263:I270,6,FALSE),IF(LEN($S266)=2,VLOOKUP(LEFT($S266,1),B263:I270,8,FALSE),""))</f>
        <v/>
      </c>
      <c r="W266" s="417">
        <f t="shared" si="228"/>
        <v>5</v>
      </c>
      <c r="Y266" s="16">
        <v>22</v>
      </c>
      <c r="Z266" s="16">
        <f t="shared" si="222"/>
        <v>0</v>
      </c>
      <c r="AA266" s="146">
        <f t="shared" si="223"/>
        <v>0</v>
      </c>
      <c r="AC266" s="16" t="str">
        <f t="shared" si="224"/>
        <v>R</v>
      </c>
      <c r="AD266" s="419" t="str">
        <f t="shared" si="224"/>
        <v>Rugby &amp; N'hampton</v>
      </c>
      <c r="AE266" s="419">
        <f>IF(ISNA(MATCH(AC266,N263:N272,0)),0,VLOOKUP(AC266,N263:S272,5,FALSE))</f>
        <v>0</v>
      </c>
      <c r="AF266" s="419" t="str">
        <f>IF(ISNA(MATCH(AC266,T263:T272,0))," ",VLOOKUP(AC266,T263:Y272,5,FALSE))</f>
        <v xml:space="preserve"> </v>
      </c>
      <c r="AG266" s="419">
        <f>IF(ISNA(MATCH(AC266,L263:L270,0)),0,VLOOKUP(AC266,L263:N270,3,FALSE))</f>
        <v>0</v>
      </c>
      <c r="AH266" s="419">
        <f>IF(ISNA(MATCH(AC266,R263:R270,0)),0,VLOOKUP(AC266,R263:T270,3,FALSE))</f>
        <v>0</v>
      </c>
      <c r="AI266" s="419">
        <f>IF(ISNA(MATCH(AC266,L263:L270,0)),0,VLOOKUP(AC266,L263:P270,4,FALSE))</f>
        <v>0</v>
      </c>
      <c r="AJ266" s="419">
        <f>IF(ISNA(MATCH(AC266,R263:R270,0)),0,VLOOKUP(AC266,R263:U270,4,FALSE))</f>
        <v>0</v>
      </c>
      <c r="AK266" s="32">
        <f t="shared" si="225"/>
        <v>0</v>
      </c>
      <c r="AL266" s="32">
        <f t="shared" si="226"/>
        <v>0</v>
      </c>
      <c r="AM266" s="32">
        <f>IF(ISNA(MATCH(AC266,L263:L270,0)),0,VLOOKUP(AC266,L263:W270,AM$1,FALSE))</f>
        <v>0</v>
      </c>
      <c r="AN266" s="146">
        <f>IF(ISNA(MATCH(AC266,R263:R270,0)),0,VLOOKUP(AC266,R263:W270,AN$1,FALSE))</f>
        <v>0</v>
      </c>
      <c r="AP266" s="927"/>
      <c r="AQ266" s="927"/>
    </row>
    <row r="267" spans="1:47" ht="15.6" x14ac:dyDescent="0.3">
      <c r="A267" s="417">
        <f t="shared" si="227"/>
        <v>235</v>
      </c>
      <c r="B267" s="362" t="str">
        <f>'Event Details'!D$26</f>
        <v>M</v>
      </c>
      <c r="C267" s="381" t="str">
        <f>'Event Details'!E$26</f>
        <v>Solihull &amp; S.Heath</v>
      </c>
      <c r="D267" s="379"/>
      <c r="E267" s="378"/>
      <c r="F267" s="363">
        <f>VLOOKUP($B262,IF($H262="F",TeamSheetFemale,TeamSheetMale),$Y267-1,FALSE)</f>
        <v>0</v>
      </c>
      <c r="G267" s="380">
        <f>VLOOKUP($B262,IF($H262="F",TeamSheetFemale,TeamSheetMale),$Y267,FALSE)</f>
        <v>0</v>
      </c>
      <c r="H267" s="363">
        <f>VLOOKUP($B262,IF($H262="F",TeamSheetFemale,TeamSheetMale),$Y267+1,FALSE)</f>
        <v>0</v>
      </c>
      <c r="I267" s="364">
        <f>VLOOKUP($B262,IF($H262="F",TeamSheetFemale,TeamSheetMale),$Y267+2,FALSE)</f>
        <v>0</v>
      </c>
      <c r="K267" s="341" t="s">
        <v>275</v>
      </c>
      <c r="L267" s="16" t="str">
        <f t="shared" si="220"/>
        <v/>
      </c>
      <c r="M267" s="927"/>
      <c r="N267" s="927"/>
      <c r="O267" s="354" t="str">
        <f>IF(LEN($M267)=1,VLOOKUP(LEFT($M267,1),B263:I270,5,FALSE),IF(LEN($M267)=2,VLOOKUP(LEFT($M267,1),B263:I270,7,FALSE),""))</f>
        <v/>
      </c>
      <c r="P267" s="410" t="str">
        <f>IF(LEN($M267)=1,VLOOKUP(LEFT($M267,1),B263:I270,6,FALSE),IF(LEN($M267)=2,VLOOKUP(LEFT($M267,1),B263:I270,8,FALSE),""))</f>
        <v/>
      </c>
      <c r="Q267" s="371" t="s">
        <v>275</v>
      </c>
      <c r="R267" s="146" t="str">
        <f t="shared" si="221"/>
        <v/>
      </c>
      <c r="S267" s="927"/>
      <c r="T267" s="927"/>
      <c r="U267" s="354" t="str">
        <f>IF(LEN($S267)=1,VLOOKUP(LEFT($S267,1),B263:I270,5,FALSE),IF(LEN($S267)=2,VLOOKUP(LEFT($S267,1),B263:I270,7,FALSE),""))</f>
        <v/>
      </c>
      <c r="V267" s="410" t="str">
        <f>IF(LEN($S267)=1,VLOOKUP(LEFT($S267,1),B263:I270,6,FALSE),IF(LEN($S267)=2,VLOOKUP(LEFT($S267,1),B263:I270,8,FALSE),""))</f>
        <v/>
      </c>
      <c r="W267" s="417">
        <f t="shared" si="228"/>
        <v>4</v>
      </c>
      <c r="Y267" s="16">
        <v>27</v>
      </c>
      <c r="Z267" s="16">
        <f t="shared" si="222"/>
        <v>0</v>
      </c>
      <c r="AA267" s="146">
        <f t="shared" si="223"/>
        <v>0</v>
      </c>
      <c r="AC267" s="16" t="str">
        <f t="shared" si="224"/>
        <v>M</v>
      </c>
      <c r="AD267" s="419" t="str">
        <f t="shared" si="224"/>
        <v>Solihull &amp; S.Heath</v>
      </c>
      <c r="AE267" s="419">
        <f>IF(ISNA(MATCH(AC267,N263:N272,0)),0,VLOOKUP(AC267,N263:S272,5,FALSE))</f>
        <v>0</v>
      </c>
      <c r="AF267" s="419" t="str">
        <f>IF(ISNA(MATCH(AC267,T263:T272,0))," ",VLOOKUP(AC267,T263:Y272,5,FALSE))</f>
        <v xml:space="preserve"> </v>
      </c>
      <c r="AG267" s="419">
        <f>IF(ISNA(MATCH(AC267,L263:L270,0)),0,VLOOKUP(AC267,L263:N270,3,FALSE))</f>
        <v>0</v>
      </c>
      <c r="AH267" s="419">
        <f>IF(ISNA(MATCH(AC267,R263:R270,0)),0,VLOOKUP(AC267,R263:T270,3,FALSE))</f>
        <v>0</v>
      </c>
      <c r="AI267" s="419">
        <f>IF(ISNA(MATCH(AC267,L263:L270,0)),0,VLOOKUP(AC267,L263:P270,4,FALSE))</f>
        <v>0</v>
      </c>
      <c r="AJ267" s="419">
        <f>IF(ISNA(MATCH(AC267,R263:R270,0)),0,VLOOKUP(AC267,R263:U270,4,FALSE))</f>
        <v>0</v>
      </c>
      <c r="AK267" s="32">
        <f t="shared" si="225"/>
        <v>0</v>
      </c>
      <c r="AL267" s="32">
        <f t="shared" si="226"/>
        <v>0</v>
      </c>
      <c r="AM267" s="32">
        <f>IF(ISNA(MATCH(AC267,L263:L270,0)),0,VLOOKUP(AC267,L263:W270,AM$1,FALSE))</f>
        <v>0</v>
      </c>
      <c r="AN267" s="146">
        <f>IF(ISNA(MATCH(AC267,R263:R270,0)),0,VLOOKUP(AC267,R263:W270,AN$1,FALSE))</f>
        <v>0</v>
      </c>
      <c r="AP267" s="927"/>
      <c r="AQ267" s="927"/>
    </row>
    <row r="268" spans="1:47" ht="15.6" x14ac:dyDescent="0.3">
      <c r="A268" s="417">
        <f t="shared" si="227"/>
        <v>236</v>
      </c>
      <c r="B268" s="362" t="str">
        <f>'Event Details'!D$27</f>
        <v>D</v>
      </c>
      <c r="C268" s="381" t="str">
        <f>'Event Details'!E$27</f>
        <v>Stratford</v>
      </c>
      <c r="D268" s="379"/>
      <c r="E268" s="378"/>
      <c r="F268" s="363">
        <f>VLOOKUP($B262,IF($H262="F",TeamSheetFemale,TeamSheetMale),$Y268-1,FALSE)</f>
        <v>0</v>
      </c>
      <c r="G268" s="380">
        <f>VLOOKUP($B262,IF($H262="F",TeamSheetFemale,TeamSheetMale),$Y268,FALSE)</f>
        <v>0</v>
      </c>
      <c r="H268" s="363">
        <f>VLOOKUP($B262,IF($H262="F",TeamSheetFemale,TeamSheetMale),$Y268+1,FALSE)</f>
        <v>0</v>
      </c>
      <c r="I268" s="364">
        <f>VLOOKUP($B262,IF($H262="F",TeamSheetFemale,TeamSheetMale),$Y268+2,FALSE)</f>
        <v>0</v>
      </c>
      <c r="K268" s="341" t="s">
        <v>276</v>
      </c>
      <c r="L268" s="16" t="str">
        <f t="shared" si="220"/>
        <v/>
      </c>
      <c r="M268" s="927"/>
      <c r="N268" s="927"/>
      <c r="O268" s="354" t="str">
        <f>IF(LEN($M268)=1,VLOOKUP(LEFT($M268,1),B263:I270,5,FALSE),IF(LEN($M268)=2,VLOOKUP(LEFT($M268,1),B263:I270,7,FALSE),""))</f>
        <v/>
      </c>
      <c r="P268" s="410" t="str">
        <f>IF(LEN($M268)=1,VLOOKUP(LEFT($M268,1),B263:I270,6,FALSE),IF(LEN($M268)=2,VLOOKUP(LEFT($M268,1),B263:I270,8,FALSE),""))</f>
        <v/>
      </c>
      <c r="Q268" s="371" t="s">
        <v>276</v>
      </c>
      <c r="R268" s="146" t="str">
        <f t="shared" si="221"/>
        <v/>
      </c>
      <c r="S268" s="927"/>
      <c r="T268" s="927"/>
      <c r="U268" s="354" t="str">
        <f>IF(LEN($S268)=1,VLOOKUP(LEFT($S268,1),B263:I270,5,FALSE),IF(LEN($S268)=2,VLOOKUP(LEFT($S268,1),B263:I270,7,FALSE),""))</f>
        <v/>
      </c>
      <c r="V268" s="410" t="str">
        <f>IF(LEN($S268)=1,VLOOKUP(LEFT($S268,1),B263:I270,6,FALSE),IF(LEN($S268)=2,VLOOKUP(LEFT($S268,1),B263:I270,8,FALSE),""))</f>
        <v/>
      </c>
      <c r="W268" s="417">
        <f t="shared" si="228"/>
        <v>3</v>
      </c>
      <c r="Y268" s="16">
        <v>32</v>
      </c>
      <c r="Z268" s="16">
        <f t="shared" si="222"/>
        <v>0</v>
      </c>
      <c r="AA268" s="146">
        <f t="shared" si="223"/>
        <v>0</v>
      </c>
      <c r="AC268" s="16" t="str">
        <f t="shared" si="224"/>
        <v>D</v>
      </c>
      <c r="AD268" s="419" t="str">
        <f t="shared" si="224"/>
        <v>Stratford</v>
      </c>
      <c r="AE268" s="419">
        <f>IF(ISNA(MATCH(AC268,N263:N272,0)),0,VLOOKUP(AC268,N263:S272,5,FALSE))</f>
        <v>0</v>
      </c>
      <c r="AF268" s="419" t="str">
        <f>IF(ISNA(MATCH(AC268,T263:T272,0))," ",VLOOKUP(AC268,T263:Y272,5,FALSE))</f>
        <v xml:space="preserve"> </v>
      </c>
      <c r="AG268" s="419">
        <f>IF(ISNA(MATCH(AC268,L263:L270,0)),0,VLOOKUP(AC268,L263:N270,3,FALSE))</f>
        <v>0</v>
      </c>
      <c r="AH268" s="419">
        <f>IF(ISNA(MATCH(AC268,R263:R270,0)),0,VLOOKUP(AC268,R263:T270,3,FALSE))</f>
        <v>0</v>
      </c>
      <c r="AI268" s="419">
        <f>IF(ISNA(MATCH(AC268,L263:L270,0)),0,VLOOKUP(AC268,L263:P270,4,FALSE))</f>
        <v>0</v>
      </c>
      <c r="AJ268" s="419">
        <f>IF(ISNA(MATCH(AC268,R263:R270,0)),0,VLOOKUP(AC268,R263:U270,4,FALSE))</f>
        <v>0</v>
      </c>
      <c r="AK268" s="32">
        <f t="shared" si="225"/>
        <v>0</v>
      </c>
      <c r="AL268" s="32">
        <f t="shared" si="226"/>
        <v>0</v>
      </c>
      <c r="AM268" s="32">
        <f>IF(ISNA(MATCH(AC268,L263:L270,0)),0,VLOOKUP(AC268,L263:W270,AM$1,FALSE))</f>
        <v>0</v>
      </c>
      <c r="AN268" s="146">
        <f>IF(ISNA(MATCH(AC268,R263:R270,0)),0,VLOOKUP(AC268,R263:W270,AN$1,FALSE))</f>
        <v>0</v>
      </c>
      <c r="AP268" s="927"/>
      <c r="AQ268" s="927"/>
    </row>
    <row r="269" spans="1:47" ht="15.6" x14ac:dyDescent="0.3">
      <c r="A269" s="417">
        <f t="shared" si="227"/>
        <v>237</v>
      </c>
      <c r="B269" s="362" t="str">
        <f>'Event Details'!D$28</f>
        <v>F</v>
      </c>
      <c r="C269" s="381" t="str">
        <f>'Event Details'!E$28</f>
        <v>Tamworth</v>
      </c>
      <c r="D269" s="379"/>
      <c r="E269" s="378"/>
      <c r="F269" s="363">
        <f>VLOOKUP($B262,IF($H262="F",TeamSheetFemale,TeamSheetMale),$Y269-1,FALSE)</f>
        <v>0</v>
      </c>
      <c r="G269" s="380">
        <f>VLOOKUP($B262,IF($H262="F",TeamSheetFemale,TeamSheetMale),$Y269,FALSE)</f>
        <v>0</v>
      </c>
      <c r="H269" s="363">
        <f>VLOOKUP($B262,IF($H262="F",TeamSheetFemale,TeamSheetMale),$Y269+1,FALSE)</f>
        <v>0</v>
      </c>
      <c r="I269" s="364">
        <f>VLOOKUP($B262,IF($H262="F",TeamSheetFemale,TeamSheetMale),$Y269+2,FALSE)</f>
        <v>0</v>
      </c>
      <c r="K269" s="341" t="s">
        <v>277</v>
      </c>
      <c r="L269" s="16" t="str">
        <f t="shared" si="220"/>
        <v/>
      </c>
      <c r="M269" s="931"/>
      <c r="N269" s="927"/>
      <c r="O269" s="354" t="str">
        <f>IF(LEN($M269)=1,VLOOKUP(LEFT($M269,1),B263:I270,5,FALSE),IF(LEN($M269)=2,VLOOKUP(LEFT($M269,1),B263:I270,7,FALSE),""))</f>
        <v/>
      </c>
      <c r="P269" s="410" t="str">
        <f>IF(LEN($M269)=1,VLOOKUP(LEFT($M269,1),B263:I270,6,FALSE),IF(LEN($M269)=2,VLOOKUP(LEFT($M269,1),B263:I270,8,FALSE),""))</f>
        <v/>
      </c>
      <c r="Q269" s="371" t="s">
        <v>277</v>
      </c>
      <c r="R269" s="146" t="str">
        <f t="shared" si="221"/>
        <v/>
      </c>
      <c r="S269" s="931"/>
      <c r="T269" s="927"/>
      <c r="U269" s="354" t="str">
        <f>IF(LEN($S269)=1,VLOOKUP(LEFT($S269,1),B263:I270,5,FALSE),IF(LEN($S269)=2,VLOOKUP(LEFT($S269,1),B263:I270,7,FALSE),""))</f>
        <v/>
      </c>
      <c r="V269" s="410" t="str">
        <f>IF(LEN($S269)=1,VLOOKUP(LEFT($S269,1),B263:I270,6,FALSE),IF(LEN($S269)=2,VLOOKUP(LEFT($S269,1),B263:I270,8,FALSE),""))</f>
        <v/>
      </c>
      <c r="W269" s="417">
        <f t="shared" si="228"/>
        <v>2</v>
      </c>
      <c r="Y269" s="16">
        <v>37</v>
      </c>
      <c r="Z269" s="16">
        <f t="shared" si="222"/>
        <v>0</v>
      </c>
      <c r="AA269" s="146">
        <f t="shared" si="223"/>
        <v>0</v>
      </c>
      <c r="AC269" s="16" t="str">
        <f t="shared" si="224"/>
        <v>F</v>
      </c>
      <c r="AD269" s="419" t="str">
        <f t="shared" si="224"/>
        <v>Tamworth</v>
      </c>
      <c r="AE269" s="419">
        <f>IF(ISNA(MATCH(AC269,N261:N270,0)),0,VLOOKUP(AC269,N261:S270,5,FALSE))</f>
        <v>0</v>
      </c>
      <c r="AF269" s="419" t="str">
        <f>IF(ISNA(MATCH(AC269,T261:T270,0))," ",VLOOKUP(AC269,T261:Y270,5,FALSE))</f>
        <v xml:space="preserve"> </v>
      </c>
      <c r="AG269" s="419">
        <f>IF(ISNA(MATCH(AC269,L263:L270,0)),0,VLOOKUP(AC269,L263:N270,3,FALSE))</f>
        <v>0</v>
      </c>
      <c r="AH269" s="419">
        <f>IF(ISNA(MATCH(AC269,R263:R270,0)),0,VLOOKUP(AC269,R263:T270,3,FALSE))</f>
        <v>0</v>
      </c>
      <c r="AI269" s="419">
        <f>IF(ISNA(MATCH(AC269,L263:L270,0)),0,VLOOKUP(AC269,L263:P270,4,FALSE))</f>
        <v>0</v>
      </c>
      <c r="AJ269" s="419">
        <f>IF(ISNA(MATCH(AC269,R263:R270,0)),0,VLOOKUP(AC269,R263:U270,4,FALSE))</f>
        <v>0</v>
      </c>
      <c r="AK269" s="32">
        <f t="shared" si="225"/>
        <v>0</v>
      </c>
      <c r="AL269" s="32">
        <f t="shared" si="226"/>
        <v>0</v>
      </c>
      <c r="AM269" s="32">
        <f>IF(ISNA(MATCH(AC269,L263:L270,0)),0,VLOOKUP(AC269,L263:W270,AM$1,FALSE))</f>
        <v>0</v>
      </c>
      <c r="AN269" s="146">
        <f>IF(ISNA(MATCH(AC269,R263:R270,0)),0,VLOOKUP(AC269,R263:W270,AN$1,FALSE))</f>
        <v>0</v>
      </c>
      <c r="AP269" s="931"/>
      <c r="AQ269" s="927"/>
    </row>
    <row r="270" spans="1:47" ht="16.2" thickBot="1" x14ac:dyDescent="0.35">
      <c r="A270" s="418">
        <f t="shared" si="227"/>
        <v>238</v>
      </c>
      <c r="B270" s="365" t="str">
        <f>'Event Details'!D$29</f>
        <v>Y</v>
      </c>
      <c r="C270" s="366" t="str">
        <f>'Event Details'!E$29</f>
        <v>Worcester</v>
      </c>
      <c r="D270" s="361"/>
      <c r="E270" s="370"/>
      <c r="F270" s="367">
        <f>VLOOKUP($B262,IF($H262="F",TeamSheetFemale,TeamSheetMale),$Y270-1,FALSE)</f>
        <v>0</v>
      </c>
      <c r="G270" s="368">
        <f>VLOOKUP($B262,IF($H262="F",TeamSheetFemale,TeamSheetMale),$Y270,FALSE)</f>
        <v>0</v>
      </c>
      <c r="H270" s="367">
        <f>VLOOKUP($B262,IF($H262="F",TeamSheetFemale,TeamSheetMale),$Y270+1,FALSE)</f>
        <v>0</v>
      </c>
      <c r="I270" s="369">
        <f>VLOOKUP($B262,IF($H262="F",TeamSheetFemale,TeamSheetMale),$Y270+2,FALSE)</f>
        <v>0</v>
      </c>
      <c r="K270" s="346" t="s">
        <v>278</v>
      </c>
      <c r="L270" s="25" t="str">
        <f t="shared" si="220"/>
        <v/>
      </c>
      <c r="M270" s="928"/>
      <c r="N270" s="932"/>
      <c r="O270" s="374" t="str">
        <f>IF(LEN($M270)=1,VLOOKUP(LEFT($M270,1),B263:I270,5,FALSE),IF(LEN($M270)=2,VLOOKUP(LEFT($M270,1),B263:I270,7,FALSE),""))</f>
        <v/>
      </c>
      <c r="P270" s="411" t="str">
        <f>IF(LEN($M270)=1,VLOOKUP(LEFT($M270,1),B263:I270,6,FALSE),IF(LEN($M270)=2,VLOOKUP(LEFT($M270,1),B263:I270,8,FALSE),""))</f>
        <v/>
      </c>
      <c r="Q270" s="407" t="s">
        <v>278</v>
      </c>
      <c r="R270" s="523" t="str">
        <f t="shared" si="221"/>
        <v/>
      </c>
      <c r="S270" s="928"/>
      <c r="T270" s="932"/>
      <c r="U270" s="374" t="str">
        <f>IF(LEN($S270)=1,VLOOKUP(LEFT($S270,1),B263:I270,5,FALSE),IF(LEN($S270)=2,VLOOKUP(LEFT($S270,1),B263:I270,7,FALSE),""))</f>
        <v/>
      </c>
      <c r="V270" s="411" t="str">
        <f>IF(LEN($S270)=1,VLOOKUP(LEFT($S270,1),B263:I270,6,FALSE),IF(LEN($S270)=2,VLOOKUP(LEFT($S270,1),B263:I270,8,FALSE),""))</f>
        <v/>
      </c>
      <c r="W270" s="418">
        <f t="shared" si="228"/>
        <v>1</v>
      </c>
      <c r="Y270" s="25">
        <v>42</v>
      </c>
      <c r="Z270" s="25">
        <f t="shared" si="222"/>
        <v>0</v>
      </c>
      <c r="AA270" s="523">
        <f t="shared" si="223"/>
        <v>0</v>
      </c>
      <c r="AC270" s="25" t="str">
        <f t="shared" si="224"/>
        <v>Y</v>
      </c>
      <c r="AD270" s="624" t="str">
        <f t="shared" si="224"/>
        <v>Worcester</v>
      </c>
      <c r="AE270" s="624">
        <f>IF(ISNA(MATCH(AC270,N262:N271,0)),0,VLOOKUP(AC270,N262:S271,5,FALSE))</f>
        <v>0</v>
      </c>
      <c r="AF270" s="624" t="str">
        <f t="shared" ref="AF270" si="229">IF(ISNA(MATCH(AC270,T262:T271,0))," ",VLOOKUP(AC270,T262:Y271,5,FALSE))</f>
        <v xml:space="preserve"> </v>
      </c>
      <c r="AG270" s="624">
        <f>IF(ISNA(MATCH(AC270,L263:L270,0)),0,VLOOKUP(AC270,L263:N270,3,FALSE))</f>
        <v>0</v>
      </c>
      <c r="AH270" s="624">
        <f>IF(ISNA(MATCH(AC270,R263:R270,0)),0,VLOOKUP(AC270,R263:T270,3,FALSE))</f>
        <v>0</v>
      </c>
      <c r="AI270" s="624">
        <f>IF(ISNA(MATCH(AC270,L263:L270,0)),0,VLOOKUP(AC270,L263:P270,4,FALSE))</f>
        <v>0</v>
      </c>
      <c r="AJ270" s="624">
        <f>IF(ISNA(MATCH(AC270,R263:R270,0)),0,VLOOKUP(AC270,R263:U270,4,FALSE))</f>
        <v>0</v>
      </c>
      <c r="AK270" s="116">
        <f t="shared" si="225"/>
        <v>0</v>
      </c>
      <c r="AL270" s="116">
        <f t="shared" si="226"/>
        <v>0</v>
      </c>
      <c r="AM270" s="116">
        <f>IF(ISNA(MATCH(AC270,L263:L270,0)),0,VLOOKUP(AC270,L263:W270,AM$1,FALSE))</f>
        <v>0</v>
      </c>
      <c r="AN270" s="523">
        <f>IF(ISNA(MATCH(AC270,R263:R270,0)),0,VLOOKUP(AC270,R263:W270,AN$1,FALSE))</f>
        <v>0</v>
      </c>
      <c r="AP270" s="928"/>
      <c r="AQ270" s="932"/>
    </row>
    <row r="271" spans="1:47" ht="15" thickBot="1" x14ac:dyDescent="0.35">
      <c r="M271" s="276"/>
      <c r="N271" s="307"/>
      <c r="S271" s="276"/>
      <c r="T271" s="307"/>
      <c r="AP271" s="276"/>
      <c r="AQ271" s="307"/>
    </row>
    <row r="272" spans="1:47" x14ac:dyDescent="0.3">
      <c r="B272" s="400" t="s">
        <v>258</v>
      </c>
      <c r="C272" s="398"/>
      <c r="D272" s="401" t="s">
        <v>165</v>
      </c>
      <c r="E272" s="398"/>
      <c r="F272" s="398"/>
      <c r="G272" s="402" t="s">
        <v>259</v>
      </c>
      <c r="H272" s="403" t="s">
        <v>249</v>
      </c>
      <c r="I272" s="404" t="s">
        <v>168</v>
      </c>
      <c r="K272" s="360"/>
      <c r="L272" s="661"/>
      <c r="M272" s="387" t="s">
        <v>260</v>
      </c>
      <c r="N272" s="387" t="s">
        <v>261</v>
      </c>
      <c r="O272" s="387" t="s">
        <v>262</v>
      </c>
      <c r="P272" s="388" t="s">
        <v>75</v>
      </c>
      <c r="Q272" s="389"/>
      <c r="R272" s="657"/>
      <c r="S272" s="387" t="s">
        <v>260</v>
      </c>
      <c r="T272" s="387" t="s">
        <v>261</v>
      </c>
      <c r="U272" s="387" t="s">
        <v>262</v>
      </c>
      <c r="V272" s="388" t="s">
        <v>75</v>
      </c>
      <c r="W272" s="672" t="s">
        <v>76</v>
      </c>
      <c r="Y272" s="414" t="s">
        <v>263</v>
      </c>
      <c r="Z272" s="656" t="s">
        <v>74</v>
      </c>
      <c r="AA272" s="657" t="s">
        <v>75</v>
      </c>
      <c r="AC272" s="665" t="s">
        <v>71</v>
      </c>
      <c r="AD272" s="657" t="s">
        <v>86</v>
      </c>
      <c r="AE272" s="661" t="s">
        <v>149</v>
      </c>
      <c r="AF272" s="661" t="s">
        <v>94</v>
      </c>
      <c r="AG272" s="661" t="s">
        <v>149</v>
      </c>
      <c r="AH272" s="661" t="s">
        <v>94</v>
      </c>
      <c r="AI272" s="661" t="s">
        <v>149</v>
      </c>
      <c r="AJ272" s="661" t="s">
        <v>94</v>
      </c>
      <c r="AK272" s="1332" t="s">
        <v>149</v>
      </c>
      <c r="AL272" s="661" t="s">
        <v>94</v>
      </c>
      <c r="AM272" s="1406" t="s">
        <v>76</v>
      </c>
      <c r="AN272" s="1407"/>
      <c r="AP272" s="387" t="s">
        <v>260</v>
      </c>
      <c r="AQ272" s="387" t="s">
        <v>261</v>
      </c>
      <c r="AS272" s="1218" t="s">
        <v>165</v>
      </c>
      <c r="AT272" s="1219" t="s">
        <v>79</v>
      </c>
      <c r="AU272" s="1220" t="s">
        <v>80</v>
      </c>
    </row>
    <row r="273" spans="1:47" ht="15" thickBot="1" x14ac:dyDescent="0.35">
      <c r="B273" s="405">
        <v>24</v>
      </c>
      <c r="C273" s="399"/>
      <c r="D273" s="385" t="str">
        <f>VLOOKUP($B273,EventOrder,6,FALSE)</f>
        <v>Javelin Match 1 &amp; 3</v>
      </c>
      <c r="E273" s="399"/>
      <c r="F273" s="385"/>
      <c r="G273" s="386" t="str">
        <f>VLOOKUP($B273,EventOrder,4,FALSE)</f>
        <v>U14 Male</v>
      </c>
      <c r="H273" s="396" t="str">
        <f>IF(MID(G273,5,1)="F","F","M")</f>
        <v>M</v>
      </c>
      <c r="I273" s="397">
        <f>VLOOKUP($B273,EventOrder,2,FALSE)</f>
        <v>1</v>
      </c>
      <c r="K273" s="377"/>
      <c r="L273" s="667" t="s">
        <v>149</v>
      </c>
      <c r="M273" s="409" t="s">
        <v>264</v>
      </c>
      <c r="N273" s="409" t="s">
        <v>265</v>
      </c>
      <c r="O273" s="390" t="s">
        <v>266</v>
      </c>
      <c r="P273" s="391"/>
      <c r="Q273" s="392"/>
      <c r="R273" s="659" t="s">
        <v>94</v>
      </c>
      <c r="S273" s="409" t="s">
        <v>264</v>
      </c>
      <c r="T273" s="409" t="s">
        <v>265</v>
      </c>
      <c r="U273" s="390" t="s">
        <v>266</v>
      </c>
      <c r="V273" s="391"/>
      <c r="W273" s="671"/>
      <c r="Y273" s="415" t="s">
        <v>167</v>
      </c>
      <c r="Z273" s="658" t="s">
        <v>149</v>
      </c>
      <c r="AA273" s="659" t="s">
        <v>94</v>
      </c>
      <c r="AC273" s="666"/>
      <c r="AD273" s="668"/>
      <c r="AE273" s="768" t="s">
        <v>75</v>
      </c>
      <c r="AF273" s="768" t="s">
        <v>75</v>
      </c>
      <c r="AG273" s="768" t="s">
        <v>267</v>
      </c>
      <c r="AH273" s="768" t="s">
        <v>267</v>
      </c>
      <c r="AI273" s="768" t="s">
        <v>268</v>
      </c>
      <c r="AJ273" s="768" t="s">
        <v>268</v>
      </c>
      <c r="AK273" s="770" t="s">
        <v>269</v>
      </c>
      <c r="AL273" s="768" t="s">
        <v>269</v>
      </c>
      <c r="AM273" s="667" t="s">
        <v>149</v>
      </c>
      <c r="AN273" s="659" t="s">
        <v>94</v>
      </c>
      <c r="AP273" s="409" t="s">
        <v>264</v>
      </c>
      <c r="AQ273" s="409" t="s">
        <v>265</v>
      </c>
      <c r="AS273" s="1221" t="s">
        <v>270</v>
      </c>
      <c r="AT273" s="1222" t="s">
        <v>270</v>
      </c>
      <c r="AU273" s="1223" t="s">
        <v>270</v>
      </c>
    </row>
    <row r="274" spans="1:47" ht="15.6" x14ac:dyDescent="0.3">
      <c r="A274" s="416">
        <f>(B273*10)+1</f>
        <v>241</v>
      </c>
      <c r="B274" s="362" t="str">
        <f>'Event Details'!D$22</f>
        <v>S</v>
      </c>
      <c r="C274" s="381" t="str">
        <f>'Event Details'!E$22</f>
        <v>BRAT</v>
      </c>
      <c r="D274" s="379"/>
      <c r="E274" s="378"/>
      <c r="F274" s="363" t="str">
        <f>VLOOKUP($B273,IF($H273="F",TeamSheetFemale,TeamSheetMale),$Y274-1,FALSE)</f>
        <v>S</v>
      </c>
      <c r="G274" s="380" t="str">
        <f>VLOOKUP($B273,IF($H273="F",TeamSheetFemale,TeamSheetMale),$Y274,FALSE)</f>
        <v>Charlie Keenan</v>
      </c>
      <c r="H274" s="363" t="str">
        <f>VLOOKUP($B273,IF($H273="F",TeamSheetFemale,TeamSheetMale),$Y274+1,FALSE)</f>
        <v>SS</v>
      </c>
      <c r="I274" s="364" t="str">
        <f>VLOOKUP($B273,IF($H273="F",TeamSheetFemale,TeamSheetMale),$Y274+2,FALSE)</f>
        <v>Lombe Lombe</v>
      </c>
      <c r="K274" s="393" t="s">
        <v>271</v>
      </c>
      <c r="L274" s="16" t="str">
        <f t="shared" ref="L274:L281" si="230">LEFT(M274,1)</f>
        <v>R</v>
      </c>
      <c r="M274" s="926" t="s">
        <v>118</v>
      </c>
      <c r="N274" s="926">
        <v>34.65</v>
      </c>
      <c r="O274" s="394" t="str">
        <f>IF(LEN($M274)=1,VLOOKUP(LEFT($M274,1),B274:I281,5,FALSE),IF(LEN($M274)=2,VLOOKUP(LEFT($M274,1),B274:I281,7,FALSE),""))</f>
        <v>R</v>
      </c>
      <c r="P274" s="395" t="str">
        <f>IF(LEN($M274)=1,VLOOKUP(LEFT($M274,1),B274:I281,6,FALSE),IF(LEN($M274)=2,VLOOKUP(LEFT($M274,1),B274:I281,8,FALSE),""))</f>
        <v>Robert Copeland</v>
      </c>
      <c r="Q274" s="393" t="s">
        <v>271</v>
      </c>
      <c r="R274" s="146" t="str">
        <f t="shared" ref="R274:R281" si="231">LEFT(S274,1)</f>
        <v>R</v>
      </c>
      <c r="S274" s="926" t="s">
        <v>819</v>
      </c>
      <c r="T274" s="926">
        <v>21.06</v>
      </c>
      <c r="U274" s="394" t="str">
        <f>IF(LEN($S274)=1,VLOOKUP(LEFT($S274,1),B274:I281,5,FALSE),IF(LEN($S274)=2,VLOOKUP(LEFT($S274,1),B274:I281,7,FALSE),""))</f>
        <v>RR</v>
      </c>
      <c r="V274" s="395" t="str">
        <f>IF(LEN($S274)=1,VLOOKUP(LEFT($S274,1),B274:I281,6,FALSE),IF(LEN($S274)=2,VLOOKUP(LEFT($S274,1),B274:I281,8,FALSE),""))</f>
        <v>Wesley Hague</v>
      </c>
      <c r="W274" s="417">
        <f>AN$6</f>
        <v>8</v>
      </c>
      <c r="Y274" s="416">
        <v>7</v>
      </c>
      <c r="Z274" s="653" t="str">
        <f t="shared" ref="Z274:Z281" si="232">IF(LEN(M274)&gt;0,VLOOKUP(LEFT(M274,1),ShortName,5,FALSE),0)</f>
        <v>Rugby</v>
      </c>
      <c r="AA274" s="138" t="str">
        <f t="shared" ref="AA274:AA281" si="233">IF(LEN(S274)&gt;0,VLOOKUP(LEFT(S274,1),ShortName,5,FALSE),0)</f>
        <v>Rugby</v>
      </c>
      <c r="AC274" s="16" t="str">
        <f t="shared" ref="AC274:AD281" si="234">B274</f>
        <v>S</v>
      </c>
      <c r="AD274" s="419" t="str">
        <f t="shared" si="234"/>
        <v>BRAT</v>
      </c>
      <c r="AE274" s="635">
        <f>IF(ISNA(MATCH(AC274,N274:N283,0)),0,VLOOKUP(AC274,N274:S283,5,FALSE))</f>
        <v>0</v>
      </c>
      <c r="AF274" s="635" t="str">
        <f>IF(ISNA(MATCH(AC274,T274:T283,0))," ",VLOOKUP(AC274,T274:Y283,5,FALSE))</f>
        <v xml:space="preserve"> </v>
      </c>
      <c r="AG274" s="635">
        <f>IF(ISNA(MATCH(AC274,L274:L281,0)),0,VLOOKUP(AC274,L274:N281,3,FALSE))</f>
        <v>28.88</v>
      </c>
      <c r="AH274" s="635">
        <f>IF(ISNA(MATCH(AC274,R274:R281,0)),0,VLOOKUP(AC274,R274:T281,3,FALSE))</f>
        <v>20.7</v>
      </c>
      <c r="AI274" s="635" t="str">
        <f>IF(ISNA(MATCH(AC274,L274:L281,0)),0,VLOOKUP(AC274,L274:P281,4,FALSE))</f>
        <v>S</v>
      </c>
      <c r="AJ274" s="635" t="str">
        <f>IF(ISNA(MATCH(AC274,R274:R281,0)),0,VLOOKUP(AC274,R274:U281,4,FALSE))</f>
        <v>SS</v>
      </c>
      <c r="AK274" s="49">
        <f t="shared" ref="AK274:AK281" si="235">IF(AM274=0,0,AN$6-(AM274-1))</f>
        <v>2</v>
      </c>
      <c r="AL274" s="49">
        <f t="shared" ref="AL274:AL281" si="236">IF(AN274=0,0,AN$6-(AN274-1))</f>
        <v>2</v>
      </c>
      <c r="AM274" s="49">
        <f>IF(ISNA(MATCH(AC274,L274:L281,0)),0,VLOOKUP(AC274,L274:W281,AM$1,FALSE))</f>
        <v>7</v>
      </c>
      <c r="AN274" s="138">
        <f>IF(ISNA(MATCH(AC274,R274:R281,0)),0,VLOOKUP(AC274,R274:W281,AN$1,FALSE))</f>
        <v>7</v>
      </c>
      <c r="AP274" s="926"/>
      <c r="AQ274" s="926"/>
      <c r="AS274" s="32">
        <f>IF(LEN(N274)&gt;0,1,0)</f>
        <v>1</v>
      </c>
      <c r="AT274" s="32">
        <f>IF(AND(AS274=1,H273="M"),1,0)</f>
        <v>1</v>
      </c>
      <c r="AU274" s="32">
        <f>IF(AND(AS274=1,H273="F"),1,0)</f>
        <v>0</v>
      </c>
    </row>
    <row r="275" spans="1:47" ht="15.6" x14ac:dyDescent="0.3">
      <c r="A275" s="417">
        <f>A274+1</f>
        <v>242</v>
      </c>
      <c r="B275" s="362" t="str">
        <f>'Event Details'!D$23</f>
        <v>U</v>
      </c>
      <c r="C275" s="381" t="str">
        <f>'Event Details'!E$23</f>
        <v>Kidder &amp; Stourport</v>
      </c>
      <c r="D275" s="379"/>
      <c r="E275" s="378"/>
      <c r="F275" s="363" t="str">
        <f>VLOOKUP($B273,IF($H273="F",TeamSheetFemale,TeamSheetMale),$Y275-1,FALSE)</f>
        <v>U</v>
      </c>
      <c r="G275" s="380" t="str">
        <f>VLOOKUP($B273,IF($H273="F",TeamSheetFemale,TeamSheetMale),$Y275,FALSE)</f>
        <v>Will Freeman</v>
      </c>
      <c r="H275" s="363" t="str">
        <f>VLOOKUP($B273,IF($H273="F",TeamSheetFemale,TeamSheetMale),$Y275+1,FALSE)</f>
        <v>UU</v>
      </c>
      <c r="I275" s="364" t="str">
        <f>VLOOKUP($B273,IF($H273="F",TeamSheetFemale,TeamSheetMale),$Y275+2,FALSE)</f>
        <v>Benjamin Askey</v>
      </c>
      <c r="K275" s="341" t="s">
        <v>272</v>
      </c>
      <c r="L275" s="16" t="str">
        <f t="shared" si="230"/>
        <v>S</v>
      </c>
      <c r="M275" s="927" t="s">
        <v>100</v>
      </c>
      <c r="N275" s="927">
        <v>28.88</v>
      </c>
      <c r="O275" s="353" t="str">
        <f>IF(LEN($M275)=1,VLOOKUP(LEFT($M275,1),B274:I281,5,FALSE),IF(LEN($M275)=2,VLOOKUP(LEFT($M275,1),B274:I281,7,FALSE),""))</f>
        <v>S</v>
      </c>
      <c r="P275" s="373" t="str">
        <f>IF(LEN($M275)=1,VLOOKUP(LEFT($M275,1),B274:I281,6,FALSE),IF(LEN($M275)=2,VLOOKUP(LEFT($M275,1),B274:I281,8,FALSE),""))</f>
        <v>Charlie Keenan</v>
      </c>
      <c r="Q275" s="341" t="s">
        <v>272</v>
      </c>
      <c r="R275" s="146" t="str">
        <f t="shared" si="231"/>
        <v>S</v>
      </c>
      <c r="S275" s="927" t="s">
        <v>818</v>
      </c>
      <c r="T275" s="927">
        <v>20.7</v>
      </c>
      <c r="U275" s="353" t="str">
        <f>IF(LEN($S275)=1,VLOOKUP(LEFT($S275,1),B274:I281,5,FALSE),IF(LEN($S275)=2,VLOOKUP(LEFT($S275,1),B274:I281,7,FALSE),""))</f>
        <v>SS</v>
      </c>
      <c r="V275" s="373" t="str">
        <f>IF(LEN($S275)=1,VLOOKUP(LEFT($S275,1),B274:I281,6,FALSE),IF(LEN($S275)=2,VLOOKUP(LEFT($S275,1),B274:I281,8,FALSE),""))</f>
        <v>Lombe Lombe</v>
      </c>
      <c r="W275" s="417">
        <f>W274-1</f>
        <v>7</v>
      </c>
      <c r="Y275" s="417">
        <v>12</v>
      </c>
      <c r="Z275" s="16" t="str">
        <f t="shared" si="232"/>
        <v>BRAT</v>
      </c>
      <c r="AA275" s="146" t="str">
        <f t="shared" si="233"/>
        <v>BRAT</v>
      </c>
      <c r="AC275" s="16" t="str">
        <f t="shared" si="234"/>
        <v>U</v>
      </c>
      <c r="AD275" s="419" t="str">
        <f t="shared" si="234"/>
        <v>Kidder &amp; Stourport</v>
      </c>
      <c r="AE275" s="419">
        <f>IF(ISNA(MATCH(AC275,N274:N283,0)),0,VLOOKUP(AC275,N274:S283,5,FALSE))</f>
        <v>0</v>
      </c>
      <c r="AF275" s="419" t="str">
        <f>IF(ISNA(MATCH(AC275,T274:T283,0))," ",VLOOKUP(AC275,T274:Y283,5,FALSE))</f>
        <v xml:space="preserve"> </v>
      </c>
      <c r="AG275" s="419">
        <f>IF(ISNA(MATCH(AC275,L274:L281,0)),0,VLOOKUP(AC275,L274:N281,3,FALSE))</f>
        <v>27.81</v>
      </c>
      <c r="AH275" s="419">
        <f>IF(ISNA(MATCH(AC275,R274:R281,0)),0,VLOOKUP(AC275,R274:T281,3,FALSE))</f>
        <v>13.22</v>
      </c>
      <c r="AI275" s="419" t="str">
        <f>IF(ISNA(MATCH(AC275,L274:L281,0)),0,VLOOKUP(AC275,L274:P281,4,FALSE))</f>
        <v>U</v>
      </c>
      <c r="AJ275" s="419" t="str">
        <f>IF(ISNA(MATCH(AC275,R274:R281,0)),0,VLOOKUP(AC275,R274:U281,4,FALSE))</f>
        <v>UU</v>
      </c>
      <c r="AK275" s="32">
        <f t="shared" si="235"/>
        <v>3</v>
      </c>
      <c r="AL275" s="32">
        <f t="shared" si="236"/>
        <v>4</v>
      </c>
      <c r="AM275" s="32">
        <f>IF(ISNA(MATCH(AC275,L274:L281,0)),0,VLOOKUP(AC275,L274:W281,AM$1,FALSE))</f>
        <v>6</v>
      </c>
      <c r="AN275" s="146">
        <f>IF(ISNA(MATCH(AC275,R274:R281,0)),0,VLOOKUP(AC275,R274:W281,AN$1,FALSE))</f>
        <v>5</v>
      </c>
      <c r="AP275" s="927"/>
      <c r="AQ275" s="927"/>
    </row>
    <row r="276" spans="1:47" ht="15.6" x14ac:dyDescent="0.3">
      <c r="A276" s="417">
        <f t="shared" ref="A276:A281" si="237">A275+1</f>
        <v>243</v>
      </c>
      <c r="B276" s="362" t="str">
        <f>'Event Details'!D$24</f>
        <v>G</v>
      </c>
      <c r="C276" s="381" t="str">
        <f>'Event Details'!E$24</f>
        <v>Royal Sutton</v>
      </c>
      <c r="D276" s="379"/>
      <c r="E276" s="378"/>
      <c r="F276" s="363" t="str">
        <f>VLOOKUP($B273,IF($H273="F",TeamSheetFemale,TeamSheetMale),$Y276-1,FALSE)</f>
        <v>G</v>
      </c>
      <c r="G276" s="380" t="str">
        <f>VLOOKUP($B273,IF($H273="F",TeamSheetFemale,TeamSheetMale),$Y276,FALSE)</f>
        <v>Edward Burnell</v>
      </c>
      <c r="H276" s="363" t="str">
        <f>VLOOKUP($B273,IF($H273="F",TeamSheetFemale,TeamSheetMale),$Y276+1,FALSE)</f>
        <v>GG</v>
      </c>
      <c r="I276" s="364" t="str">
        <f>VLOOKUP($B273,IF($H273="F",TeamSheetFemale,TeamSheetMale),$Y276+2,FALSE)</f>
        <v>Lewis Deffley</v>
      </c>
      <c r="K276" s="341" t="s">
        <v>273</v>
      </c>
      <c r="L276" s="16" t="str">
        <f t="shared" si="230"/>
        <v>U</v>
      </c>
      <c r="M276" s="927" t="s">
        <v>130</v>
      </c>
      <c r="N276" s="927">
        <v>27.81</v>
      </c>
      <c r="O276" s="353" t="str">
        <f>IF(LEN($M276)=1,VLOOKUP(LEFT($M276,1),B274:I281,5,FALSE),IF(LEN($M276)=2,VLOOKUP(LEFT($M276,1),B274:I281,7,FALSE),""))</f>
        <v>U</v>
      </c>
      <c r="P276" s="373" t="str">
        <f>IF(LEN($M276)=1,VLOOKUP(LEFT($M276,1),B274:I281,6,FALSE),IF(LEN($M276)=2,VLOOKUP(LEFT($M276,1),B274:I281,8,FALSE),""))</f>
        <v>Will Freeman</v>
      </c>
      <c r="Q276" s="341" t="s">
        <v>273</v>
      </c>
      <c r="R276" s="146" t="str">
        <f t="shared" si="231"/>
        <v>M</v>
      </c>
      <c r="S276" s="927" t="s">
        <v>127</v>
      </c>
      <c r="T276" s="927">
        <v>15.33</v>
      </c>
      <c r="U276" s="353" t="str">
        <f>IF(LEN($S276)=1,VLOOKUP(LEFT($S276,1),B274:I281,5,FALSE),IF(LEN($S276)=2,VLOOKUP(LEFT($S276,1),B274:I281,7,FALSE),""))</f>
        <v>M</v>
      </c>
      <c r="V276" s="373" t="str">
        <f>IF(LEN($S276)=1,VLOOKUP(LEFT($S276,1),B274:I281,6,FALSE),IF(LEN($S276)=2,VLOOKUP(LEFT($S276,1),B274:I281,8,FALSE),""))</f>
        <v>Joshua Baylis</v>
      </c>
      <c r="W276" s="417">
        <f t="shared" ref="W276:W281" si="238">W275-1</f>
        <v>6</v>
      </c>
      <c r="Y276" s="417">
        <v>17</v>
      </c>
      <c r="Z276" s="16" t="str">
        <f t="shared" si="232"/>
        <v>K&amp;S</v>
      </c>
      <c r="AA276" s="146" t="str">
        <f t="shared" si="233"/>
        <v>Sol</v>
      </c>
      <c r="AB276" s="32"/>
      <c r="AC276" s="16" t="str">
        <f t="shared" si="234"/>
        <v>G</v>
      </c>
      <c r="AD276" s="419" t="str">
        <f t="shared" si="234"/>
        <v>Royal Sutton</v>
      </c>
      <c r="AE276" s="419">
        <f>IF(ISNA(MATCH(AC276,N274:N283,0)),0,VLOOKUP(AC276,N274:S283,5,FALSE))</f>
        <v>0</v>
      </c>
      <c r="AF276" s="419" t="str">
        <f>IF(ISNA(MATCH(AC276,T274:T283,0))," ",VLOOKUP(AC276,T274:Y283,5,FALSE))</f>
        <v xml:space="preserve"> </v>
      </c>
      <c r="AG276" s="419">
        <f>IF(ISNA(MATCH(AC276,L274:L281,0)),0,VLOOKUP(AC276,L274:N281,3,FALSE))</f>
        <v>19.88</v>
      </c>
      <c r="AH276" s="419">
        <f>IF(ISNA(MATCH(AC276,R274:R281,0)),0,VLOOKUP(AC276,R274:T281,3,FALSE))</f>
        <v>0</v>
      </c>
      <c r="AI276" s="419" t="str">
        <f>IF(ISNA(MATCH(AC276,L274:L281,0)),0,VLOOKUP(AC276,L274:P281,4,FALSE))</f>
        <v>GG</v>
      </c>
      <c r="AJ276" s="419">
        <f>IF(ISNA(MATCH(AC276,R274:R281,0)),0,VLOOKUP(AC276,R274:U281,4,FALSE))</f>
        <v>0</v>
      </c>
      <c r="AK276" s="32">
        <f t="shared" si="235"/>
        <v>4</v>
      </c>
      <c r="AL276" s="32">
        <f t="shared" si="236"/>
        <v>0</v>
      </c>
      <c r="AM276" s="32">
        <f>IF(ISNA(MATCH(AC276,L274:L281,0)),0,VLOOKUP(AC276,L274:W281,AM$1,FALSE))</f>
        <v>5</v>
      </c>
      <c r="AN276" s="146">
        <f>IF(ISNA(MATCH(AC276,R274:R281,0)),0,VLOOKUP(AC276,R274:W281,AN$1,FALSE))</f>
        <v>0</v>
      </c>
      <c r="AP276" s="927"/>
      <c r="AQ276" s="927"/>
    </row>
    <row r="277" spans="1:47" ht="15.6" x14ac:dyDescent="0.3">
      <c r="A277" s="417">
        <f t="shared" si="237"/>
        <v>244</v>
      </c>
      <c r="B277" s="362" t="str">
        <f>'Event Details'!D$25</f>
        <v>R</v>
      </c>
      <c r="C277" s="381" t="str">
        <f>'Event Details'!E$25</f>
        <v>Rugby &amp; N'hampton</v>
      </c>
      <c r="D277" s="379"/>
      <c r="E277" s="378"/>
      <c r="F277" s="363" t="str">
        <f>VLOOKUP($B273,IF($H273="F",TeamSheetFemale,TeamSheetMale),$Y277-1,FALSE)</f>
        <v>R</v>
      </c>
      <c r="G277" s="380" t="str">
        <f>VLOOKUP($B273,IF($H273="F",TeamSheetFemale,TeamSheetMale),$Y277,FALSE)</f>
        <v>Robert Copeland</v>
      </c>
      <c r="H277" s="363" t="str">
        <f>VLOOKUP($B273,IF($H273="F",TeamSheetFemale,TeamSheetMale),$Y277+1,FALSE)</f>
        <v>RR</v>
      </c>
      <c r="I277" s="364" t="str">
        <f>VLOOKUP($B273,IF($H273="F",TeamSheetFemale,TeamSheetMale),$Y277+2,FALSE)</f>
        <v>Wesley Hague</v>
      </c>
      <c r="K277" s="341" t="s">
        <v>274</v>
      </c>
      <c r="L277" s="16" t="str">
        <f t="shared" si="230"/>
        <v>G</v>
      </c>
      <c r="M277" s="927" t="s">
        <v>820</v>
      </c>
      <c r="N277" s="927">
        <v>19.88</v>
      </c>
      <c r="O277" s="353" t="str">
        <f>IF(LEN($M277)=1,VLOOKUP(LEFT($M277,1),B274:I281,5,FALSE),IF(LEN($M277)=2,VLOOKUP(LEFT($M277,1),B274:I281,7,FALSE),""))</f>
        <v>GG</v>
      </c>
      <c r="P277" s="373" t="str">
        <f>IF(LEN($M277)=1,VLOOKUP(LEFT($M277,1),B274:I281,6,FALSE),IF(LEN($M277)=2,VLOOKUP(LEFT($M277,1),B274:I281,8,FALSE),""))</f>
        <v>Lewis Deffley</v>
      </c>
      <c r="Q277" s="341" t="s">
        <v>274</v>
      </c>
      <c r="R277" s="146" t="str">
        <f t="shared" si="231"/>
        <v>U</v>
      </c>
      <c r="S277" s="927" t="s">
        <v>726</v>
      </c>
      <c r="T277" s="927">
        <v>13.22</v>
      </c>
      <c r="U277" s="353" t="str">
        <f>IF(LEN($S277)=1,VLOOKUP(LEFT($S277,1),B274:I281,5,FALSE),IF(LEN($S277)=2,VLOOKUP(LEFT($S277,1),B274:I281,7,FALSE),""))</f>
        <v>UU</v>
      </c>
      <c r="V277" s="373" t="str">
        <f>IF(LEN($S277)=1,VLOOKUP(LEFT($S277,1),B274:I281,6,FALSE),IF(LEN($S277)=2,VLOOKUP(LEFT($S277,1),B274:I281,8,FALSE),""))</f>
        <v>Benjamin Askey</v>
      </c>
      <c r="W277" s="417">
        <f t="shared" si="238"/>
        <v>5</v>
      </c>
      <c r="Y277" s="417">
        <v>22</v>
      </c>
      <c r="Z277" s="16" t="str">
        <f t="shared" si="232"/>
        <v>Royal</v>
      </c>
      <c r="AA277" s="146" t="str">
        <f t="shared" si="233"/>
        <v>K&amp;S</v>
      </c>
      <c r="AB277" s="32"/>
      <c r="AC277" s="16" t="str">
        <f t="shared" si="234"/>
        <v>R</v>
      </c>
      <c r="AD277" s="419" t="str">
        <f t="shared" si="234"/>
        <v>Rugby &amp; N'hampton</v>
      </c>
      <c r="AE277" s="419">
        <f>IF(ISNA(MATCH(AC277,N274:N283,0)),0,VLOOKUP(AC277,N274:S283,5,FALSE))</f>
        <v>0</v>
      </c>
      <c r="AF277" s="419" t="str">
        <f>IF(ISNA(MATCH(AC277,T274:T283,0))," ",VLOOKUP(AC277,T274:Y283,5,FALSE))</f>
        <v xml:space="preserve"> </v>
      </c>
      <c r="AG277" s="419">
        <f>IF(ISNA(MATCH(AC277,L274:L281,0)),0,VLOOKUP(AC277,L274:N281,3,FALSE))</f>
        <v>34.65</v>
      </c>
      <c r="AH277" s="419">
        <f>IF(ISNA(MATCH(AC277,R274:R281,0)),0,VLOOKUP(AC277,R274:T281,3,FALSE))</f>
        <v>21.06</v>
      </c>
      <c r="AI277" s="419" t="str">
        <f>IF(ISNA(MATCH(AC277,L274:L281,0)),0,VLOOKUP(AC277,L274:P281,4,FALSE))</f>
        <v>R</v>
      </c>
      <c r="AJ277" s="419" t="str">
        <f>IF(ISNA(MATCH(AC277,R274:R281,0)),0,VLOOKUP(AC277,R274:U281,4,FALSE))</f>
        <v>RR</v>
      </c>
      <c r="AK277" s="32">
        <f t="shared" si="235"/>
        <v>1</v>
      </c>
      <c r="AL277" s="32">
        <f t="shared" si="236"/>
        <v>1</v>
      </c>
      <c r="AM277" s="32">
        <f>IF(ISNA(MATCH(AC277,L274:L281,0)),0,VLOOKUP(AC277,L274:W281,AM$1,FALSE))</f>
        <v>8</v>
      </c>
      <c r="AN277" s="146">
        <f>IF(ISNA(MATCH(AC277,R274:R281,0)),0,VLOOKUP(AC277,R274:W281,AN$1,FALSE))</f>
        <v>8</v>
      </c>
      <c r="AP277" s="927"/>
      <c r="AQ277" s="927"/>
    </row>
    <row r="278" spans="1:47" ht="15.6" x14ac:dyDescent="0.3">
      <c r="A278" s="417">
        <f t="shared" si="237"/>
        <v>245</v>
      </c>
      <c r="B278" s="362" t="str">
        <f>'Event Details'!D$26</f>
        <v>M</v>
      </c>
      <c r="C278" s="381" t="str">
        <f>'Event Details'!E$26</f>
        <v>Solihull &amp; S.Heath</v>
      </c>
      <c r="D278" s="379"/>
      <c r="E278" s="378"/>
      <c r="F278" s="363" t="str">
        <f>VLOOKUP($B273,IF($H273="F",TeamSheetFemale,TeamSheetMale),$Y278-1,FALSE)</f>
        <v>M</v>
      </c>
      <c r="G278" s="380" t="str">
        <f>VLOOKUP($B273,IF($H273="F",TeamSheetFemale,TeamSheetMale),$Y278,FALSE)</f>
        <v>Joshua Baylis</v>
      </c>
      <c r="H278" s="363" t="str">
        <f>VLOOKUP($B273,IF($H273="F",TeamSheetFemale,TeamSheetMale),$Y278+1,FALSE)</f>
        <v>MM</v>
      </c>
      <c r="I278" s="364" t="str">
        <f>VLOOKUP($B273,IF($H273="F",TeamSheetFemale,TeamSheetMale),$Y278+2,FALSE)</f>
        <v>Peter Holdsworth</v>
      </c>
      <c r="K278" s="341" t="s">
        <v>275</v>
      </c>
      <c r="L278" s="16" t="str">
        <f t="shared" si="230"/>
        <v>M</v>
      </c>
      <c r="M278" s="927" t="s">
        <v>821</v>
      </c>
      <c r="N278" s="927">
        <v>18.78</v>
      </c>
      <c r="O278" s="353" t="str">
        <f>IF(LEN($M278)=1,VLOOKUP(LEFT($M278,1),B274:I281,5,FALSE),IF(LEN($M278)=2,VLOOKUP(LEFT($M278,1),B274:I281,7,FALSE),""))</f>
        <v>MM</v>
      </c>
      <c r="P278" s="373" t="str">
        <f>IF(LEN($M278)=1,VLOOKUP(LEFT($M278,1),B274:I281,6,FALSE),IF(LEN($M278)=2,VLOOKUP(LEFT($M278,1),B274:I281,8,FALSE),""))</f>
        <v>Peter Holdsworth</v>
      </c>
      <c r="Q278" s="341" t="s">
        <v>275</v>
      </c>
      <c r="R278" s="146" t="str">
        <f t="shared" si="231"/>
        <v>F</v>
      </c>
      <c r="S278" s="927" t="s">
        <v>576</v>
      </c>
      <c r="T278" s="927">
        <v>11.66</v>
      </c>
      <c r="U278" s="353" t="str">
        <f>IF(LEN($S278)=1,VLOOKUP(LEFT($S278,1),B274:I281,5,FALSE),IF(LEN($S278)=2,VLOOKUP(LEFT($S278,1),B274:I281,7,FALSE),""))</f>
        <v>FF</v>
      </c>
      <c r="V278" s="373" t="str">
        <f>IF(LEN($S278)=1,VLOOKUP(LEFT($S278,1),B274:I281,6,FALSE),IF(LEN($S278)=2,VLOOKUP(LEFT($S278,1),B274:I281,8,FALSE),""))</f>
        <v>Joseph Sizer</v>
      </c>
      <c r="W278" s="417">
        <f t="shared" si="238"/>
        <v>4</v>
      </c>
      <c r="Y278" s="417">
        <v>27</v>
      </c>
      <c r="Z278" s="16" t="str">
        <f t="shared" si="232"/>
        <v>Sol</v>
      </c>
      <c r="AA278" s="146" t="str">
        <f t="shared" si="233"/>
        <v>Tam</v>
      </c>
      <c r="AB278" s="32"/>
      <c r="AC278" s="16" t="str">
        <f t="shared" si="234"/>
        <v>M</v>
      </c>
      <c r="AD278" s="419" t="str">
        <f t="shared" si="234"/>
        <v>Solihull &amp; S.Heath</v>
      </c>
      <c r="AE278" s="419">
        <f>IF(ISNA(MATCH(AC278,N274:N283,0)),0,VLOOKUP(AC278,N274:S283,5,FALSE))</f>
        <v>0</v>
      </c>
      <c r="AF278" s="419" t="str">
        <f>IF(ISNA(MATCH(AC278,T274:T283,0))," ",VLOOKUP(AC278,T274:Y283,5,FALSE))</f>
        <v xml:space="preserve"> </v>
      </c>
      <c r="AG278" s="419">
        <f>IF(ISNA(MATCH(AC278,L274:L281,0)),0,VLOOKUP(AC278,L274:N281,3,FALSE))</f>
        <v>18.78</v>
      </c>
      <c r="AH278" s="419">
        <f>IF(ISNA(MATCH(AC278,R274:R281,0)),0,VLOOKUP(AC278,R274:T281,3,FALSE))</f>
        <v>15.33</v>
      </c>
      <c r="AI278" s="419" t="str">
        <f>IF(ISNA(MATCH(AC278,L274:L281,0)),0,VLOOKUP(AC278,L274:P281,4,FALSE))</f>
        <v>MM</v>
      </c>
      <c r="AJ278" s="419" t="str">
        <f>IF(ISNA(MATCH(AC278,R274:R281,0)),0,VLOOKUP(AC278,R274:U281,4,FALSE))</f>
        <v>M</v>
      </c>
      <c r="AK278" s="32">
        <f t="shared" si="235"/>
        <v>5</v>
      </c>
      <c r="AL278" s="32">
        <f t="shared" si="236"/>
        <v>3</v>
      </c>
      <c r="AM278" s="32">
        <f>IF(ISNA(MATCH(AC278,L274:L281,0)),0,VLOOKUP(AC278,L274:W281,AM$1,FALSE))</f>
        <v>4</v>
      </c>
      <c r="AN278" s="146">
        <f>IF(ISNA(MATCH(AC278,R274:R281,0)),0,VLOOKUP(AC278,R274:W281,AN$1,FALSE))</f>
        <v>6</v>
      </c>
      <c r="AP278" s="927"/>
      <c r="AQ278" s="927"/>
    </row>
    <row r="279" spans="1:47" ht="15.6" x14ac:dyDescent="0.3">
      <c r="A279" s="417">
        <f t="shared" si="237"/>
        <v>246</v>
      </c>
      <c r="B279" s="362" t="str">
        <f>'Event Details'!D$27</f>
        <v>D</v>
      </c>
      <c r="C279" s="381" t="str">
        <f>'Event Details'!E$27</f>
        <v>Stratford</v>
      </c>
      <c r="D279" s="379"/>
      <c r="E279" s="378"/>
      <c r="F279" s="363" t="str">
        <f>VLOOKUP($B273,IF($H273="F",TeamSheetFemale,TeamSheetMale),$Y279-1,FALSE)</f>
        <v>D</v>
      </c>
      <c r="G279" s="380" t="str">
        <f>VLOOKUP($B273,IF($H273="F",TeamSheetFemale,TeamSheetMale),$Y279,FALSE)</f>
        <v>Charlie Cassells</v>
      </c>
      <c r="H279" s="363" t="str">
        <f>VLOOKUP($B273,IF($H273="F",TeamSheetFemale,TeamSheetMale),$Y279+1,FALSE)</f>
        <v>DD</v>
      </c>
      <c r="I279" s="364" t="str">
        <f>VLOOKUP($B273,IF($H273="F",TeamSheetFemale,TeamSheetMale),$Y279+2,FALSE)</f>
        <v>Charlie Castle</v>
      </c>
      <c r="K279" s="341" t="s">
        <v>276</v>
      </c>
      <c r="L279" s="16" t="str">
        <f t="shared" si="230"/>
        <v>F</v>
      </c>
      <c r="M279" s="927" t="s">
        <v>142</v>
      </c>
      <c r="N279" s="927">
        <v>15.56</v>
      </c>
      <c r="O279" s="353" t="str">
        <f>IF(LEN($M279)=1,VLOOKUP(LEFT($M279,1),B274:I281,5,FALSE),IF(LEN($M279)=2,VLOOKUP(LEFT($M279,1),B274:I281,7,FALSE),""))</f>
        <v>F</v>
      </c>
      <c r="P279" s="373" t="str">
        <f>IF(LEN($M279)=1,VLOOKUP(LEFT($M279,1),B274:I281,6,FALSE),IF(LEN($M279)=2,VLOOKUP(LEFT($M279,1),B274:I281,8,FALSE),""))</f>
        <v>Felix Hickman</v>
      </c>
      <c r="Q279" s="341" t="s">
        <v>276</v>
      </c>
      <c r="R279" s="146" t="str">
        <f t="shared" si="231"/>
        <v>Y</v>
      </c>
      <c r="S279" s="927" t="s">
        <v>822</v>
      </c>
      <c r="T279" s="927">
        <v>7.16</v>
      </c>
      <c r="U279" s="353" t="str">
        <f>IF(LEN($S279)=1,VLOOKUP(LEFT($S279,1),B274:I281,5,FALSE),IF(LEN($S279)=2,VLOOKUP(LEFT($S279,1),B274:I281,7,FALSE),""))</f>
        <v>YY</v>
      </c>
      <c r="V279" s="373" t="str">
        <f>IF(LEN($S279)=1,VLOOKUP(LEFT($S279,1),B274:I281,6,FALSE),IF(LEN($S279)=2,VLOOKUP(LEFT($S279,1),B274:I281,8,FALSE),""))</f>
        <v>Sam Gromski</v>
      </c>
      <c r="W279" s="417">
        <f t="shared" si="238"/>
        <v>3</v>
      </c>
      <c r="Y279" s="417">
        <v>32</v>
      </c>
      <c r="Z279" s="16" t="str">
        <f t="shared" si="232"/>
        <v>Tam</v>
      </c>
      <c r="AA279" s="146" t="str">
        <f t="shared" si="233"/>
        <v>Worc</v>
      </c>
      <c r="AB279" s="32"/>
      <c r="AC279" s="16" t="str">
        <f t="shared" si="234"/>
        <v>D</v>
      </c>
      <c r="AD279" s="419" t="str">
        <f t="shared" si="234"/>
        <v>Stratford</v>
      </c>
      <c r="AE279" s="419">
        <f>IF(ISNA(MATCH(AC279,N274:N283,0)),0,VLOOKUP(AC279,N274:S283,5,FALSE))</f>
        <v>0</v>
      </c>
      <c r="AF279" s="419" t="str">
        <f>IF(ISNA(MATCH(AC279,T274:T283,0))," ",VLOOKUP(AC279,T274:Y283,5,FALSE))</f>
        <v xml:space="preserve"> </v>
      </c>
      <c r="AG279" s="419">
        <f>IF(ISNA(MATCH(AC279,L274:L281,0)),0,VLOOKUP(AC279,L274:N281,3,FALSE))</f>
        <v>0</v>
      </c>
      <c r="AH279" s="419">
        <f>IF(ISNA(MATCH(AC279,R274:R281,0)),0,VLOOKUP(AC279,R274:T281,3,FALSE))</f>
        <v>0</v>
      </c>
      <c r="AI279" s="419">
        <f>IF(ISNA(MATCH(AC279,L274:L281,0)),0,VLOOKUP(AC279,L274:P281,4,FALSE))</f>
        <v>0</v>
      </c>
      <c r="AJ279" s="419">
        <f>IF(ISNA(MATCH(AC279,R274:R281,0)),0,VLOOKUP(AC279,R274:U281,4,FALSE))</f>
        <v>0</v>
      </c>
      <c r="AK279" s="32">
        <f t="shared" si="235"/>
        <v>0</v>
      </c>
      <c r="AL279" s="32">
        <f t="shared" si="236"/>
        <v>0</v>
      </c>
      <c r="AM279" s="32">
        <f>IF(ISNA(MATCH(AC279,L274:L281,0)),0,VLOOKUP(AC279,L274:W281,AM$1,FALSE))</f>
        <v>0</v>
      </c>
      <c r="AN279" s="146">
        <f>IF(ISNA(MATCH(AC279,R274:R281,0)),0,VLOOKUP(AC279,R274:W281,AN$1,FALSE))</f>
        <v>0</v>
      </c>
      <c r="AP279" s="927"/>
      <c r="AQ279" s="927"/>
    </row>
    <row r="280" spans="1:47" ht="15.6" x14ac:dyDescent="0.3">
      <c r="A280" s="417">
        <f t="shared" si="237"/>
        <v>247</v>
      </c>
      <c r="B280" s="362" t="str">
        <f>'Event Details'!D$28</f>
        <v>F</v>
      </c>
      <c r="C280" s="381" t="str">
        <f>'Event Details'!E$28</f>
        <v>Tamworth</v>
      </c>
      <c r="D280" s="379"/>
      <c r="E280" s="378"/>
      <c r="F280" s="363" t="str">
        <f>VLOOKUP($B273,IF($H273="F",TeamSheetFemale,TeamSheetMale),$Y280-1,FALSE)</f>
        <v>F</v>
      </c>
      <c r="G280" s="380" t="str">
        <f>VLOOKUP($B273,IF($H273="F",TeamSheetFemale,TeamSheetMale),$Y280,FALSE)</f>
        <v>Felix Hickman</v>
      </c>
      <c r="H280" s="363" t="str">
        <f>VLOOKUP($B273,IF($H273="F",TeamSheetFemale,TeamSheetMale),$Y280+1,FALSE)</f>
        <v>FF</v>
      </c>
      <c r="I280" s="364" t="str">
        <f>VLOOKUP($B273,IF($H273="F",TeamSheetFemale,TeamSheetMale),$Y280+2,FALSE)</f>
        <v>Joseph Sizer</v>
      </c>
      <c r="K280" s="341" t="s">
        <v>277</v>
      </c>
      <c r="L280" s="16" t="str">
        <f t="shared" si="230"/>
        <v>Y</v>
      </c>
      <c r="M280" s="927" t="s">
        <v>151</v>
      </c>
      <c r="N280" s="927">
        <v>11.52</v>
      </c>
      <c r="O280" s="353" t="str">
        <f>IF(LEN($M280)=1,VLOOKUP(LEFT($M280,1),B274:I281,5,FALSE),IF(LEN($M280)=2,VLOOKUP(LEFT($M280,1),B274:I281,7,FALSE),""))</f>
        <v>Y</v>
      </c>
      <c r="P280" s="373" t="str">
        <f>IF(LEN($M280)=1,VLOOKUP(LEFT($M280,1),B274:I281,6,FALSE),IF(LEN($M280)=2,VLOOKUP(LEFT($M280,1),B274:I281,8,FALSE),""))</f>
        <v>Rayan Faci</v>
      </c>
      <c r="Q280" s="341" t="s">
        <v>277</v>
      </c>
      <c r="R280" s="146" t="str">
        <f t="shared" si="231"/>
        <v/>
      </c>
      <c r="S280" s="927"/>
      <c r="T280" s="927"/>
      <c r="U280" s="353" t="str">
        <f>IF(LEN($S280)=1,VLOOKUP(LEFT($S280,1),B274:I281,5,FALSE),IF(LEN($S280)=2,VLOOKUP(LEFT($S280,1),B274:I281,7,FALSE),""))</f>
        <v/>
      </c>
      <c r="V280" s="373" t="str">
        <f>IF(LEN($S280)=1,VLOOKUP(LEFT($S280,1),B274:I281,6,FALSE),IF(LEN($S280)=2,VLOOKUP(LEFT($S280,1),B274:I281,8,FALSE),""))</f>
        <v/>
      </c>
      <c r="W280" s="417">
        <f t="shared" si="238"/>
        <v>2</v>
      </c>
      <c r="Y280" s="417">
        <v>37</v>
      </c>
      <c r="Z280" s="16" t="str">
        <f t="shared" si="232"/>
        <v>Worc</v>
      </c>
      <c r="AA280" s="146">
        <f t="shared" si="233"/>
        <v>0</v>
      </c>
      <c r="AB280" s="32"/>
      <c r="AC280" s="16" t="str">
        <f t="shared" si="234"/>
        <v>F</v>
      </c>
      <c r="AD280" s="419" t="str">
        <f t="shared" si="234"/>
        <v>Tamworth</v>
      </c>
      <c r="AE280" s="419">
        <f>IF(ISNA(MATCH(AC280,N272:N281,0)),0,VLOOKUP(AC280,N272:S281,5,FALSE))</f>
        <v>0</v>
      </c>
      <c r="AF280" s="419" t="str">
        <f>IF(ISNA(MATCH(AC280,T272:T281,0))," ",VLOOKUP(AC280,T272:Y281,5,FALSE))</f>
        <v xml:space="preserve"> </v>
      </c>
      <c r="AG280" s="419">
        <f>IF(ISNA(MATCH(AC280,L274:L281,0)),0,VLOOKUP(AC280,L274:N281,3,FALSE))</f>
        <v>15.56</v>
      </c>
      <c r="AH280" s="419">
        <f>IF(ISNA(MATCH(AC280,R274:R281,0)),0,VLOOKUP(AC280,R274:T281,3,FALSE))</f>
        <v>11.66</v>
      </c>
      <c r="AI280" s="419" t="str">
        <f>IF(ISNA(MATCH(AC280,L274:L281,0)),0,VLOOKUP(AC280,L274:P281,4,FALSE))</f>
        <v>F</v>
      </c>
      <c r="AJ280" s="419" t="str">
        <f>IF(ISNA(MATCH(AC280,R274:R281,0)),0,VLOOKUP(AC280,R274:U281,4,FALSE))</f>
        <v>FF</v>
      </c>
      <c r="AK280" s="32">
        <f t="shared" si="235"/>
        <v>6</v>
      </c>
      <c r="AL280" s="32">
        <f t="shared" si="236"/>
        <v>5</v>
      </c>
      <c r="AM280" s="32">
        <f>IF(ISNA(MATCH(AC280,L274:L281,0)),0,VLOOKUP(AC280,L274:W281,AM$1,FALSE))</f>
        <v>3</v>
      </c>
      <c r="AN280" s="146">
        <f>IF(ISNA(MATCH(AC280,R274:R281,0)),0,VLOOKUP(AC280,R274:W281,AN$1,FALSE))</f>
        <v>4</v>
      </c>
      <c r="AP280" s="927"/>
      <c r="AQ280" s="927"/>
    </row>
    <row r="281" spans="1:47" ht="16.2" thickBot="1" x14ac:dyDescent="0.35">
      <c r="A281" s="418">
        <f t="shared" si="237"/>
        <v>248</v>
      </c>
      <c r="B281" s="365" t="str">
        <f>'Event Details'!D$29</f>
        <v>Y</v>
      </c>
      <c r="C281" s="366" t="str">
        <f>'Event Details'!E$29</f>
        <v>Worcester</v>
      </c>
      <c r="D281" s="361"/>
      <c r="E281" s="370"/>
      <c r="F281" s="367" t="str">
        <f>VLOOKUP($B273,IF($H273="F",TeamSheetFemale,TeamSheetMale),$Y281-1,FALSE)</f>
        <v>Y</v>
      </c>
      <c r="G281" s="368" t="str">
        <f>VLOOKUP($B273,IF($H273="F",TeamSheetFemale,TeamSheetMale),$Y281,FALSE)</f>
        <v>Rayan Faci</v>
      </c>
      <c r="H281" s="367" t="str">
        <f>VLOOKUP($B273,IF($H273="F",TeamSheetFemale,TeamSheetMale),$Y281+1,FALSE)</f>
        <v>YY</v>
      </c>
      <c r="I281" s="369" t="str">
        <f>VLOOKUP($B273,IF($H273="F",TeamSheetFemale,TeamSheetMale),$Y281+2,FALSE)</f>
        <v>Sam Gromski</v>
      </c>
      <c r="K281" s="346" t="s">
        <v>278</v>
      </c>
      <c r="L281" s="25" t="str">
        <f t="shared" si="230"/>
        <v/>
      </c>
      <c r="M281" s="932"/>
      <c r="N281" s="932"/>
      <c r="O281" s="375" t="str">
        <f>IF(LEN($M281)=1,VLOOKUP(LEFT($M281,1),B274:I281,5,FALSE),IF(LEN($M281)=2,VLOOKUP(LEFT($M281,1),B274:I281,7,FALSE),""))</f>
        <v/>
      </c>
      <c r="P281" s="376" t="str">
        <f>IF(LEN($M281)=1,VLOOKUP(LEFT($M281,1),B274:I281,6,FALSE),IF(LEN($M281)=2,VLOOKUP(LEFT($M281,1),B274:I281,8,FALSE),""))</f>
        <v/>
      </c>
      <c r="Q281" s="346" t="s">
        <v>278</v>
      </c>
      <c r="R281" s="523" t="str">
        <f t="shared" si="231"/>
        <v/>
      </c>
      <c r="S281" s="932"/>
      <c r="T281" s="932"/>
      <c r="U281" s="375" t="str">
        <f>IF(LEN($S281)=1,VLOOKUP(LEFT($S281,1),B274:I281,5,FALSE),IF(LEN($S281)=2,VLOOKUP(LEFT($S281,1),B274:I281,7,FALSE),""))</f>
        <v/>
      </c>
      <c r="V281" s="376" t="str">
        <f>IF(LEN($S281)=1,VLOOKUP(LEFT($S281,1),B274:I281,6,FALSE),IF(LEN($S281)=2,VLOOKUP(LEFT($S281,1),B274:I281,8,FALSE),""))</f>
        <v/>
      </c>
      <c r="W281" s="418">
        <f t="shared" si="238"/>
        <v>1</v>
      </c>
      <c r="Y281" s="418">
        <v>42</v>
      </c>
      <c r="Z281" s="25">
        <f t="shared" si="232"/>
        <v>0</v>
      </c>
      <c r="AA281" s="523">
        <f t="shared" si="233"/>
        <v>0</v>
      </c>
      <c r="AB281" s="32"/>
      <c r="AC281" s="25" t="str">
        <f t="shared" si="234"/>
        <v>Y</v>
      </c>
      <c r="AD281" s="624" t="str">
        <f t="shared" si="234"/>
        <v>Worcester</v>
      </c>
      <c r="AE281" s="624">
        <f>IF(ISNA(MATCH(AC281,N273:N282,0)),0,VLOOKUP(AC281,N273:S282,5,FALSE))</f>
        <v>0</v>
      </c>
      <c r="AF281" s="624" t="str">
        <f t="shared" ref="AF281" si="239">IF(ISNA(MATCH(AC281,T273:T282,0))," ",VLOOKUP(AC281,T273:Y282,5,FALSE))</f>
        <v xml:space="preserve"> </v>
      </c>
      <c r="AG281" s="624">
        <f>IF(ISNA(MATCH(AC281,L274:L281,0)),0,VLOOKUP(AC281,L274:N281,3,FALSE))</f>
        <v>11.52</v>
      </c>
      <c r="AH281" s="624">
        <f>IF(ISNA(MATCH(AC281,R274:R281,0)),0,VLOOKUP(AC281,R274:T281,3,FALSE))</f>
        <v>7.16</v>
      </c>
      <c r="AI281" s="624" t="str">
        <f>IF(ISNA(MATCH(AC281,L274:L281,0)),0,VLOOKUP(AC281,L274:P281,4,FALSE))</f>
        <v>Y</v>
      </c>
      <c r="AJ281" s="624" t="str">
        <f>IF(ISNA(MATCH(AC281,R274:R281,0)),0,VLOOKUP(AC281,R274:U281,4,FALSE))</f>
        <v>YY</v>
      </c>
      <c r="AK281" s="116">
        <f t="shared" si="235"/>
        <v>7</v>
      </c>
      <c r="AL281" s="116">
        <f t="shared" si="236"/>
        <v>6</v>
      </c>
      <c r="AM281" s="116">
        <f>IF(ISNA(MATCH(AC281,L274:L281,0)),0,VLOOKUP(AC281,L274:W281,AM$1,FALSE))</f>
        <v>2</v>
      </c>
      <c r="AN281" s="523">
        <f>IF(ISNA(MATCH(AC281,R274:R281,0)),0,VLOOKUP(AC281,R274:W281,AN$1,FALSE))</f>
        <v>3</v>
      </c>
      <c r="AP281" s="932"/>
      <c r="AQ281" s="932"/>
    </row>
    <row r="282" spans="1:47" ht="15" thickBot="1" x14ac:dyDescent="0.35">
      <c r="K282" s="1207" t="s">
        <v>280</v>
      </c>
      <c r="L282" s="1011"/>
      <c r="M282" s="276"/>
      <c r="N282" s="307"/>
      <c r="R282" s="1011"/>
      <c r="S282" s="276"/>
      <c r="T282" s="307"/>
      <c r="AP282" s="276"/>
      <c r="AQ282" s="307"/>
    </row>
    <row r="283" spans="1:47" x14ac:dyDescent="0.3">
      <c r="B283" s="400" t="s">
        <v>258</v>
      </c>
      <c r="C283" s="398"/>
      <c r="D283" s="401" t="s">
        <v>165</v>
      </c>
      <c r="E283" s="398"/>
      <c r="F283" s="398"/>
      <c r="G283" s="402" t="s">
        <v>259</v>
      </c>
      <c r="H283" s="403" t="s">
        <v>249</v>
      </c>
      <c r="I283" s="404" t="s">
        <v>168</v>
      </c>
      <c r="K283" s="360"/>
      <c r="L283" s="661"/>
      <c r="M283" s="387" t="s">
        <v>260</v>
      </c>
      <c r="N283" s="387" t="s">
        <v>261</v>
      </c>
      <c r="O283" s="387" t="s">
        <v>262</v>
      </c>
      <c r="P283" s="388" t="s">
        <v>75</v>
      </c>
      <c r="Q283" s="412"/>
      <c r="R283" s="657"/>
      <c r="S283" s="387" t="s">
        <v>260</v>
      </c>
      <c r="T283" s="387" t="s">
        <v>261</v>
      </c>
      <c r="U283" s="387" t="s">
        <v>262</v>
      </c>
      <c r="V283" s="388" t="s">
        <v>75</v>
      </c>
      <c r="W283" s="672" t="s">
        <v>76</v>
      </c>
      <c r="Y283" s="654" t="s">
        <v>263</v>
      </c>
      <c r="Z283" s="656" t="s">
        <v>74</v>
      </c>
      <c r="AA283" s="657" t="s">
        <v>75</v>
      </c>
      <c r="AC283" s="665" t="s">
        <v>71</v>
      </c>
      <c r="AD283" s="657" t="s">
        <v>86</v>
      </c>
      <c r="AE283" s="661" t="s">
        <v>149</v>
      </c>
      <c r="AF283" s="661" t="s">
        <v>94</v>
      </c>
      <c r="AG283" s="661" t="s">
        <v>149</v>
      </c>
      <c r="AH283" s="661" t="s">
        <v>94</v>
      </c>
      <c r="AI283" s="661" t="s">
        <v>149</v>
      </c>
      <c r="AJ283" s="661" t="s">
        <v>94</v>
      </c>
      <c r="AK283" s="1332" t="s">
        <v>149</v>
      </c>
      <c r="AL283" s="661" t="s">
        <v>94</v>
      </c>
      <c r="AM283" s="1406" t="s">
        <v>76</v>
      </c>
      <c r="AN283" s="1407"/>
      <c r="AP283" s="387" t="s">
        <v>260</v>
      </c>
      <c r="AQ283" s="387" t="s">
        <v>261</v>
      </c>
      <c r="AS283" s="1218" t="s">
        <v>165</v>
      </c>
      <c r="AT283" s="1219" t="s">
        <v>79</v>
      </c>
      <c r="AU283" s="1220" t="s">
        <v>80</v>
      </c>
    </row>
    <row r="284" spans="1:47" ht="15" thickBot="1" x14ac:dyDescent="0.35">
      <c r="B284" s="405">
        <v>25</v>
      </c>
      <c r="C284" s="399"/>
      <c r="D284" s="385" t="str">
        <f>VLOOKUP($B284,EventOrder,6,FALSE)</f>
        <v xml:space="preserve">800m </v>
      </c>
      <c r="E284" s="399"/>
      <c r="F284" s="385"/>
      <c r="G284" s="386" t="str">
        <f>VLOOKUP($B284,EventOrder,4,FALSE)</f>
        <v>U14 Female</v>
      </c>
      <c r="H284" s="396" t="str">
        <f>IF(MID(G284,5,1)="F","F","M")</f>
        <v>F</v>
      </c>
      <c r="I284" s="397">
        <f>VLOOKUP($B284,EventOrder,2,FALSE)</f>
        <v>12.4</v>
      </c>
      <c r="K284" s="372"/>
      <c r="L284" s="667" t="s">
        <v>149</v>
      </c>
      <c r="M284" s="409" t="s">
        <v>264</v>
      </c>
      <c r="N284" s="409" t="s">
        <v>265</v>
      </c>
      <c r="O284" s="409" t="s">
        <v>266</v>
      </c>
      <c r="P284" s="408"/>
      <c r="Q284" s="413"/>
      <c r="R284" s="659" t="s">
        <v>94</v>
      </c>
      <c r="S284" s="409" t="s">
        <v>264</v>
      </c>
      <c r="T284" s="409" t="s">
        <v>265</v>
      </c>
      <c r="U284" s="409" t="s">
        <v>266</v>
      </c>
      <c r="V284" s="408"/>
      <c r="W284" s="671"/>
      <c r="Y284" s="655" t="s">
        <v>167</v>
      </c>
      <c r="Z284" s="658" t="s">
        <v>149</v>
      </c>
      <c r="AA284" s="659" t="s">
        <v>94</v>
      </c>
      <c r="AC284" s="666"/>
      <c r="AD284" s="668"/>
      <c r="AE284" s="768" t="s">
        <v>75</v>
      </c>
      <c r="AF284" s="768" t="s">
        <v>75</v>
      </c>
      <c r="AG284" s="768" t="s">
        <v>267</v>
      </c>
      <c r="AH284" s="768" t="s">
        <v>267</v>
      </c>
      <c r="AI284" s="768" t="s">
        <v>268</v>
      </c>
      <c r="AJ284" s="768" t="s">
        <v>268</v>
      </c>
      <c r="AK284" s="770" t="s">
        <v>269</v>
      </c>
      <c r="AL284" s="768" t="s">
        <v>269</v>
      </c>
      <c r="AM284" s="667" t="s">
        <v>149</v>
      </c>
      <c r="AN284" s="659" t="s">
        <v>94</v>
      </c>
      <c r="AP284" s="409" t="s">
        <v>264</v>
      </c>
      <c r="AQ284" s="409" t="s">
        <v>265</v>
      </c>
      <c r="AS284" s="1221" t="s">
        <v>270</v>
      </c>
      <c r="AT284" s="1222" t="s">
        <v>270</v>
      </c>
      <c r="AU284" s="1223" t="s">
        <v>270</v>
      </c>
    </row>
    <row r="285" spans="1:47" ht="15.6" x14ac:dyDescent="0.3">
      <c r="A285" s="416">
        <f>(B284*10)+1</f>
        <v>251</v>
      </c>
      <c r="B285" s="362" t="str">
        <f>'Event Details'!D$22</f>
        <v>S</v>
      </c>
      <c r="C285" s="381" t="str">
        <f>'Event Details'!E$22</f>
        <v>BRAT</v>
      </c>
      <c r="D285" s="379"/>
      <c r="E285" s="378"/>
      <c r="F285" s="363" t="str">
        <f>VLOOKUP($B284,IF($H284="F",TeamSheetFemale,TeamSheetMale),$Y285-1,FALSE)</f>
        <v>S</v>
      </c>
      <c r="G285" s="380" t="str">
        <f>VLOOKUP($B284,IF($H284="F",TeamSheetFemale,TeamSheetMale),$Y285,FALSE)</f>
        <v xml:space="preserve">
Eliana Dawit</v>
      </c>
      <c r="H285" s="363" t="str">
        <f>VLOOKUP($B284,IF($H284="F",TeamSheetFemale,TeamSheetMale),$Y285+1,FALSE)</f>
        <v>SS</v>
      </c>
      <c r="I285" s="364" t="str">
        <f>VLOOKUP($B284,IF($H284="F",TeamSheetFemale,TeamSheetMale),$Y285+2,FALSE)</f>
        <v>Joanna O'Connor Delgado</v>
      </c>
      <c r="K285" s="393" t="s">
        <v>271</v>
      </c>
      <c r="L285" s="16" t="str">
        <f t="shared" ref="L285:L292" si="240">LEFT(M285,1)</f>
        <v>R</v>
      </c>
      <c r="M285" s="926" t="s">
        <v>118</v>
      </c>
      <c r="N285" s="926" t="s">
        <v>1017</v>
      </c>
      <c r="O285" s="394" t="str">
        <f>IF(LEN($M285)=1,VLOOKUP(LEFT($M285,1),B285:I292,5,FALSE),IF(LEN($M285)=2,VLOOKUP(LEFT($M285,1),B285:I292,7,FALSE),""))</f>
        <v>R</v>
      </c>
      <c r="P285" s="395" t="str">
        <f>IF(LEN($M285)=1,VLOOKUP(LEFT($M285,1),B285:I292,6,FALSE),IF(LEN($M285)=2,VLOOKUP(LEFT($M285,1),B285:I292,8,FALSE),""))</f>
        <v>Violet French</v>
      </c>
      <c r="Q285" s="406" t="s">
        <v>271</v>
      </c>
      <c r="R285" s="146" t="str">
        <f t="shared" ref="R285:R292" si="241">LEFT(S285,1)</f>
        <v>M</v>
      </c>
      <c r="S285" s="926" t="s">
        <v>821</v>
      </c>
      <c r="T285" s="926" t="s">
        <v>1024</v>
      </c>
      <c r="U285" s="394" t="str">
        <f>IF(LEN($S285)=1,VLOOKUP(LEFT($S285,1),B285:I292,5,FALSE),IF(LEN($S285)=2,VLOOKUP(LEFT($S285,1),B285:I292,7,FALSE),""))</f>
        <v>MM</v>
      </c>
      <c r="V285" s="395" t="str">
        <f>IF(LEN($S285)=1,VLOOKUP(LEFT($S285,1),B285:I292,6,FALSE),IF(LEN($S285)=2,VLOOKUP(LEFT($S285,1),B285:I292,8,FALSE),""))</f>
        <v>Emily Ross</v>
      </c>
      <c r="W285" s="417">
        <f>AN$6</f>
        <v>8</v>
      </c>
      <c r="Y285" s="653">
        <v>7</v>
      </c>
      <c r="Z285" s="653" t="str">
        <f t="shared" ref="Z285:Z292" si="242">IF(LEN(M285)&gt;0,VLOOKUP(LEFT(M285,1),ShortName,5,FALSE),0)</f>
        <v>Rugby</v>
      </c>
      <c r="AA285" s="138" t="str">
        <f t="shared" ref="AA285:AA292" si="243">IF(LEN(S285)&gt;0,VLOOKUP(LEFT(S285,1),ShortName,5,FALSE),0)</f>
        <v>Sol</v>
      </c>
      <c r="AC285" s="16" t="str">
        <f t="shared" ref="AC285:AD292" si="244">B285</f>
        <v>S</v>
      </c>
      <c r="AD285" s="419" t="str">
        <f t="shared" si="244"/>
        <v>BRAT</v>
      </c>
      <c r="AE285" s="635">
        <f>IF(ISNA(MATCH(AC285,N285:N294,0)),0,VLOOKUP(AC285,N285:S294,5,FALSE))</f>
        <v>0</v>
      </c>
      <c r="AF285" s="635" t="str">
        <f>IF(ISNA(MATCH(AC285,T285:T294,0))," ",VLOOKUP(AC285,T285:Y294,5,FALSE))</f>
        <v xml:space="preserve"> </v>
      </c>
      <c r="AG285" s="635" t="str">
        <f>IF(ISNA(MATCH(AC285,L285:L292,0)),0,VLOOKUP(AC285,L285:N292,3,FALSE))</f>
        <v>2.33.4</v>
      </c>
      <c r="AH285" s="635" t="str">
        <f>IF(ISNA(MATCH(AC285,R285:R292,0)),0,VLOOKUP(AC285,R285:T292,3,FALSE))</f>
        <v>3.02.3</v>
      </c>
      <c r="AI285" s="635" t="str">
        <f>IF(ISNA(MATCH(AC285,L285:L292,0)),0,VLOOKUP(AC285,L285:P292,4,FALSE))</f>
        <v>S</v>
      </c>
      <c r="AJ285" s="635" t="str">
        <f>IF(ISNA(MATCH(AC285,R285:R292,0)),0,VLOOKUP(AC285,R285:U292,4,FALSE))</f>
        <v>SS</v>
      </c>
      <c r="AK285" s="49">
        <f t="shared" ref="AK285:AK292" si="245">IF(AM285=0,0,AN$6-(AM285-1))</f>
        <v>5</v>
      </c>
      <c r="AL285" s="49">
        <f t="shared" ref="AL285:AL292" si="246">IF(AN285=0,0,AN$6-(AN285-1))</f>
        <v>7</v>
      </c>
      <c r="AM285" s="49">
        <f>IF(ISNA(MATCH(AC285,L285:L292,0)),0,VLOOKUP(AC285,L285:W292,AM$1,FALSE))</f>
        <v>4</v>
      </c>
      <c r="AN285" s="138">
        <f>IF(ISNA(MATCH(AC285,R285:R292,0)),0,VLOOKUP(AC285,R285:W292,AN$1,FALSE))</f>
        <v>2</v>
      </c>
      <c r="AP285" s="926"/>
      <c r="AQ285" s="926"/>
      <c r="AS285" s="32">
        <f>IF(LEN(N285)&gt;0,1,0)</f>
        <v>1</v>
      </c>
      <c r="AT285" s="32">
        <f>IF(AND(AS285=1,H284="M"),1,0)</f>
        <v>0</v>
      </c>
      <c r="AU285" s="32">
        <f>IF(AND(AS285=1,H284="F"),1,0)</f>
        <v>1</v>
      </c>
    </row>
    <row r="286" spans="1:47" ht="15.6" x14ac:dyDescent="0.3">
      <c r="A286" s="417">
        <f>A285+1</f>
        <v>252</v>
      </c>
      <c r="B286" s="362" t="str">
        <f>'Event Details'!D$23</f>
        <v>U</v>
      </c>
      <c r="C286" s="381" t="str">
        <f>'Event Details'!E$23</f>
        <v>Kidder &amp; Stourport</v>
      </c>
      <c r="D286" s="379"/>
      <c r="E286" s="378"/>
      <c r="F286" s="363" t="str">
        <f>VLOOKUP($B284,IF($H284="F",TeamSheetFemale,TeamSheetMale),$Y286-1,FALSE)</f>
        <v>U</v>
      </c>
      <c r="G286" s="380" t="str">
        <f>VLOOKUP($B284,IF($H284="F",TeamSheetFemale,TeamSheetMale),$Y286,FALSE)</f>
        <v>Amelie Davis-Beard</v>
      </c>
      <c r="H286" s="363" t="str">
        <f>VLOOKUP($B284,IF($H284="F",TeamSheetFemale,TeamSheetMale),$Y286+1,FALSE)</f>
        <v>UU</v>
      </c>
      <c r="I286" s="364" t="str">
        <f>VLOOKUP($B284,IF($H284="F",TeamSheetFemale,TeamSheetMale),$Y286+2,FALSE)</f>
        <v>Imogen McCann</v>
      </c>
      <c r="K286" s="341" t="s">
        <v>272</v>
      </c>
      <c r="L286" s="16" t="str">
        <f t="shared" si="240"/>
        <v>M</v>
      </c>
      <c r="M286" s="927" t="s">
        <v>127</v>
      </c>
      <c r="N286" s="927" t="s">
        <v>1018</v>
      </c>
      <c r="O286" s="354" t="str">
        <f>IF(LEN($M286)=1,VLOOKUP(LEFT($M286,1),B285:I292,5,FALSE),IF(LEN($M286)=2,VLOOKUP(LEFT($M286,1),B285:I292,7,FALSE),""))</f>
        <v>M</v>
      </c>
      <c r="P286" s="410" t="str">
        <f>IF(LEN($M286)=1,VLOOKUP(LEFT($M286,1),B285:I292,6,FALSE),IF(LEN($M286)=2,VLOOKUP(LEFT($M286,1),B285:I292,8,FALSE),""))</f>
        <v>Sophia Wood</v>
      </c>
      <c r="Q286" s="371" t="s">
        <v>272</v>
      </c>
      <c r="R286" s="146" t="str">
        <f t="shared" si="241"/>
        <v>D</v>
      </c>
      <c r="S286" s="927" t="s">
        <v>513</v>
      </c>
      <c r="T286" s="927" t="s">
        <v>1025</v>
      </c>
      <c r="U286" s="354" t="str">
        <f>IF(LEN($S286)=1,VLOOKUP(LEFT($S286,1),B285:I292,5,FALSE),IF(LEN($S286)=2,VLOOKUP(LEFT($S286,1),B285:I292,7,FALSE),""))</f>
        <v>DD</v>
      </c>
      <c r="V286" s="410" t="str">
        <f>IF(LEN($S286)=1,VLOOKUP(LEFT($S286,1),B285:I292,6,FALSE),IF(LEN($S286)=2,VLOOKUP(LEFT($S286,1),B285:I292,8,FALSE),""))</f>
        <v>Millie Lowden</v>
      </c>
      <c r="W286" s="417">
        <f>W285-1</f>
        <v>7</v>
      </c>
      <c r="Y286" s="16">
        <v>12</v>
      </c>
      <c r="Z286" s="16" t="str">
        <f t="shared" si="242"/>
        <v>Sol</v>
      </c>
      <c r="AA286" s="146" t="str">
        <f t="shared" si="243"/>
        <v>Strat</v>
      </c>
      <c r="AC286" s="16" t="str">
        <f t="shared" si="244"/>
        <v>U</v>
      </c>
      <c r="AD286" s="419" t="str">
        <f t="shared" si="244"/>
        <v>Kidder &amp; Stourport</v>
      </c>
      <c r="AE286" s="419">
        <f>IF(ISNA(MATCH(AC286,N285:N294,0)),0,VLOOKUP(AC286,N285:S294,5,FALSE))</f>
        <v>0</v>
      </c>
      <c r="AF286" s="419" t="str">
        <f>IF(ISNA(MATCH(AC286,T285:T294,0))," ",VLOOKUP(AC286,T285:Y294,5,FALSE))</f>
        <v xml:space="preserve"> </v>
      </c>
      <c r="AG286" s="419" t="str">
        <f>IF(ISNA(MATCH(AC286,L285:L292,0)),0,VLOOKUP(AC286,L285:N292,3,FALSE))</f>
        <v>2.29.9</v>
      </c>
      <c r="AH286" s="419" t="str">
        <f>IF(ISNA(MATCH(AC286,R285:R292,0)),0,VLOOKUP(AC286,R285:T292,3,FALSE))</f>
        <v>2.49.7</v>
      </c>
      <c r="AI286" s="419" t="str">
        <f>IF(ISNA(MATCH(AC286,L285:L292,0)),0,VLOOKUP(AC286,L285:P292,4,FALSE))</f>
        <v>U</v>
      </c>
      <c r="AJ286" s="419" t="str">
        <f>IF(ISNA(MATCH(AC286,R285:R292,0)),0,VLOOKUP(AC286,R285:U292,4,FALSE))</f>
        <v>UU</v>
      </c>
      <c r="AK286" s="32">
        <f t="shared" si="245"/>
        <v>3</v>
      </c>
      <c r="AL286" s="32">
        <f t="shared" si="246"/>
        <v>5</v>
      </c>
      <c r="AM286" s="32">
        <f>IF(ISNA(MATCH(AC286,L285:L292,0)),0,VLOOKUP(AC286,L285:W292,AM$1,FALSE))</f>
        <v>6</v>
      </c>
      <c r="AN286" s="146">
        <f>IF(ISNA(MATCH(AC286,R285:R292,0)),0,VLOOKUP(AC286,R285:W292,AN$1,FALSE))</f>
        <v>4</v>
      </c>
      <c r="AP286" s="927"/>
      <c r="AQ286" s="927"/>
    </row>
    <row r="287" spans="1:47" ht="15.6" x14ac:dyDescent="0.3">
      <c r="A287" s="417">
        <f t="shared" ref="A287:A292" si="247">A286+1</f>
        <v>253</v>
      </c>
      <c r="B287" s="362" t="str">
        <f>'Event Details'!D$24</f>
        <v>G</v>
      </c>
      <c r="C287" s="381" t="str">
        <f>'Event Details'!E$24</f>
        <v>Royal Sutton</v>
      </c>
      <c r="D287" s="379"/>
      <c r="E287" s="378"/>
      <c r="F287" s="363" t="str">
        <f>VLOOKUP($B284,IF($H284="F",TeamSheetFemale,TeamSheetMale),$Y287-1,FALSE)</f>
        <v>G</v>
      </c>
      <c r="G287" s="380" t="str">
        <f>VLOOKUP($B284,IF($H284="F",TeamSheetFemale,TeamSheetMale),$Y287,FALSE)</f>
        <v>Scarlett Edgar</v>
      </c>
      <c r="H287" s="363" t="str">
        <f>VLOOKUP($B284,IF($H284="F",TeamSheetFemale,TeamSheetMale),$Y287+1,FALSE)</f>
        <v>GG</v>
      </c>
      <c r="I287" s="364" t="str">
        <f>VLOOKUP($B284,IF($H284="F",TeamSheetFemale,TeamSheetMale),$Y287+2,FALSE)</f>
        <v>Caitlin Hobday</v>
      </c>
      <c r="K287" s="341" t="s">
        <v>273</v>
      </c>
      <c r="L287" s="16" t="str">
        <f t="shared" si="240"/>
        <v>U</v>
      </c>
      <c r="M287" s="927" t="s">
        <v>130</v>
      </c>
      <c r="N287" s="927" t="s">
        <v>1019</v>
      </c>
      <c r="O287" s="354" t="str">
        <f>IF(LEN($M287)=1,VLOOKUP(LEFT($M287,1),B285:I292,5,FALSE),IF(LEN($M287)=2,VLOOKUP(LEFT($M287,1),B285:I292,7,FALSE),""))</f>
        <v>U</v>
      </c>
      <c r="P287" s="410" t="str">
        <f>IF(LEN($M287)=1,VLOOKUP(LEFT($M287,1),B285:I292,6,FALSE),IF(LEN($M287)=2,VLOOKUP(LEFT($M287,1),B285:I292,8,FALSE),""))</f>
        <v>Amelie Davis-Beard</v>
      </c>
      <c r="Q287" s="371" t="s">
        <v>273</v>
      </c>
      <c r="R287" s="146" t="str">
        <f t="shared" si="241"/>
        <v>F</v>
      </c>
      <c r="S287" s="927" t="s">
        <v>576</v>
      </c>
      <c r="T287" s="927" t="s">
        <v>1026</v>
      </c>
      <c r="U287" s="354" t="str">
        <f>IF(LEN($S287)=1,VLOOKUP(LEFT($S287,1),B285:I292,5,FALSE),IF(LEN($S287)=2,VLOOKUP(LEFT($S287,1),B285:I292,7,FALSE),""))</f>
        <v>FF</v>
      </c>
      <c r="V287" s="410" t="str">
        <f>IF(LEN($S287)=1,VLOOKUP(LEFT($S287,1),B285:I292,6,FALSE),IF(LEN($S287)=2,VLOOKUP(LEFT($S287,1),B285:I292,8,FALSE),""))</f>
        <v>Jessica Husselbee</v>
      </c>
      <c r="W287" s="417">
        <f t="shared" ref="W287:W292" si="248">W286-1</f>
        <v>6</v>
      </c>
      <c r="Y287" s="16">
        <v>17</v>
      </c>
      <c r="Z287" s="16" t="str">
        <f t="shared" si="242"/>
        <v>K&amp;S</v>
      </c>
      <c r="AA287" s="146" t="str">
        <f t="shared" si="243"/>
        <v>Tam</v>
      </c>
      <c r="AC287" s="16" t="str">
        <f t="shared" si="244"/>
        <v>G</v>
      </c>
      <c r="AD287" s="419" t="str">
        <f t="shared" si="244"/>
        <v>Royal Sutton</v>
      </c>
      <c r="AE287" s="419">
        <f>IF(ISNA(MATCH(AC287,N285:N294,0)),0,VLOOKUP(AC287,N285:S294,5,FALSE))</f>
        <v>0</v>
      </c>
      <c r="AF287" s="419" t="str">
        <f>IF(ISNA(MATCH(AC287,T285:T294,0))," ",VLOOKUP(AC287,T285:Y294,5,FALSE))</f>
        <v xml:space="preserve"> </v>
      </c>
      <c r="AG287" s="419" t="str">
        <f>IF(ISNA(MATCH(AC287,L285:L292,0)),0,VLOOKUP(AC287,L285:N292,3,FALSE))</f>
        <v>2.40.5</v>
      </c>
      <c r="AH287" s="419" t="str">
        <f>IF(ISNA(MATCH(AC287,R285:R292,0)),0,VLOOKUP(AC287,R285:T292,3,FALSE))</f>
        <v>2.47.6</v>
      </c>
      <c r="AI287" s="419" t="str">
        <f>IF(ISNA(MATCH(AC287,L285:L292,0)),0,VLOOKUP(AC287,L285:P292,4,FALSE))</f>
        <v>G</v>
      </c>
      <c r="AJ287" s="419" t="str">
        <f>IF(ISNA(MATCH(AC287,R285:R292,0)),0,VLOOKUP(AC287,R285:U292,4,FALSE))</f>
        <v>GG</v>
      </c>
      <c r="AK287" s="32">
        <f t="shared" si="245"/>
        <v>7</v>
      </c>
      <c r="AL287" s="32">
        <f t="shared" si="246"/>
        <v>4</v>
      </c>
      <c r="AM287" s="32">
        <f>IF(ISNA(MATCH(AC287,L285:L292,0)),0,VLOOKUP(AC287,L285:W292,AM$1,FALSE))</f>
        <v>2</v>
      </c>
      <c r="AN287" s="146">
        <f>IF(ISNA(MATCH(AC287,R285:R292,0)),0,VLOOKUP(AC287,R285:W292,AN$1,FALSE))</f>
        <v>5</v>
      </c>
      <c r="AP287" s="927"/>
      <c r="AQ287" s="927"/>
    </row>
    <row r="288" spans="1:47" ht="15.6" x14ac:dyDescent="0.3">
      <c r="A288" s="417">
        <f t="shared" si="247"/>
        <v>254</v>
      </c>
      <c r="B288" s="362" t="str">
        <f>'Event Details'!D$25</f>
        <v>R</v>
      </c>
      <c r="C288" s="381" t="str">
        <f>'Event Details'!E$25</f>
        <v>Rugby &amp; N'hampton</v>
      </c>
      <c r="D288" s="379"/>
      <c r="E288" s="378"/>
      <c r="F288" s="363" t="str">
        <f>VLOOKUP($B284,IF($H284="F",TeamSheetFemale,TeamSheetMale),$Y288-1,FALSE)</f>
        <v>R</v>
      </c>
      <c r="G288" s="380" t="str">
        <f>VLOOKUP($B284,IF($H284="F",TeamSheetFemale,TeamSheetMale),$Y288,FALSE)</f>
        <v>Violet French</v>
      </c>
      <c r="H288" s="363" t="str">
        <f>VLOOKUP($B284,IF($H284="F",TeamSheetFemale,TeamSheetMale),$Y288+1,FALSE)</f>
        <v>RR</v>
      </c>
      <c r="I288" s="364" t="str">
        <f>VLOOKUP($B284,IF($H284="F",TeamSheetFemale,TeamSheetMale),$Y288+2,FALSE)</f>
        <v>Caitlin Bosworth</v>
      </c>
      <c r="K288" s="341" t="s">
        <v>274</v>
      </c>
      <c r="L288" s="16" t="str">
        <f t="shared" si="240"/>
        <v>F</v>
      </c>
      <c r="M288" s="927" t="s">
        <v>142</v>
      </c>
      <c r="N288" s="927" t="s">
        <v>1020</v>
      </c>
      <c r="O288" s="354" t="str">
        <f>IF(LEN($M288)=1,VLOOKUP(LEFT($M288,1),B285:I292,5,FALSE),IF(LEN($M288)=2,VLOOKUP(LEFT($M288,1),B285:I292,7,FALSE),""))</f>
        <v>F</v>
      </c>
      <c r="P288" s="410" t="str">
        <f>IF(LEN($M288)=1,VLOOKUP(LEFT($M288,1),B285:I292,6,FALSE),IF(LEN($M288)=2,VLOOKUP(LEFT($M288,1),B285:I292,8,FALSE),""))</f>
        <v>Charlotte Brian</v>
      </c>
      <c r="Q288" s="371" t="s">
        <v>274</v>
      </c>
      <c r="R288" s="146" t="str">
        <f t="shared" si="241"/>
        <v>G</v>
      </c>
      <c r="S288" s="927" t="s">
        <v>820</v>
      </c>
      <c r="T288" s="927" t="s">
        <v>1027</v>
      </c>
      <c r="U288" s="354" t="str">
        <f>IF(LEN($S288)=1,VLOOKUP(LEFT($S288,1),B285:I292,5,FALSE),IF(LEN($S288)=2,VLOOKUP(LEFT($S288,1),B285:I292,7,FALSE),""))</f>
        <v>GG</v>
      </c>
      <c r="V288" s="410" t="str">
        <f>IF(LEN($S288)=1,VLOOKUP(LEFT($S288,1),B285:I292,6,FALSE),IF(LEN($S288)=2,VLOOKUP(LEFT($S288,1),B285:I292,8,FALSE),""))</f>
        <v>Caitlin Hobday</v>
      </c>
      <c r="W288" s="417">
        <f t="shared" si="248"/>
        <v>5</v>
      </c>
      <c r="Y288" s="16">
        <v>22</v>
      </c>
      <c r="Z288" s="16" t="str">
        <f t="shared" si="242"/>
        <v>Tam</v>
      </c>
      <c r="AA288" s="146" t="str">
        <f t="shared" si="243"/>
        <v>Royal</v>
      </c>
      <c r="AC288" s="16" t="str">
        <f t="shared" si="244"/>
        <v>R</v>
      </c>
      <c r="AD288" s="419" t="str">
        <f t="shared" si="244"/>
        <v>Rugby &amp; N'hampton</v>
      </c>
      <c r="AE288" s="419">
        <f>IF(ISNA(MATCH(AC288,N285:N294,0)),0,VLOOKUP(AC288,N285:S294,5,FALSE))</f>
        <v>0</v>
      </c>
      <c r="AF288" s="419" t="str">
        <f>IF(ISNA(MATCH(AC288,T285:T294,0))," ",VLOOKUP(AC288,T285:Y294,5,FALSE))</f>
        <v xml:space="preserve"> </v>
      </c>
      <c r="AG288" s="419" t="str">
        <f>IF(ISNA(MATCH(AC288,L285:L292,0)),0,VLOOKUP(AC288,L285:N292,3,FALSE))</f>
        <v>2.27.8</v>
      </c>
      <c r="AH288" s="419" t="str">
        <f>IF(ISNA(MATCH(AC288,R285:R292,0)),0,VLOOKUP(AC288,R285:T292,3,FALSE))</f>
        <v>3.00.8</v>
      </c>
      <c r="AI288" s="419" t="str">
        <f>IF(ISNA(MATCH(AC288,L285:L292,0)),0,VLOOKUP(AC288,L285:P292,4,FALSE))</f>
        <v>R</v>
      </c>
      <c r="AJ288" s="419" t="str">
        <f>IF(ISNA(MATCH(AC288,R285:R292,0)),0,VLOOKUP(AC288,R285:U292,4,FALSE))</f>
        <v>RR</v>
      </c>
      <c r="AK288" s="32">
        <f t="shared" si="245"/>
        <v>1</v>
      </c>
      <c r="AL288" s="32">
        <f t="shared" si="246"/>
        <v>6</v>
      </c>
      <c r="AM288" s="32">
        <f>IF(ISNA(MATCH(AC288,L285:L292,0)),0,VLOOKUP(AC288,L285:W292,AM$1,FALSE))</f>
        <v>8</v>
      </c>
      <c r="AN288" s="146">
        <f>IF(ISNA(MATCH(AC288,R285:R292,0)),0,VLOOKUP(AC288,R285:W292,AN$1,FALSE))</f>
        <v>3</v>
      </c>
      <c r="AP288" s="927"/>
      <c r="AQ288" s="927"/>
    </row>
    <row r="289" spans="1:47" ht="15.6" x14ac:dyDescent="0.3">
      <c r="A289" s="417">
        <f t="shared" si="247"/>
        <v>255</v>
      </c>
      <c r="B289" s="362" t="str">
        <f>'Event Details'!D$26</f>
        <v>M</v>
      </c>
      <c r="C289" s="381" t="str">
        <f>'Event Details'!E$26</f>
        <v>Solihull &amp; S.Heath</v>
      </c>
      <c r="D289" s="379"/>
      <c r="E289" s="378"/>
      <c r="F289" s="363" t="str">
        <f>VLOOKUP($B284,IF($H284="F",TeamSheetFemale,TeamSheetMale),$Y289-1,FALSE)</f>
        <v>M</v>
      </c>
      <c r="G289" s="380" t="str">
        <f>VLOOKUP($B284,IF($H284="F",TeamSheetFemale,TeamSheetMale),$Y289,FALSE)</f>
        <v>Sophia Wood</v>
      </c>
      <c r="H289" s="363" t="str">
        <f>VLOOKUP($B284,IF($H284="F",TeamSheetFemale,TeamSheetMale),$Y289+1,FALSE)</f>
        <v>MM</v>
      </c>
      <c r="I289" s="364" t="str">
        <f>VLOOKUP($B284,IF($H284="F",TeamSheetFemale,TeamSheetMale),$Y289+2,FALSE)</f>
        <v>Emily Ross</v>
      </c>
      <c r="K289" s="341" t="s">
        <v>275</v>
      </c>
      <c r="L289" s="16" t="str">
        <f t="shared" si="240"/>
        <v>S</v>
      </c>
      <c r="M289" s="927" t="s">
        <v>100</v>
      </c>
      <c r="N289" s="927" t="s">
        <v>993</v>
      </c>
      <c r="O289" s="354" t="str">
        <f>IF(LEN($M289)=1,VLOOKUP(LEFT($M289,1),B285:I292,5,FALSE),IF(LEN($M289)=2,VLOOKUP(LEFT($M289,1),B285:I292,7,FALSE),""))</f>
        <v>S</v>
      </c>
      <c r="P289" s="410" t="str">
        <f>IF(LEN($M289)=1,VLOOKUP(LEFT($M289,1),B285:I292,6,FALSE),IF(LEN($M289)=2,VLOOKUP(LEFT($M289,1),B285:I292,8,FALSE),""))</f>
        <v xml:space="preserve">
Eliana Dawit</v>
      </c>
      <c r="Q289" s="371" t="s">
        <v>275</v>
      </c>
      <c r="R289" s="146" t="str">
        <f t="shared" si="241"/>
        <v>U</v>
      </c>
      <c r="S289" s="927" t="s">
        <v>726</v>
      </c>
      <c r="T289" s="927" t="s">
        <v>1028</v>
      </c>
      <c r="U289" s="354" t="str">
        <f>IF(LEN($S289)=1,VLOOKUP(LEFT($S289,1),B285:I292,5,FALSE),IF(LEN($S289)=2,VLOOKUP(LEFT($S289,1),B285:I292,7,FALSE),""))</f>
        <v>UU</v>
      </c>
      <c r="V289" s="410" t="str">
        <f>IF(LEN($S289)=1,VLOOKUP(LEFT($S289,1),B285:I292,6,FALSE),IF(LEN($S289)=2,VLOOKUP(LEFT($S289,1),B285:I292,8,FALSE),""))</f>
        <v>Imogen McCann</v>
      </c>
      <c r="W289" s="417">
        <f t="shared" si="248"/>
        <v>4</v>
      </c>
      <c r="Y289" s="16">
        <v>27</v>
      </c>
      <c r="Z289" s="16" t="str">
        <f t="shared" si="242"/>
        <v>BRAT</v>
      </c>
      <c r="AA289" s="146" t="str">
        <f t="shared" si="243"/>
        <v>K&amp;S</v>
      </c>
      <c r="AC289" s="16" t="str">
        <f t="shared" si="244"/>
        <v>M</v>
      </c>
      <c r="AD289" s="419" t="str">
        <f t="shared" si="244"/>
        <v>Solihull &amp; S.Heath</v>
      </c>
      <c r="AE289" s="419">
        <f>IF(ISNA(MATCH(AC289,N285:N294,0)),0,VLOOKUP(AC289,N285:S294,5,FALSE))</f>
        <v>0</v>
      </c>
      <c r="AF289" s="419" t="str">
        <f>IF(ISNA(MATCH(AC289,T285:T294,0))," ",VLOOKUP(AC289,T285:Y294,5,FALSE))</f>
        <v xml:space="preserve"> </v>
      </c>
      <c r="AG289" s="419" t="str">
        <f>IF(ISNA(MATCH(AC289,L285:L292,0)),0,VLOOKUP(AC289,L285:N292,3,FALSE))</f>
        <v>2.29.4</v>
      </c>
      <c r="AH289" s="419" t="str">
        <f>IF(ISNA(MATCH(AC289,R285:R292,0)),0,VLOOKUP(AC289,R285:T292,3,FALSE))</f>
        <v>2.34.0</v>
      </c>
      <c r="AI289" s="419" t="str">
        <f>IF(ISNA(MATCH(AC289,L285:L292,0)),0,VLOOKUP(AC289,L285:P292,4,FALSE))</f>
        <v>M</v>
      </c>
      <c r="AJ289" s="419" t="str">
        <f>IF(ISNA(MATCH(AC289,R285:R292,0)),0,VLOOKUP(AC289,R285:U292,4,FALSE))</f>
        <v>MM</v>
      </c>
      <c r="AK289" s="32">
        <f t="shared" si="245"/>
        <v>2</v>
      </c>
      <c r="AL289" s="32">
        <f t="shared" si="246"/>
        <v>1</v>
      </c>
      <c r="AM289" s="32">
        <f>IF(ISNA(MATCH(AC289,L285:L292,0)),0,VLOOKUP(AC289,L285:W292,AM$1,FALSE))</f>
        <v>7</v>
      </c>
      <c r="AN289" s="146">
        <f>IF(ISNA(MATCH(AC289,R285:R292,0)),0,VLOOKUP(AC289,R285:W292,AN$1,FALSE))</f>
        <v>8</v>
      </c>
      <c r="AP289" s="927"/>
      <c r="AQ289" s="927"/>
    </row>
    <row r="290" spans="1:47" ht="15.6" x14ac:dyDescent="0.3">
      <c r="A290" s="417">
        <f t="shared" si="247"/>
        <v>256</v>
      </c>
      <c r="B290" s="362" t="str">
        <f>'Event Details'!D$27</f>
        <v>D</v>
      </c>
      <c r="C290" s="381" t="str">
        <f>'Event Details'!E$27</f>
        <v>Stratford</v>
      </c>
      <c r="D290" s="379"/>
      <c r="E290" s="378"/>
      <c r="F290" s="363" t="str">
        <f>VLOOKUP($B284,IF($H284="F",TeamSheetFemale,TeamSheetMale),$Y290-1,FALSE)</f>
        <v>D</v>
      </c>
      <c r="G290" s="380" t="str">
        <f>VLOOKUP($B284,IF($H284="F",TeamSheetFemale,TeamSheetMale),$Y290,FALSE)</f>
        <v>Elsie Pipitone</v>
      </c>
      <c r="H290" s="363" t="str">
        <f>VLOOKUP($B284,IF($H284="F",TeamSheetFemale,TeamSheetMale),$Y290+1,FALSE)</f>
        <v>DD</v>
      </c>
      <c r="I290" s="364" t="str">
        <f>VLOOKUP($B284,IF($H284="F",TeamSheetFemale,TeamSheetMale),$Y290+2,FALSE)</f>
        <v>Millie Lowden</v>
      </c>
      <c r="K290" s="341" t="s">
        <v>276</v>
      </c>
      <c r="L290" s="16" t="str">
        <f t="shared" si="240"/>
        <v>D</v>
      </c>
      <c r="M290" s="927" t="s">
        <v>136</v>
      </c>
      <c r="N290" s="927" t="s">
        <v>1021</v>
      </c>
      <c r="O290" s="354" t="str">
        <f>IF(LEN($M290)=1,VLOOKUP(LEFT($M290,1),B285:I292,5,FALSE),IF(LEN($M290)=2,VLOOKUP(LEFT($M290,1),B285:I292,7,FALSE),""))</f>
        <v>D</v>
      </c>
      <c r="P290" s="410" t="str">
        <f>IF(LEN($M290)=1,VLOOKUP(LEFT($M290,1),B285:I292,6,FALSE),IF(LEN($M290)=2,VLOOKUP(LEFT($M290,1),B285:I292,8,FALSE),""))</f>
        <v>Elsie Pipitone</v>
      </c>
      <c r="Q290" s="371" t="s">
        <v>276</v>
      </c>
      <c r="R290" s="146" t="str">
        <f t="shared" si="241"/>
        <v>R</v>
      </c>
      <c r="S290" s="927" t="s">
        <v>819</v>
      </c>
      <c r="T290" s="927" t="s">
        <v>1029</v>
      </c>
      <c r="U290" s="354" t="str">
        <f>IF(LEN($S290)=1,VLOOKUP(LEFT($S290,1),B285:I292,5,FALSE),IF(LEN($S290)=2,VLOOKUP(LEFT($S290,1),B285:I292,7,FALSE),""))</f>
        <v>RR</v>
      </c>
      <c r="V290" s="410" t="str">
        <f>IF(LEN($S290)=1,VLOOKUP(LEFT($S290,1),B285:I292,6,FALSE),IF(LEN($S290)=2,VLOOKUP(LEFT($S290,1),B285:I292,8,FALSE),""))</f>
        <v>Caitlin Bosworth</v>
      </c>
      <c r="W290" s="417">
        <f t="shared" si="248"/>
        <v>3</v>
      </c>
      <c r="Y290" s="16">
        <v>32</v>
      </c>
      <c r="Z290" s="16" t="str">
        <f t="shared" si="242"/>
        <v>Strat</v>
      </c>
      <c r="AA290" s="146" t="str">
        <f t="shared" si="243"/>
        <v>Rugby</v>
      </c>
      <c r="AC290" s="16" t="str">
        <f t="shared" si="244"/>
        <v>D</v>
      </c>
      <c r="AD290" s="419" t="str">
        <f t="shared" si="244"/>
        <v>Stratford</v>
      </c>
      <c r="AE290" s="419">
        <f>IF(ISNA(MATCH(AC290,N285:N294,0)),0,VLOOKUP(AC290,N285:S294,5,FALSE))</f>
        <v>0</v>
      </c>
      <c r="AF290" s="419" t="str">
        <f>IF(ISNA(MATCH(AC290,T285:T294,0))," ",VLOOKUP(AC290,T285:Y294,5,FALSE))</f>
        <v xml:space="preserve"> </v>
      </c>
      <c r="AG290" s="419" t="str">
        <f>IF(ISNA(MATCH(AC290,L285:L292,0)),0,VLOOKUP(AC290,L285:N292,3,FALSE))</f>
        <v>2.40.4</v>
      </c>
      <c r="AH290" s="419" t="str">
        <f>IF(ISNA(MATCH(AC290,R285:R292,0)),0,VLOOKUP(AC290,R285:T292,3,FALSE))</f>
        <v>2.35.7</v>
      </c>
      <c r="AI290" s="419" t="str">
        <f>IF(ISNA(MATCH(AC290,L285:L292,0)),0,VLOOKUP(AC290,L285:P292,4,FALSE))</f>
        <v>D</v>
      </c>
      <c r="AJ290" s="419" t="str">
        <f>IF(ISNA(MATCH(AC290,R285:R292,0)),0,VLOOKUP(AC290,R285:U292,4,FALSE))</f>
        <v>DD</v>
      </c>
      <c r="AK290" s="32">
        <f t="shared" si="245"/>
        <v>6</v>
      </c>
      <c r="AL290" s="32">
        <f t="shared" si="246"/>
        <v>2</v>
      </c>
      <c r="AM290" s="32">
        <f>IF(ISNA(MATCH(AC290,L285:L292,0)),0,VLOOKUP(AC290,L285:W292,AM$1,FALSE))</f>
        <v>3</v>
      </c>
      <c r="AN290" s="146">
        <f>IF(ISNA(MATCH(AC290,R285:R292,0)),0,VLOOKUP(AC290,R285:W292,AN$1,FALSE))</f>
        <v>7</v>
      </c>
      <c r="AP290" s="927"/>
      <c r="AQ290" s="927"/>
    </row>
    <row r="291" spans="1:47" ht="15.6" x14ac:dyDescent="0.3">
      <c r="A291" s="417">
        <f t="shared" si="247"/>
        <v>257</v>
      </c>
      <c r="B291" s="362" t="str">
        <f>'Event Details'!D$28</f>
        <v>F</v>
      </c>
      <c r="C291" s="381" t="str">
        <f>'Event Details'!E$28</f>
        <v>Tamworth</v>
      </c>
      <c r="D291" s="379"/>
      <c r="E291" s="378"/>
      <c r="F291" s="363" t="str">
        <f>VLOOKUP($B284,IF($H284="F",TeamSheetFemale,TeamSheetMale),$Y291-1,FALSE)</f>
        <v>F</v>
      </c>
      <c r="G291" s="380" t="str">
        <f>VLOOKUP($B284,IF($H284="F",TeamSheetFemale,TeamSheetMale),$Y291,FALSE)</f>
        <v>Charlotte Brian</v>
      </c>
      <c r="H291" s="363" t="str">
        <f>VLOOKUP($B284,IF($H284="F",TeamSheetFemale,TeamSheetMale),$Y291+1,FALSE)</f>
        <v>FF</v>
      </c>
      <c r="I291" s="364" t="str">
        <f>VLOOKUP($B284,IF($H284="F",TeamSheetFemale,TeamSheetMale),$Y291+2,FALSE)</f>
        <v>Jessica Husselbee</v>
      </c>
      <c r="K291" s="341" t="s">
        <v>277</v>
      </c>
      <c r="L291" s="16" t="str">
        <f t="shared" si="240"/>
        <v>G</v>
      </c>
      <c r="M291" s="927" t="s">
        <v>110</v>
      </c>
      <c r="N291" s="927" t="s">
        <v>1022</v>
      </c>
      <c r="O291" s="354" t="str">
        <f>IF(LEN($M291)=1,VLOOKUP(LEFT($M291,1),B285:I292,5,FALSE),IF(LEN($M291)=2,VLOOKUP(LEFT($M291,1),B285:I292,7,FALSE),""))</f>
        <v>G</v>
      </c>
      <c r="P291" s="410" t="str">
        <f>IF(LEN($M291)=1,VLOOKUP(LEFT($M291,1),B285:I292,6,FALSE),IF(LEN($M291)=2,VLOOKUP(LEFT($M291,1),B285:I292,8,FALSE),""))</f>
        <v>Scarlett Edgar</v>
      </c>
      <c r="Q291" s="371" t="s">
        <v>277</v>
      </c>
      <c r="R291" s="146" t="str">
        <f t="shared" si="241"/>
        <v>S</v>
      </c>
      <c r="S291" s="927" t="s">
        <v>818</v>
      </c>
      <c r="T291" s="927" t="s">
        <v>1014</v>
      </c>
      <c r="U291" s="354" t="str">
        <f>IF(LEN($S291)=1,VLOOKUP(LEFT($S291,1),B285:I292,5,FALSE),IF(LEN($S291)=2,VLOOKUP(LEFT($S291,1),B285:I292,7,FALSE),""))</f>
        <v>SS</v>
      </c>
      <c r="V291" s="410" t="str">
        <f>IF(LEN($S291)=1,VLOOKUP(LEFT($S291,1),B285:I292,6,FALSE),IF(LEN($S291)=2,VLOOKUP(LEFT($S291,1),B285:I292,8,FALSE),""))</f>
        <v>Joanna O'Connor Delgado</v>
      </c>
      <c r="W291" s="417">
        <f t="shared" si="248"/>
        <v>2</v>
      </c>
      <c r="Y291" s="16">
        <v>37</v>
      </c>
      <c r="Z291" s="16" t="str">
        <f t="shared" si="242"/>
        <v>Royal</v>
      </c>
      <c r="AA291" s="146" t="str">
        <f t="shared" si="243"/>
        <v>BRAT</v>
      </c>
      <c r="AC291" s="16" t="str">
        <f t="shared" si="244"/>
        <v>F</v>
      </c>
      <c r="AD291" s="419" t="str">
        <f t="shared" si="244"/>
        <v>Tamworth</v>
      </c>
      <c r="AE291" s="419">
        <f>IF(ISNA(MATCH(AC291,N283:N292,0)),0,VLOOKUP(AC291,N283:S292,5,FALSE))</f>
        <v>0</v>
      </c>
      <c r="AF291" s="419" t="str">
        <f>IF(ISNA(MATCH(AC291,T283:T292,0))," ",VLOOKUP(AC291,T283:Y292,5,FALSE))</f>
        <v xml:space="preserve"> </v>
      </c>
      <c r="AG291" s="419" t="str">
        <f>IF(ISNA(MATCH(AC291,L285:L292,0)),0,VLOOKUP(AC291,L285:N292,3,FALSE))</f>
        <v>2.31.1</v>
      </c>
      <c r="AH291" s="419" t="str">
        <f>IF(ISNA(MATCH(AC291,R285:R292,0)),0,VLOOKUP(AC291,R285:T292,3,FALSE))</f>
        <v>2.46.6</v>
      </c>
      <c r="AI291" s="419" t="str">
        <f>IF(ISNA(MATCH(AC291,L285:L292,0)),0,VLOOKUP(AC291,L285:P292,4,FALSE))</f>
        <v>F</v>
      </c>
      <c r="AJ291" s="419" t="str">
        <f>IF(ISNA(MATCH(AC291,R285:R292,0)),0,VLOOKUP(AC291,R285:U292,4,FALSE))</f>
        <v>FF</v>
      </c>
      <c r="AK291" s="32">
        <f t="shared" si="245"/>
        <v>4</v>
      </c>
      <c r="AL291" s="32">
        <f t="shared" si="246"/>
        <v>3</v>
      </c>
      <c r="AM291" s="32">
        <f>IF(ISNA(MATCH(AC291,L285:L292,0)),0,VLOOKUP(AC291,L285:W292,AM$1,FALSE))</f>
        <v>5</v>
      </c>
      <c r="AN291" s="146">
        <f>IF(ISNA(MATCH(AC291,R285:R292,0)),0,VLOOKUP(AC291,R285:W292,AN$1,FALSE))</f>
        <v>6</v>
      </c>
      <c r="AP291" s="927"/>
      <c r="AQ291" s="927"/>
    </row>
    <row r="292" spans="1:47" ht="16.2" thickBot="1" x14ac:dyDescent="0.35">
      <c r="A292" s="418">
        <f t="shared" si="247"/>
        <v>258</v>
      </c>
      <c r="B292" s="365" t="str">
        <f>'Event Details'!D$29</f>
        <v>Y</v>
      </c>
      <c r="C292" s="366" t="str">
        <f>'Event Details'!E$29</f>
        <v>Worcester</v>
      </c>
      <c r="D292" s="361"/>
      <c r="E292" s="370"/>
      <c r="F292" s="367" t="str">
        <f>VLOOKUP($B284,IF($H284="F",TeamSheetFemale,TeamSheetMale),$Y292-1,FALSE)</f>
        <v>Y</v>
      </c>
      <c r="G292" s="368" t="str">
        <f>VLOOKUP($B284,IF($H284="F",TeamSheetFemale,TeamSheetMale),$Y292,FALSE)</f>
        <v>Edie Worth</v>
      </c>
      <c r="H292" s="367" t="str">
        <f>VLOOKUP($B284,IF($H284="F",TeamSheetFemale,TeamSheetMale),$Y292+1,FALSE)</f>
        <v>YY</v>
      </c>
      <c r="I292" s="369" t="str">
        <f>VLOOKUP($B284,IF($H284="F",TeamSheetFemale,TeamSheetMale),$Y292+2,FALSE)</f>
        <v>Anastasia Constantinou</v>
      </c>
      <c r="K292" s="346" t="s">
        <v>278</v>
      </c>
      <c r="L292" s="25" t="str">
        <f t="shared" si="240"/>
        <v>Y</v>
      </c>
      <c r="M292" s="932" t="s">
        <v>151</v>
      </c>
      <c r="N292" s="932" t="s">
        <v>1023</v>
      </c>
      <c r="O292" s="374" t="str">
        <f>IF(LEN($M292)=1,VLOOKUP(LEFT($M292,1),B285:I292,5,FALSE),IF(LEN($M292)=2,VLOOKUP(LEFT($M292,1),B285:I292,7,FALSE),""))</f>
        <v>Y</v>
      </c>
      <c r="P292" s="411" t="str">
        <f>IF(LEN($M292)=1,VLOOKUP(LEFT($M292,1),B285:I292,6,FALSE),IF(LEN($M292)=2,VLOOKUP(LEFT($M292,1),B285:I292,8,FALSE),""))</f>
        <v>Edie Worth</v>
      </c>
      <c r="Q292" s="407" t="s">
        <v>278</v>
      </c>
      <c r="R292" s="523" t="str">
        <f t="shared" si="241"/>
        <v>Y</v>
      </c>
      <c r="S292" s="932" t="s">
        <v>822</v>
      </c>
      <c r="T292" s="932" t="s">
        <v>1030</v>
      </c>
      <c r="U292" s="374" t="str">
        <f>IF(LEN($S292)=1,VLOOKUP(LEFT($S292,1),B285:I292,5,FALSE),IF(LEN($S292)=2,VLOOKUP(LEFT($S292,1),B285:I292,7,FALSE),""))</f>
        <v>YY</v>
      </c>
      <c r="V292" s="411" t="str">
        <f>IF(LEN($S292)=1,VLOOKUP(LEFT($S292,1),B285:I292,6,FALSE),IF(LEN($S292)=2,VLOOKUP(LEFT($S292,1),B285:I292,8,FALSE),""))</f>
        <v>Anastasia Constantinou</v>
      </c>
      <c r="W292" s="418">
        <f t="shared" si="248"/>
        <v>1</v>
      </c>
      <c r="Y292" s="25">
        <v>42</v>
      </c>
      <c r="Z292" s="25" t="str">
        <f t="shared" si="242"/>
        <v>Worc</v>
      </c>
      <c r="AA292" s="523" t="str">
        <f t="shared" si="243"/>
        <v>Worc</v>
      </c>
      <c r="AC292" s="25" t="str">
        <f t="shared" si="244"/>
        <v>Y</v>
      </c>
      <c r="AD292" s="624" t="str">
        <f t="shared" si="244"/>
        <v>Worcester</v>
      </c>
      <c r="AE292" s="624">
        <f>IF(ISNA(MATCH(AC292,N284:N293,0)),0,VLOOKUP(AC292,N284:S293,5,FALSE))</f>
        <v>0</v>
      </c>
      <c r="AF292" s="624" t="str">
        <f t="shared" ref="AF292" si="249">IF(ISNA(MATCH(AC292,T284:T293,0))," ",VLOOKUP(AC292,T284:Y293,5,FALSE))</f>
        <v xml:space="preserve"> </v>
      </c>
      <c r="AG292" s="624" t="str">
        <f>IF(ISNA(MATCH(AC292,L285:L292,0)),0,VLOOKUP(AC292,L285:N292,3,FALSE))</f>
        <v>2.43.0</v>
      </c>
      <c r="AH292" s="624" t="str">
        <f>IF(ISNA(MATCH(AC292,R285:R292,0)),0,VLOOKUP(AC292,R285:T292,3,FALSE))</f>
        <v>3.05.8</v>
      </c>
      <c r="AI292" s="624" t="str">
        <f>IF(ISNA(MATCH(AC292,L285:L292,0)),0,VLOOKUP(AC292,L285:P292,4,FALSE))</f>
        <v>Y</v>
      </c>
      <c r="AJ292" s="624" t="str">
        <f>IF(ISNA(MATCH(AC292,R285:R292,0)),0,VLOOKUP(AC292,R285:U292,4,FALSE))</f>
        <v>YY</v>
      </c>
      <c r="AK292" s="116">
        <f t="shared" si="245"/>
        <v>8</v>
      </c>
      <c r="AL292" s="116">
        <f t="shared" si="246"/>
        <v>8</v>
      </c>
      <c r="AM292" s="116">
        <f>IF(ISNA(MATCH(AC292,L285:L292,0)),0,VLOOKUP(AC292,L285:W292,AM$1,FALSE))</f>
        <v>1</v>
      </c>
      <c r="AN292" s="523">
        <f>IF(ISNA(MATCH(AC292,R285:R292,0)),0,VLOOKUP(AC292,R285:W292,AN$1,FALSE))</f>
        <v>1</v>
      </c>
      <c r="AP292" s="932"/>
      <c r="AQ292" s="932"/>
    </row>
    <row r="293" spans="1:47" ht="15" thickBot="1" x14ac:dyDescent="0.35">
      <c r="K293" s="1207" t="s">
        <v>280</v>
      </c>
      <c r="M293" s="276"/>
      <c r="N293" s="276"/>
      <c r="S293" s="276"/>
      <c r="T293" s="276"/>
      <c r="AP293" s="276"/>
      <c r="AQ293" s="276"/>
    </row>
    <row r="294" spans="1:47" x14ac:dyDescent="0.3">
      <c r="B294" s="400" t="s">
        <v>258</v>
      </c>
      <c r="C294" s="398"/>
      <c r="D294" s="401" t="s">
        <v>165</v>
      </c>
      <c r="E294" s="398"/>
      <c r="F294" s="398"/>
      <c r="G294" s="402" t="s">
        <v>259</v>
      </c>
      <c r="H294" s="403" t="s">
        <v>249</v>
      </c>
      <c r="I294" s="404" t="s">
        <v>168</v>
      </c>
      <c r="K294" s="360"/>
      <c r="L294" s="661"/>
      <c r="M294" s="387" t="s">
        <v>260</v>
      </c>
      <c r="N294" s="387" t="s">
        <v>261</v>
      </c>
      <c r="O294" s="387" t="s">
        <v>262</v>
      </c>
      <c r="P294" s="388" t="s">
        <v>75</v>
      </c>
      <c r="Q294" s="389"/>
      <c r="R294" s="657"/>
      <c r="S294" s="387" t="s">
        <v>260</v>
      </c>
      <c r="T294" s="387" t="s">
        <v>261</v>
      </c>
      <c r="U294" s="387" t="s">
        <v>262</v>
      </c>
      <c r="V294" s="388" t="s">
        <v>75</v>
      </c>
      <c r="W294" s="672" t="s">
        <v>76</v>
      </c>
      <c r="Y294" s="414" t="s">
        <v>263</v>
      </c>
      <c r="Z294" s="656" t="s">
        <v>74</v>
      </c>
      <c r="AA294" s="657" t="s">
        <v>75</v>
      </c>
      <c r="AC294" s="665" t="s">
        <v>71</v>
      </c>
      <c r="AD294" s="657" t="s">
        <v>86</v>
      </c>
      <c r="AE294" s="661" t="s">
        <v>149</v>
      </c>
      <c r="AF294" s="661" t="s">
        <v>94</v>
      </c>
      <c r="AG294" s="661" t="s">
        <v>149</v>
      </c>
      <c r="AH294" s="661" t="s">
        <v>94</v>
      </c>
      <c r="AI294" s="661" t="s">
        <v>149</v>
      </c>
      <c r="AJ294" s="661" t="s">
        <v>94</v>
      </c>
      <c r="AK294" s="1332" t="s">
        <v>149</v>
      </c>
      <c r="AL294" s="661" t="s">
        <v>94</v>
      </c>
      <c r="AM294" s="1406" t="s">
        <v>76</v>
      </c>
      <c r="AN294" s="1407"/>
      <c r="AP294" s="387" t="s">
        <v>260</v>
      </c>
      <c r="AQ294" s="387" t="s">
        <v>261</v>
      </c>
      <c r="AS294" s="1218" t="s">
        <v>165</v>
      </c>
      <c r="AT294" s="1219" t="s">
        <v>79</v>
      </c>
      <c r="AU294" s="1220" t="s">
        <v>80</v>
      </c>
    </row>
    <row r="295" spans="1:47" ht="15" thickBot="1" x14ac:dyDescent="0.35">
      <c r="B295" s="405">
        <v>26</v>
      </c>
      <c r="C295" s="399"/>
      <c r="D295" s="385" t="str">
        <f>VLOOKUP($B295,EventOrder,6,FALSE)</f>
        <v xml:space="preserve">800m </v>
      </c>
      <c r="E295" s="399"/>
      <c r="F295" s="385"/>
      <c r="G295" s="386" t="str">
        <f>VLOOKUP($B295,EventOrder,4,FALSE)</f>
        <v>U16 Female</v>
      </c>
      <c r="H295" s="396" t="str">
        <f>IF(MID(G295,5,1)="F","F","M")</f>
        <v>F</v>
      </c>
      <c r="I295" s="397">
        <f>VLOOKUP($B295,EventOrder,2,FALSE)</f>
        <v>1</v>
      </c>
      <c r="K295" s="377"/>
      <c r="L295" s="667" t="s">
        <v>149</v>
      </c>
      <c r="M295" s="409" t="s">
        <v>264</v>
      </c>
      <c r="N295" s="409" t="s">
        <v>265</v>
      </c>
      <c r="O295" s="390" t="s">
        <v>266</v>
      </c>
      <c r="P295" s="391"/>
      <c r="Q295" s="392"/>
      <c r="R295" s="659" t="s">
        <v>94</v>
      </c>
      <c r="S295" s="409" t="s">
        <v>264</v>
      </c>
      <c r="T295" s="409" t="s">
        <v>265</v>
      </c>
      <c r="U295" s="390" t="s">
        <v>266</v>
      </c>
      <c r="V295" s="391"/>
      <c r="W295" s="671"/>
      <c r="Y295" s="415" t="s">
        <v>167</v>
      </c>
      <c r="Z295" s="658" t="s">
        <v>149</v>
      </c>
      <c r="AA295" s="659" t="s">
        <v>94</v>
      </c>
      <c r="AC295" s="666"/>
      <c r="AD295" s="668"/>
      <c r="AE295" s="768" t="s">
        <v>75</v>
      </c>
      <c r="AF295" s="768" t="s">
        <v>75</v>
      </c>
      <c r="AG295" s="768" t="s">
        <v>267</v>
      </c>
      <c r="AH295" s="768" t="s">
        <v>267</v>
      </c>
      <c r="AI295" s="768" t="s">
        <v>268</v>
      </c>
      <c r="AJ295" s="768" t="s">
        <v>268</v>
      </c>
      <c r="AK295" s="770" t="s">
        <v>269</v>
      </c>
      <c r="AL295" s="768" t="s">
        <v>269</v>
      </c>
      <c r="AM295" s="667" t="s">
        <v>149</v>
      </c>
      <c r="AN295" s="659" t="s">
        <v>94</v>
      </c>
      <c r="AP295" s="409" t="s">
        <v>264</v>
      </c>
      <c r="AQ295" s="409" t="s">
        <v>265</v>
      </c>
      <c r="AS295" s="1221" t="s">
        <v>270</v>
      </c>
      <c r="AT295" s="1222" t="s">
        <v>270</v>
      </c>
      <c r="AU295" s="1223" t="s">
        <v>270</v>
      </c>
    </row>
    <row r="296" spans="1:47" ht="15.6" x14ac:dyDescent="0.3">
      <c r="A296" s="416">
        <f>(B295*10)+1</f>
        <v>261</v>
      </c>
      <c r="B296" s="362" t="str">
        <f>'Event Details'!D$22</f>
        <v>S</v>
      </c>
      <c r="C296" s="381" t="str">
        <f>'Event Details'!E$22</f>
        <v>BRAT</v>
      </c>
      <c r="D296" s="379"/>
      <c r="E296" s="378"/>
      <c r="F296" s="363" t="str">
        <f>VLOOKUP($B295,IF($H295="F",TeamSheetFemale,TeamSheetMale),$Y296-1,FALSE)</f>
        <v>S</v>
      </c>
      <c r="G296" s="380" t="str">
        <f>VLOOKUP($B295,IF($H295="F",TeamSheetFemale,TeamSheetMale),$Y296,FALSE)</f>
        <v xml:space="preserve">
Maiara Dalmedo</v>
      </c>
      <c r="H296" s="363" t="str">
        <f>VLOOKUP($B295,IF($H295="F",TeamSheetFemale,TeamSheetMale),$Y296+1,FALSE)</f>
        <v>SS</v>
      </c>
      <c r="I296" s="364" t="str">
        <f>VLOOKUP($B295,IF($H295="F",TeamSheetFemale,TeamSheetMale),$Y296+2,FALSE)</f>
        <v>Isabel Pickering</v>
      </c>
      <c r="K296" s="393" t="s">
        <v>271</v>
      </c>
      <c r="L296" s="16" t="str">
        <f t="shared" ref="L296:L303" si="250">LEFT(M296,1)</f>
        <v>M</v>
      </c>
      <c r="M296" s="926" t="s">
        <v>127</v>
      </c>
      <c r="N296" s="926" t="s">
        <v>1032</v>
      </c>
      <c r="O296" s="394" t="str">
        <f>IF(LEN($M296)=1,VLOOKUP(LEFT($M296,1),B296:I303,5,FALSE),IF(LEN($M296)=2,VLOOKUP(LEFT($M296,1),B296:I303,7,FALSE),""))</f>
        <v>M</v>
      </c>
      <c r="P296" s="395" t="str">
        <f>IF(LEN($M296)=1,VLOOKUP(LEFT($M296,1),B296:I303,6,FALSE),IF(LEN($M296)=2,VLOOKUP(LEFT($M296,1),B296:I303,8,FALSE),""))</f>
        <v>Orlagh Murphy</v>
      </c>
      <c r="Q296" s="393" t="s">
        <v>271</v>
      </c>
      <c r="R296" s="146" t="str">
        <f t="shared" ref="R296:R303" si="251">LEFT(S296,1)</f>
        <v>D</v>
      </c>
      <c r="S296" s="926" t="s">
        <v>513</v>
      </c>
      <c r="T296" s="926" t="s">
        <v>1039</v>
      </c>
      <c r="U296" s="394" t="str">
        <f>IF(LEN($S296)=1,VLOOKUP(LEFT($S296,1),B296:I303,5,FALSE),IF(LEN($S296)=2,VLOOKUP(LEFT($S296,1),B296:I303,7,FALSE),""))</f>
        <v>DD</v>
      </c>
      <c r="V296" s="395" t="str">
        <f>IF(LEN($S296)=1,VLOOKUP(LEFT($S296,1),B296:I303,6,FALSE),IF(LEN($S296)=2,VLOOKUP(LEFT($S296,1),B296:I303,8,FALSE),""))</f>
        <v>Lucia Ogilvie-Putt</v>
      </c>
      <c r="W296" s="417">
        <f>AN$6</f>
        <v>8</v>
      </c>
      <c r="Y296" s="416">
        <v>7</v>
      </c>
      <c r="Z296" s="653" t="str">
        <f t="shared" ref="Z296:Z303" si="252">IF(LEN(M296)&gt;0,VLOOKUP(LEFT(M296,1),ShortName,5,FALSE),0)</f>
        <v>Sol</v>
      </c>
      <c r="AA296" s="138" t="str">
        <f t="shared" ref="AA296:AA303" si="253">IF(LEN(S296)&gt;0,VLOOKUP(LEFT(S296,1),ShortName,5,FALSE),0)</f>
        <v>Strat</v>
      </c>
      <c r="AC296" s="16" t="str">
        <f t="shared" ref="AC296:AD303" si="254">B296</f>
        <v>S</v>
      </c>
      <c r="AD296" s="419" t="str">
        <f t="shared" si="254"/>
        <v>BRAT</v>
      </c>
      <c r="AE296" s="635">
        <f>IF(ISNA(MATCH(AC296,N296:N305,0)),0,VLOOKUP(AC296,N296:S305,5,FALSE))</f>
        <v>0</v>
      </c>
      <c r="AF296" s="635" t="str">
        <f>IF(ISNA(MATCH(AC296,T296:T305,0))," ",VLOOKUP(AC296,T296:Y305,5,FALSE))</f>
        <v xml:space="preserve"> </v>
      </c>
      <c r="AG296" s="635" t="str">
        <f>IF(ISNA(MATCH(AC296,L296:L303,0)),0,VLOOKUP(AC296,L296:N303,3,FALSE))</f>
        <v>2.51.4</v>
      </c>
      <c r="AH296" s="635" t="str">
        <f>IF(ISNA(MATCH(AC296,R296:R303,0)),0,VLOOKUP(AC296,R296:T303,3,FALSE))</f>
        <v>3.01.8</v>
      </c>
      <c r="AI296" s="635" t="str">
        <f>IF(ISNA(MATCH(AC296,L296:L303,0)),0,VLOOKUP(AC296,L296:P303,4,FALSE))</f>
        <v>S</v>
      </c>
      <c r="AJ296" s="635" t="str">
        <f>IF(ISNA(MATCH(AC296,R296:R303,0)),0,VLOOKUP(AC296,R296:U303,4,FALSE))</f>
        <v>SS</v>
      </c>
      <c r="AK296" s="49">
        <f t="shared" ref="AK296:AK303" si="255">IF(AM296=0,0,AN$6-(AM296-1))</f>
        <v>7</v>
      </c>
      <c r="AL296" s="49">
        <f t="shared" ref="AL296:AL303" si="256">IF(AN296=0,0,AN$6-(AN296-1))</f>
        <v>5</v>
      </c>
      <c r="AM296" s="49">
        <f>IF(ISNA(MATCH(AC296,L296:L303,0)),0,VLOOKUP(AC296,L296:W303,AM$1,FALSE))</f>
        <v>2</v>
      </c>
      <c r="AN296" s="138">
        <f>IF(ISNA(MATCH(AC296,R296:R303,0)),0,VLOOKUP(AC296,R296:W303,AN$1,FALSE))</f>
        <v>4</v>
      </c>
      <c r="AP296" s="926"/>
      <c r="AQ296" s="926"/>
      <c r="AS296" s="32">
        <f>IF(LEN(N296)&gt;0,1,0)</f>
        <v>1</v>
      </c>
      <c r="AT296" s="32">
        <f>IF(AND(AS296=1,H295="M"),1,0)</f>
        <v>0</v>
      </c>
      <c r="AU296" s="32">
        <f>IF(AND(AS296=1,H295="F"),1,0)</f>
        <v>1</v>
      </c>
    </row>
    <row r="297" spans="1:47" ht="15.6" x14ac:dyDescent="0.3">
      <c r="A297" s="417">
        <f>A296+1</f>
        <v>262</v>
      </c>
      <c r="B297" s="362" t="str">
        <f>'Event Details'!D$23</f>
        <v>U</v>
      </c>
      <c r="C297" s="381" t="str">
        <f>'Event Details'!E$23</f>
        <v>Kidder &amp; Stourport</v>
      </c>
      <c r="D297" s="379"/>
      <c r="E297" s="378"/>
      <c r="F297" s="363">
        <f>VLOOKUP($B295,IF($H295="F",TeamSheetFemale,TeamSheetMale),$Y297-1,FALSE)</f>
        <v>0</v>
      </c>
      <c r="G297" s="380">
        <f>VLOOKUP($B295,IF($H295="F",TeamSheetFemale,TeamSheetMale),$Y297,FALSE)</f>
        <v>0</v>
      </c>
      <c r="H297" s="363">
        <f>VLOOKUP($B295,IF($H295="F",TeamSheetFemale,TeamSheetMale),$Y297+1,FALSE)</f>
        <v>0</v>
      </c>
      <c r="I297" s="364">
        <f>VLOOKUP($B295,IF($H295="F",TeamSheetFemale,TeamSheetMale),$Y297+2,FALSE)</f>
        <v>0</v>
      </c>
      <c r="K297" s="341" t="s">
        <v>272</v>
      </c>
      <c r="L297" s="16" t="str">
        <f t="shared" si="250"/>
        <v>R</v>
      </c>
      <c r="M297" s="927" t="s">
        <v>118</v>
      </c>
      <c r="N297" s="927" t="s">
        <v>1033</v>
      </c>
      <c r="O297" s="353" t="str">
        <f>IF(LEN($M297)=1,VLOOKUP(LEFT($M297,1),B296:I303,5,FALSE),IF(LEN($M297)=2,VLOOKUP(LEFT($M297,1),B296:I303,7,FALSE),""))</f>
        <v>R</v>
      </c>
      <c r="P297" s="373" t="str">
        <f>IF(LEN($M297)=1,VLOOKUP(LEFT($M297,1),B296:I303,6,FALSE),IF(LEN($M297)=2,VLOOKUP(LEFT($M297,1),B296:I303,8,FALSE),""))</f>
        <v>Jemima Spiller</v>
      </c>
      <c r="Q297" s="341" t="s">
        <v>272</v>
      </c>
      <c r="R297" s="146" t="str">
        <f t="shared" si="251"/>
        <v>M</v>
      </c>
      <c r="S297" s="927" t="s">
        <v>821</v>
      </c>
      <c r="T297" s="927" t="s">
        <v>1040</v>
      </c>
      <c r="U297" s="353" t="str">
        <f>IF(LEN($S297)=1,VLOOKUP(LEFT($S297,1),B296:I303,5,FALSE),IF(LEN($S297)=2,VLOOKUP(LEFT($S297,1),B296:I303,7,FALSE),""))</f>
        <v>MM</v>
      </c>
      <c r="V297" s="373" t="str">
        <f>IF(LEN($S297)=1,VLOOKUP(LEFT($S297,1),B296:I303,6,FALSE),IF(LEN($S297)=2,VLOOKUP(LEFT($S297,1),B296:I303,8,FALSE),""))</f>
        <v>Lola Fitter</v>
      </c>
      <c r="W297" s="417">
        <f>W296-1</f>
        <v>7</v>
      </c>
      <c r="Y297" s="417">
        <v>12</v>
      </c>
      <c r="Z297" s="16" t="str">
        <f t="shared" si="252"/>
        <v>Rugby</v>
      </c>
      <c r="AA297" s="146" t="str">
        <f t="shared" si="253"/>
        <v>Sol</v>
      </c>
      <c r="AC297" s="16" t="str">
        <f t="shared" si="254"/>
        <v>U</v>
      </c>
      <c r="AD297" s="419" t="str">
        <f t="shared" si="254"/>
        <v>Kidder &amp; Stourport</v>
      </c>
      <c r="AE297" s="419">
        <f>IF(ISNA(MATCH(AC297,N296:N305,0)),0,VLOOKUP(AC297,N296:S305,5,FALSE))</f>
        <v>0</v>
      </c>
      <c r="AF297" s="419" t="str">
        <f>IF(ISNA(MATCH(AC297,T296:T305,0))," ",VLOOKUP(AC297,T296:Y305,5,FALSE))</f>
        <v xml:space="preserve"> </v>
      </c>
      <c r="AG297" s="419">
        <f>IF(ISNA(MATCH(AC297,L296:L303,0)),0,VLOOKUP(AC297,L296:N303,3,FALSE))</f>
        <v>0</v>
      </c>
      <c r="AH297" s="419">
        <f>IF(ISNA(MATCH(AC297,R296:R303,0)),0,VLOOKUP(AC297,R296:T303,3,FALSE))</f>
        <v>0</v>
      </c>
      <c r="AI297" s="419">
        <f>IF(ISNA(MATCH(AC297,L296:L303,0)),0,VLOOKUP(AC297,L296:P303,4,FALSE))</f>
        <v>0</v>
      </c>
      <c r="AJ297" s="419">
        <f>IF(ISNA(MATCH(AC297,R296:R303,0)),0,VLOOKUP(AC297,R296:U303,4,FALSE))</f>
        <v>0</v>
      </c>
      <c r="AK297" s="32">
        <f t="shared" si="255"/>
        <v>0</v>
      </c>
      <c r="AL297" s="32">
        <f t="shared" si="256"/>
        <v>0</v>
      </c>
      <c r="AM297" s="32">
        <f>IF(ISNA(MATCH(AC297,L296:L303,0)),0,VLOOKUP(AC297,L296:W303,AM$1,FALSE))</f>
        <v>0</v>
      </c>
      <c r="AN297" s="146">
        <f>IF(ISNA(MATCH(AC297,R296:R303,0)),0,VLOOKUP(AC297,R296:W303,AN$1,FALSE))</f>
        <v>0</v>
      </c>
      <c r="AP297" s="927"/>
      <c r="AQ297" s="927"/>
    </row>
    <row r="298" spans="1:47" ht="15.6" x14ac:dyDescent="0.3">
      <c r="A298" s="417">
        <f t="shared" ref="A298:A303" si="257">A297+1</f>
        <v>263</v>
      </c>
      <c r="B298" s="362" t="str">
        <f>'Event Details'!D$24</f>
        <v>G</v>
      </c>
      <c r="C298" s="381" t="str">
        <f>'Event Details'!E$24</f>
        <v>Royal Sutton</v>
      </c>
      <c r="D298" s="379"/>
      <c r="E298" s="378"/>
      <c r="F298" s="363" t="str">
        <f>VLOOKUP($B295,IF($H295="F",TeamSheetFemale,TeamSheetMale),$Y298-1,FALSE)</f>
        <v>G</v>
      </c>
      <c r="G298" s="380" t="str">
        <f>VLOOKUP($B295,IF($H295="F",TeamSheetFemale,TeamSheetMale),$Y298,FALSE)</f>
        <v>Freya Rankin</v>
      </c>
      <c r="H298" s="363" t="str">
        <f>VLOOKUP($B295,IF($H295="F",TeamSheetFemale,TeamSheetMale),$Y298+1,FALSE)</f>
        <v>GG</v>
      </c>
      <c r="I298" s="364">
        <f>VLOOKUP($B295,IF($H295="F",TeamSheetFemale,TeamSheetMale),$Y298+2,FALSE)</f>
        <v>0</v>
      </c>
      <c r="K298" s="341" t="s">
        <v>273</v>
      </c>
      <c r="L298" s="16" t="str">
        <f t="shared" si="250"/>
        <v>F</v>
      </c>
      <c r="M298" s="927" t="s">
        <v>142</v>
      </c>
      <c r="N298" s="927" t="s">
        <v>1034</v>
      </c>
      <c r="O298" s="353" t="str">
        <f>IF(LEN($M298)=1,VLOOKUP(LEFT($M298,1),B296:I303,5,FALSE),IF(LEN($M298)=2,VLOOKUP(LEFT($M298,1),B296:I303,7,FALSE),""))</f>
        <v>F</v>
      </c>
      <c r="P298" s="373" t="str">
        <f>IF(LEN($M298)=1,VLOOKUP(LEFT($M298,1),B296:I303,6,FALSE),IF(LEN($M298)=2,VLOOKUP(LEFT($M298,1),B296:I303,8,FALSE),""))</f>
        <v>Robyn Edwards</v>
      </c>
      <c r="Q298" s="341" t="s">
        <v>273</v>
      </c>
      <c r="R298" s="146" t="str">
        <f t="shared" si="251"/>
        <v>F</v>
      </c>
      <c r="S298" s="927" t="s">
        <v>576</v>
      </c>
      <c r="T298" s="927" t="s">
        <v>1041</v>
      </c>
      <c r="U298" s="353" t="str">
        <f>IF(LEN($S298)=1,VLOOKUP(LEFT($S298,1),B296:I303,5,FALSE),IF(LEN($S298)=2,VLOOKUP(LEFT($S298,1),B296:I303,7,FALSE),""))</f>
        <v>FF</v>
      </c>
      <c r="V298" s="373" t="str">
        <f>IF(LEN($S298)=1,VLOOKUP(LEFT($S298,1),B296:I303,6,FALSE),IF(LEN($S298)=2,VLOOKUP(LEFT($S298,1),B296:I303,8,FALSE),""))</f>
        <v>Evie Edmead</v>
      </c>
      <c r="W298" s="417">
        <f t="shared" ref="W298:W303" si="258">W297-1</f>
        <v>6</v>
      </c>
      <c r="Y298" s="417">
        <v>17</v>
      </c>
      <c r="Z298" s="16" t="str">
        <f t="shared" si="252"/>
        <v>Tam</v>
      </c>
      <c r="AA298" s="146" t="str">
        <f t="shared" si="253"/>
        <v>Tam</v>
      </c>
      <c r="AB298" s="32"/>
      <c r="AC298" s="16" t="str">
        <f t="shared" si="254"/>
        <v>G</v>
      </c>
      <c r="AD298" s="419" t="str">
        <f t="shared" si="254"/>
        <v>Royal Sutton</v>
      </c>
      <c r="AE298" s="419">
        <f>IF(ISNA(MATCH(AC298,N296:N305,0)),0,VLOOKUP(AC298,N296:S305,5,FALSE))</f>
        <v>0</v>
      </c>
      <c r="AF298" s="419" t="str">
        <f>IF(ISNA(MATCH(AC298,T296:T305,0))," ",VLOOKUP(AC298,T296:Y305,5,FALSE))</f>
        <v xml:space="preserve"> </v>
      </c>
      <c r="AG298" s="419" t="str">
        <f>IF(ISNA(MATCH(AC298,L296:L303,0)),0,VLOOKUP(AC298,L296:N303,3,FALSE))</f>
        <v>2.39.0</v>
      </c>
      <c r="AH298" s="419">
        <f>IF(ISNA(MATCH(AC298,R296:R303,0)),0,VLOOKUP(AC298,R296:T303,3,FALSE))</f>
        <v>0</v>
      </c>
      <c r="AI298" s="419" t="str">
        <f>IF(ISNA(MATCH(AC298,L296:L303,0)),0,VLOOKUP(AC298,L296:P303,4,FALSE))</f>
        <v>G</v>
      </c>
      <c r="AJ298" s="419">
        <f>IF(ISNA(MATCH(AC298,R296:R303,0)),0,VLOOKUP(AC298,R296:U303,4,FALSE))</f>
        <v>0</v>
      </c>
      <c r="AK298" s="32">
        <f t="shared" si="255"/>
        <v>5</v>
      </c>
      <c r="AL298" s="32">
        <f t="shared" si="256"/>
        <v>0</v>
      </c>
      <c r="AM298" s="32">
        <f>IF(ISNA(MATCH(AC298,L296:L303,0)),0,VLOOKUP(AC298,L296:W303,AM$1,FALSE))</f>
        <v>4</v>
      </c>
      <c r="AN298" s="146">
        <f>IF(ISNA(MATCH(AC298,R296:R303,0)),0,VLOOKUP(AC298,R296:W303,AN$1,FALSE))</f>
        <v>0</v>
      </c>
      <c r="AP298" s="927"/>
      <c r="AQ298" s="927"/>
    </row>
    <row r="299" spans="1:47" ht="15.6" x14ac:dyDescent="0.3">
      <c r="A299" s="417">
        <f t="shared" si="257"/>
        <v>264</v>
      </c>
      <c r="B299" s="362" t="str">
        <f>'Event Details'!D$25</f>
        <v>R</v>
      </c>
      <c r="C299" s="381" t="str">
        <f>'Event Details'!E$25</f>
        <v>Rugby &amp; N'hampton</v>
      </c>
      <c r="D299" s="379"/>
      <c r="E299" s="378"/>
      <c r="F299" s="363" t="str">
        <f>VLOOKUP($B295,IF($H295="F",TeamSheetFemale,TeamSheetMale),$Y299-1,FALSE)</f>
        <v>R</v>
      </c>
      <c r="G299" s="380" t="str">
        <f>VLOOKUP($B295,IF($H295="F",TeamSheetFemale,TeamSheetMale),$Y299,FALSE)</f>
        <v>Jemima Spiller</v>
      </c>
      <c r="H299" s="363" t="str">
        <f>VLOOKUP($B295,IF($H295="F",TeamSheetFemale,TeamSheetMale),$Y299+1,FALSE)</f>
        <v>RR</v>
      </c>
      <c r="I299" s="364" t="str">
        <f>VLOOKUP($B295,IF($H295="F",TeamSheetFemale,TeamSheetMale),$Y299+2,FALSE)</f>
        <v>Florence Lambert</v>
      </c>
      <c r="K299" s="341" t="s">
        <v>274</v>
      </c>
      <c r="L299" s="16" t="str">
        <f t="shared" si="250"/>
        <v>D</v>
      </c>
      <c r="M299" s="927" t="s">
        <v>136</v>
      </c>
      <c r="N299" s="927" t="s">
        <v>1035</v>
      </c>
      <c r="O299" s="353" t="str">
        <f>IF(LEN($M299)=1,VLOOKUP(LEFT($M299,1),B296:I303,5,FALSE),IF(LEN($M299)=2,VLOOKUP(LEFT($M299,1),B296:I303,7,FALSE),""))</f>
        <v>D</v>
      </c>
      <c r="P299" s="373" t="str">
        <f>IF(LEN($M299)=1,VLOOKUP(LEFT($M299,1),B296:I303,6,FALSE),IF(LEN($M299)=2,VLOOKUP(LEFT($M299,1),B296:I303,8,FALSE),""))</f>
        <v>Annabel Stacey</v>
      </c>
      <c r="Q299" s="341" t="s">
        <v>274</v>
      </c>
      <c r="R299" s="146" t="str">
        <f t="shared" si="251"/>
        <v>R</v>
      </c>
      <c r="S299" s="927" t="s">
        <v>819</v>
      </c>
      <c r="T299" s="927" t="s">
        <v>965</v>
      </c>
      <c r="U299" s="353" t="str">
        <f>IF(LEN($S299)=1,VLOOKUP(LEFT($S299,1),B296:I303,5,FALSE),IF(LEN($S299)=2,VLOOKUP(LEFT($S299,1),B296:I303,7,FALSE),""))</f>
        <v>RR</v>
      </c>
      <c r="V299" s="373" t="str">
        <f>IF(LEN($S299)=1,VLOOKUP(LEFT($S299,1),B296:I303,6,FALSE),IF(LEN($S299)=2,VLOOKUP(LEFT($S299,1),B296:I303,8,FALSE),""))</f>
        <v>Florence Lambert</v>
      </c>
      <c r="W299" s="417">
        <f t="shared" si="258"/>
        <v>5</v>
      </c>
      <c r="Y299" s="417">
        <v>22</v>
      </c>
      <c r="Z299" s="16" t="str">
        <f t="shared" si="252"/>
        <v>Strat</v>
      </c>
      <c r="AA299" s="146" t="str">
        <f t="shared" si="253"/>
        <v>Rugby</v>
      </c>
      <c r="AB299" s="32"/>
      <c r="AC299" s="16" t="str">
        <f t="shared" si="254"/>
        <v>R</v>
      </c>
      <c r="AD299" s="419" t="str">
        <f t="shared" si="254"/>
        <v>Rugby &amp; N'hampton</v>
      </c>
      <c r="AE299" s="419">
        <f>IF(ISNA(MATCH(AC299,N296:N305,0)),0,VLOOKUP(AC299,N296:S305,5,FALSE))</f>
        <v>0</v>
      </c>
      <c r="AF299" s="419" t="str">
        <f>IF(ISNA(MATCH(AC299,T296:T305,0))," ",VLOOKUP(AC299,T296:Y305,5,FALSE))</f>
        <v xml:space="preserve"> </v>
      </c>
      <c r="AG299" s="419" t="str">
        <f>IF(ISNA(MATCH(AC299,L296:L303,0)),0,VLOOKUP(AC299,L296:N303,3,FALSE))</f>
        <v>2.28.0</v>
      </c>
      <c r="AH299" s="419" t="str">
        <f>IF(ISNA(MATCH(AC299,R296:R303,0)),0,VLOOKUP(AC299,R296:T303,3,FALSE))</f>
        <v>2.55.2</v>
      </c>
      <c r="AI299" s="419" t="str">
        <f>IF(ISNA(MATCH(AC299,L296:L303,0)),0,VLOOKUP(AC299,L296:P303,4,FALSE))</f>
        <v>R</v>
      </c>
      <c r="AJ299" s="419" t="str">
        <f>IF(ISNA(MATCH(AC299,R296:R303,0)),0,VLOOKUP(AC299,R296:U303,4,FALSE))</f>
        <v>RR</v>
      </c>
      <c r="AK299" s="32">
        <f t="shared" si="255"/>
        <v>2</v>
      </c>
      <c r="AL299" s="32">
        <f t="shared" si="256"/>
        <v>4</v>
      </c>
      <c r="AM299" s="32">
        <f>IF(ISNA(MATCH(AC299,L296:L303,0)),0,VLOOKUP(AC299,L296:W303,AM$1,FALSE))</f>
        <v>7</v>
      </c>
      <c r="AN299" s="146">
        <f>IF(ISNA(MATCH(AC299,R296:R303,0)),0,VLOOKUP(AC299,R296:W303,AN$1,FALSE))</f>
        <v>5</v>
      </c>
      <c r="AP299" s="927"/>
      <c r="AQ299" s="927"/>
    </row>
    <row r="300" spans="1:47" ht="15.6" x14ac:dyDescent="0.3">
      <c r="A300" s="417">
        <f t="shared" si="257"/>
        <v>265</v>
      </c>
      <c r="B300" s="362" t="str">
        <f>'Event Details'!D$26</f>
        <v>M</v>
      </c>
      <c r="C300" s="381" t="str">
        <f>'Event Details'!E$26</f>
        <v>Solihull &amp; S.Heath</v>
      </c>
      <c r="D300" s="379"/>
      <c r="E300" s="378"/>
      <c r="F300" s="363" t="str">
        <f>VLOOKUP($B295,IF($H295="F",TeamSheetFemale,TeamSheetMale),$Y300-1,FALSE)</f>
        <v>M</v>
      </c>
      <c r="G300" s="380" t="str">
        <f>VLOOKUP($B295,IF($H295="F",TeamSheetFemale,TeamSheetMale),$Y300,FALSE)</f>
        <v>Orlagh Murphy</v>
      </c>
      <c r="H300" s="363" t="str">
        <f>VLOOKUP($B295,IF($H295="F",TeamSheetFemale,TeamSheetMale),$Y300+1,FALSE)</f>
        <v>MM</v>
      </c>
      <c r="I300" s="364" t="str">
        <f>VLOOKUP($B295,IF($H295="F",TeamSheetFemale,TeamSheetMale),$Y300+2,FALSE)</f>
        <v>Lola Fitter</v>
      </c>
      <c r="K300" s="341" t="s">
        <v>275</v>
      </c>
      <c r="L300" s="16" t="str">
        <f t="shared" si="250"/>
        <v>G</v>
      </c>
      <c r="M300" s="927" t="s">
        <v>110</v>
      </c>
      <c r="N300" s="927" t="s">
        <v>1036</v>
      </c>
      <c r="O300" s="353" t="str">
        <f>IF(LEN($M300)=1,VLOOKUP(LEFT($M300,1),B296:I303,5,FALSE),IF(LEN($M300)=2,VLOOKUP(LEFT($M300,1),B296:I303,7,FALSE),""))</f>
        <v>G</v>
      </c>
      <c r="P300" s="373" t="str">
        <f>IF(LEN($M300)=1,VLOOKUP(LEFT($M300,1),B296:I303,6,FALSE),IF(LEN($M300)=2,VLOOKUP(LEFT($M300,1),B296:I303,8,FALSE),""))</f>
        <v>Freya Rankin</v>
      </c>
      <c r="Q300" s="341" t="s">
        <v>275</v>
      </c>
      <c r="R300" s="146" t="str">
        <f t="shared" si="251"/>
        <v>S</v>
      </c>
      <c r="S300" s="927" t="s">
        <v>818</v>
      </c>
      <c r="T300" s="927" t="s">
        <v>1042</v>
      </c>
      <c r="U300" s="353" t="str">
        <f>IF(LEN($S300)=1,VLOOKUP(LEFT($S300,1),B296:I303,5,FALSE),IF(LEN($S300)=2,VLOOKUP(LEFT($S300,1),B296:I303,7,FALSE),""))</f>
        <v>SS</v>
      </c>
      <c r="V300" s="373" t="str">
        <f>IF(LEN($S300)=1,VLOOKUP(LEFT($S300,1),B296:I303,6,FALSE),IF(LEN($S300)=2,VLOOKUP(LEFT($S300,1),B296:I303,8,FALSE),""))</f>
        <v>Isabel Pickering</v>
      </c>
      <c r="W300" s="417">
        <f t="shared" si="258"/>
        <v>4</v>
      </c>
      <c r="Y300" s="417">
        <v>27</v>
      </c>
      <c r="Z300" s="16" t="str">
        <f t="shared" si="252"/>
        <v>Royal</v>
      </c>
      <c r="AA300" s="146" t="str">
        <f t="shared" si="253"/>
        <v>BRAT</v>
      </c>
      <c r="AB300" s="32"/>
      <c r="AC300" s="16" t="str">
        <f t="shared" si="254"/>
        <v>M</v>
      </c>
      <c r="AD300" s="419" t="str">
        <f t="shared" si="254"/>
        <v>Solihull &amp; S.Heath</v>
      </c>
      <c r="AE300" s="419">
        <f>IF(ISNA(MATCH(AC300,N296:N305,0)),0,VLOOKUP(AC300,N296:S305,5,FALSE))</f>
        <v>0</v>
      </c>
      <c r="AF300" s="419" t="str">
        <f>IF(ISNA(MATCH(AC300,T296:T305,0))," ",VLOOKUP(AC300,T296:Y305,5,FALSE))</f>
        <v xml:space="preserve"> </v>
      </c>
      <c r="AG300" s="419" t="str">
        <f>IF(ISNA(MATCH(AC300,L296:L303,0)),0,VLOOKUP(AC300,L296:N303,3,FALSE))</f>
        <v>2.24.3</v>
      </c>
      <c r="AH300" s="419" t="str">
        <f>IF(ISNA(MATCH(AC300,R296:R303,0)),0,VLOOKUP(AC300,R296:T303,3,FALSE))</f>
        <v>2.34.9</v>
      </c>
      <c r="AI300" s="419" t="str">
        <f>IF(ISNA(MATCH(AC300,L296:L303,0)),0,VLOOKUP(AC300,L296:P303,4,FALSE))</f>
        <v>M</v>
      </c>
      <c r="AJ300" s="419" t="str">
        <f>IF(ISNA(MATCH(AC300,R296:R303,0)),0,VLOOKUP(AC300,R296:U303,4,FALSE))</f>
        <v>MM</v>
      </c>
      <c r="AK300" s="32">
        <f t="shared" si="255"/>
        <v>1</v>
      </c>
      <c r="AL300" s="32">
        <f t="shared" si="256"/>
        <v>2</v>
      </c>
      <c r="AM300" s="32">
        <f>IF(ISNA(MATCH(AC300,L296:L303,0)),0,VLOOKUP(AC300,L296:W303,AM$1,FALSE))</f>
        <v>8</v>
      </c>
      <c r="AN300" s="146">
        <f>IF(ISNA(MATCH(AC300,R296:R303,0)),0,VLOOKUP(AC300,R296:W303,AN$1,FALSE))</f>
        <v>7</v>
      </c>
      <c r="AP300" s="927"/>
      <c r="AQ300" s="927"/>
    </row>
    <row r="301" spans="1:47" ht="15.6" x14ac:dyDescent="0.3">
      <c r="A301" s="417">
        <f t="shared" si="257"/>
        <v>266</v>
      </c>
      <c r="B301" s="362" t="str">
        <f>'Event Details'!D$27</f>
        <v>D</v>
      </c>
      <c r="C301" s="381" t="str">
        <f>'Event Details'!E$27</f>
        <v>Stratford</v>
      </c>
      <c r="D301" s="379"/>
      <c r="E301" s="378"/>
      <c r="F301" s="363" t="str">
        <f>VLOOKUP($B295,IF($H295="F",TeamSheetFemale,TeamSheetMale),$Y301-1,FALSE)</f>
        <v>D</v>
      </c>
      <c r="G301" s="380" t="str">
        <f>VLOOKUP($B295,IF($H295="F",TeamSheetFemale,TeamSheetMale),$Y301,FALSE)</f>
        <v>Annabel Stacey</v>
      </c>
      <c r="H301" s="363" t="str">
        <f>VLOOKUP($B295,IF($H295="F",TeamSheetFemale,TeamSheetMale),$Y301+1,FALSE)</f>
        <v>DD</v>
      </c>
      <c r="I301" s="364" t="str">
        <f>VLOOKUP($B295,IF($H295="F",TeamSheetFemale,TeamSheetMale),$Y301+2,FALSE)</f>
        <v>Lucia Ogilvie-Putt</v>
      </c>
      <c r="K301" s="341" t="s">
        <v>276</v>
      </c>
      <c r="L301" s="16" t="str">
        <f t="shared" si="250"/>
        <v>Y</v>
      </c>
      <c r="M301" s="927" t="s">
        <v>151</v>
      </c>
      <c r="N301" s="927" t="s">
        <v>1037</v>
      </c>
      <c r="O301" s="353" t="str">
        <f>IF(LEN($M301)=1,VLOOKUP(LEFT($M301,1),B296:I303,5,FALSE),IF(LEN($M301)=2,VLOOKUP(LEFT($M301,1),B296:I303,7,FALSE),""))</f>
        <v>Y</v>
      </c>
      <c r="P301" s="373" t="str">
        <f>IF(LEN($M301)=1,VLOOKUP(LEFT($M301,1),B296:I303,6,FALSE),IF(LEN($M301)=2,VLOOKUP(LEFT($M301,1),B296:I303,8,FALSE),""))</f>
        <v>Lucy Collins</v>
      </c>
      <c r="Q301" s="341" t="s">
        <v>276</v>
      </c>
      <c r="R301" s="146" t="str">
        <f t="shared" si="251"/>
        <v/>
      </c>
      <c r="S301" s="927"/>
      <c r="T301" s="927"/>
      <c r="U301" s="353" t="str">
        <f>IF(LEN($S301)=1,VLOOKUP(LEFT($S301,1),B296:I303,5,FALSE),IF(LEN($S301)=2,VLOOKUP(LEFT($S301,1),B296:I303,7,FALSE),""))</f>
        <v/>
      </c>
      <c r="V301" s="373" t="str">
        <f>IF(LEN($S301)=1,VLOOKUP(LEFT($S301,1),B296:I303,6,FALSE),IF(LEN($S301)=2,VLOOKUP(LEFT($S301,1),B296:I303,8,FALSE),""))</f>
        <v/>
      </c>
      <c r="W301" s="417">
        <f t="shared" si="258"/>
        <v>3</v>
      </c>
      <c r="Y301" s="417">
        <v>32</v>
      </c>
      <c r="Z301" s="16" t="str">
        <f t="shared" si="252"/>
        <v>Worc</v>
      </c>
      <c r="AA301" s="146">
        <f t="shared" si="253"/>
        <v>0</v>
      </c>
      <c r="AB301" s="32"/>
      <c r="AC301" s="16" t="str">
        <f t="shared" si="254"/>
        <v>D</v>
      </c>
      <c r="AD301" s="419" t="str">
        <f t="shared" si="254"/>
        <v>Stratford</v>
      </c>
      <c r="AE301" s="419">
        <f>IF(ISNA(MATCH(AC301,N296:N305,0)),0,VLOOKUP(AC301,N296:S305,5,FALSE))</f>
        <v>0</v>
      </c>
      <c r="AF301" s="419" t="str">
        <f>IF(ISNA(MATCH(AC301,T296:T305,0))," ",VLOOKUP(AC301,T296:Y305,5,FALSE))</f>
        <v xml:space="preserve"> </v>
      </c>
      <c r="AG301" s="419" t="str">
        <f>IF(ISNA(MATCH(AC301,L296:L303,0)),0,VLOOKUP(AC301,L296:N303,3,FALSE))</f>
        <v>2.36.2</v>
      </c>
      <c r="AH301" s="419" t="str">
        <f>IF(ISNA(MATCH(AC301,R296:R303,0)),0,VLOOKUP(AC301,R296:T303,3,FALSE))</f>
        <v>2.32.9</v>
      </c>
      <c r="AI301" s="419" t="str">
        <f>IF(ISNA(MATCH(AC301,L296:L303,0)),0,VLOOKUP(AC301,L296:P303,4,FALSE))</f>
        <v>D</v>
      </c>
      <c r="AJ301" s="419" t="str">
        <f>IF(ISNA(MATCH(AC301,R296:R303,0)),0,VLOOKUP(AC301,R296:U303,4,FALSE))</f>
        <v>DD</v>
      </c>
      <c r="AK301" s="32">
        <f t="shared" si="255"/>
        <v>4</v>
      </c>
      <c r="AL301" s="32">
        <f t="shared" si="256"/>
        <v>1</v>
      </c>
      <c r="AM301" s="32">
        <f>IF(ISNA(MATCH(AC301,L296:L303,0)),0,VLOOKUP(AC301,L296:W303,AM$1,FALSE))</f>
        <v>5</v>
      </c>
      <c r="AN301" s="146">
        <f>IF(ISNA(MATCH(AC301,R296:R303,0)),0,VLOOKUP(AC301,R296:W303,AN$1,FALSE))</f>
        <v>8</v>
      </c>
      <c r="AP301" s="927"/>
      <c r="AQ301" s="927"/>
    </row>
    <row r="302" spans="1:47" ht="15.6" x14ac:dyDescent="0.3">
      <c r="A302" s="417">
        <f t="shared" si="257"/>
        <v>267</v>
      </c>
      <c r="B302" s="362" t="str">
        <f>'Event Details'!D$28</f>
        <v>F</v>
      </c>
      <c r="C302" s="381" t="str">
        <f>'Event Details'!E$28</f>
        <v>Tamworth</v>
      </c>
      <c r="D302" s="379"/>
      <c r="E302" s="378"/>
      <c r="F302" s="363" t="str">
        <f>VLOOKUP($B295,IF($H295="F",TeamSheetFemale,TeamSheetMale),$Y302-1,FALSE)</f>
        <v>F</v>
      </c>
      <c r="G302" s="380" t="str">
        <f>VLOOKUP($B295,IF($H295="F",TeamSheetFemale,TeamSheetMale),$Y302,FALSE)</f>
        <v>Robyn Edwards</v>
      </c>
      <c r="H302" s="363" t="str">
        <f>VLOOKUP($B295,IF($H295="F",TeamSheetFemale,TeamSheetMale),$Y302+1,FALSE)</f>
        <v>FF</v>
      </c>
      <c r="I302" s="364" t="str">
        <f>VLOOKUP($B295,IF($H295="F",TeamSheetFemale,TeamSheetMale),$Y302+2,FALSE)</f>
        <v>Evie Edmead</v>
      </c>
      <c r="K302" s="341" t="s">
        <v>277</v>
      </c>
      <c r="L302" s="16" t="str">
        <f t="shared" si="250"/>
        <v>S</v>
      </c>
      <c r="M302" s="927" t="s">
        <v>100</v>
      </c>
      <c r="N302" s="927" t="s">
        <v>1038</v>
      </c>
      <c r="O302" s="353" t="str">
        <f>IF(LEN($M302)=1,VLOOKUP(LEFT($M302,1),B296:I303,5,FALSE),IF(LEN($M302)=2,VLOOKUP(LEFT($M302,1),B296:I303,7,FALSE),""))</f>
        <v>S</v>
      </c>
      <c r="P302" s="373" t="str">
        <f>IF(LEN($M302)=1,VLOOKUP(LEFT($M302,1),B296:I303,6,FALSE),IF(LEN($M302)=2,VLOOKUP(LEFT($M302,1),B296:I303,8,FALSE),""))</f>
        <v xml:space="preserve">
Maiara Dalmedo</v>
      </c>
      <c r="Q302" s="341" t="s">
        <v>277</v>
      </c>
      <c r="R302" s="146" t="str">
        <f t="shared" si="251"/>
        <v/>
      </c>
      <c r="S302" s="927"/>
      <c r="T302" s="927"/>
      <c r="U302" s="353" t="str">
        <f>IF(LEN($S302)=1,VLOOKUP(LEFT($S302,1),B296:I303,5,FALSE),IF(LEN($S302)=2,VLOOKUP(LEFT($S302,1),B296:I303,7,FALSE),""))</f>
        <v/>
      </c>
      <c r="V302" s="373" t="str">
        <f>IF(LEN($S302)=1,VLOOKUP(LEFT($S302,1),B296:I303,6,FALSE),IF(LEN($S302)=2,VLOOKUP(LEFT($S302,1),B296:I303,8,FALSE),""))</f>
        <v/>
      </c>
      <c r="W302" s="417">
        <f t="shared" si="258"/>
        <v>2</v>
      </c>
      <c r="Y302" s="417">
        <v>37</v>
      </c>
      <c r="Z302" s="16" t="str">
        <f t="shared" si="252"/>
        <v>BRAT</v>
      </c>
      <c r="AA302" s="146">
        <f t="shared" si="253"/>
        <v>0</v>
      </c>
      <c r="AB302" s="32"/>
      <c r="AC302" s="16" t="str">
        <f t="shared" si="254"/>
        <v>F</v>
      </c>
      <c r="AD302" s="419" t="str">
        <f t="shared" si="254"/>
        <v>Tamworth</v>
      </c>
      <c r="AE302" s="419">
        <f>IF(ISNA(MATCH(AC302,N294:N303,0)),0,VLOOKUP(AC302,N294:S303,5,FALSE))</f>
        <v>0</v>
      </c>
      <c r="AF302" s="419" t="str">
        <f>IF(ISNA(MATCH(AC302,T294:T303,0))," ",VLOOKUP(AC302,T294:Y303,5,FALSE))</f>
        <v xml:space="preserve"> </v>
      </c>
      <c r="AG302" s="419" t="str">
        <f>IF(ISNA(MATCH(AC302,L296:L303,0)),0,VLOOKUP(AC302,L296:N303,3,FALSE))</f>
        <v>2.34.3</v>
      </c>
      <c r="AH302" s="419" t="str">
        <f>IF(ISNA(MATCH(AC302,R296:R303,0)),0,VLOOKUP(AC302,R296:T303,3,FALSE))</f>
        <v>2.37.9</v>
      </c>
      <c r="AI302" s="419" t="str">
        <f>IF(ISNA(MATCH(AC302,L296:L303,0)),0,VLOOKUP(AC302,L296:P303,4,FALSE))</f>
        <v>F</v>
      </c>
      <c r="AJ302" s="419" t="str">
        <f>IF(ISNA(MATCH(AC302,R296:R303,0)),0,VLOOKUP(AC302,R296:U303,4,FALSE))</f>
        <v>FF</v>
      </c>
      <c r="AK302" s="32">
        <f t="shared" si="255"/>
        <v>3</v>
      </c>
      <c r="AL302" s="32">
        <f t="shared" si="256"/>
        <v>3</v>
      </c>
      <c r="AM302" s="32">
        <f>IF(ISNA(MATCH(AC302,L296:L303,0)),0,VLOOKUP(AC302,L296:W303,AM$1,FALSE))</f>
        <v>6</v>
      </c>
      <c r="AN302" s="146">
        <f>IF(ISNA(MATCH(AC302,R296:R303,0)),0,VLOOKUP(AC302,R296:W303,AN$1,FALSE))</f>
        <v>6</v>
      </c>
      <c r="AP302" s="927"/>
      <c r="AQ302" s="927"/>
    </row>
    <row r="303" spans="1:47" ht="16.2" thickBot="1" x14ac:dyDescent="0.35">
      <c r="A303" s="418">
        <f t="shared" si="257"/>
        <v>268</v>
      </c>
      <c r="B303" s="365" t="str">
        <f>'Event Details'!D$29</f>
        <v>Y</v>
      </c>
      <c r="C303" s="366" t="str">
        <f>'Event Details'!E$29</f>
        <v>Worcester</v>
      </c>
      <c r="D303" s="361"/>
      <c r="E303" s="370"/>
      <c r="F303" s="367" t="str">
        <f>VLOOKUP($B295,IF($H295="F",TeamSheetFemale,TeamSheetMale),$Y303-1,FALSE)</f>
        <v>Y</v>
      </c>
      <c r="G303" s="368" t="str">
        <f>VLOOKUP($B295,IF($H295="F",TeamSheetFemale,TeamSheetMale),$Y303,FALSE)</f>
        <v>Lucy Collins</v>
      </c>
      <c r="H303" s="367">
        <f>VLOOKUP($B295,IF($H295="F",TeamSheetFemale,TeamSheetMale),$Y303+1,FALSE)</f>
        <v>0</v>
      </c>
      <c r="I303" s="369">
        <f>VLOOKUP($B295,IF($H295="F",TeamSheetFemale,TeamSheetMale),$Y303+2,FALSE)</f>
        <v>0</v>
      </c>
      <c r="K303" s="346" t="s">
        <v>278</v>
      </c>
      <c r="L303" s="25" t="str">
        <f t="shared" si="250"/>
        <v/>
      </c>
      <c r="M303" s="928"/>
      <c r="N303" s="932"/>
      <c r="O303" s="375" t="str">
        <f>IF(LEN($M303)=1,VLOOKUP(LEFT($M303,1),B296:I303,5,FALSE),IF(LEN($M303)=2,VLOOKUP(LEFT($M303,1),B296:I303,7,FALSE),""))</f>
        <v/>
      </c>
      <c r="P303" s="376" t="str">
        <f>IF(LEN($M303)=1,VLOOKUP(LEFT($M303,1),B296:I303,6,FALSE),IF(LEN($M303)=2,VLOOKUP(LEFT($M303,1),B296:I303,8,FALSE),""))</f>
        <v/>
      </c>
      <c r="Q303" s="346" t="s">
        <v>278</v>
      </c>
      <c r="R303" s="523" t="str">
        <f t="shared" si="251"/>
        <v/>
      </c>
      <c r="S303" s="928"/>
      <c r="T303" s="932"/>
      <c r="U303" s="375" t="str">
        <f>IF(LEN($S303)=1,VLOOKUP(LEFT($S303,1),B296:I303,5,FALSE),IF(LEN($S303)=2,VLOOKUP(LEFT($S303,1),B296:I303,7,FALSE),""))</f>
        <v/>
      </c>
      <c r="V303" s="376" t="str">
        <f>IF(LEN($S303)=1,VLOOKUP(LEFT($S303,1),B296:I303,6,FALSE),IF(LEN($S303)=2,VLOOKUP(LEFT($S303,1),B296:I303,8,FALSE),""))</f>
        <v/>
      </c>
      <c r="W303" s="418">
        <f t="shared" si="258"/>
        <v>1</v>
      </c>
      <c r="Y303" s="418">
        <v>42</v>
      </c>
      <c r="Z303" s="25">
        <f t="shared" si="252"/>
        <v>0</v>
      </c>
      <c r="AA303" s="523">
        <f t="shared" si="253"/>
        <v>0</v>
      </c>
      <c r="AB303" s="32"/>
      <c r="AC303" s="25" t="str">
        <f t="shared" si="254"/>
        <v>Y</v>
      </c>
      <c r="AD303" s="624" t="str">
        <f t="shared" si="254"/>
        <v>Worcester</v>
      </c>
      <c r="AE303" s="624">
        <f>IF(ISNA(MATCH(AC303,N295:N304,0)),0,VLOOKUP(AC303,N295:S304,5,FALSE))</f>
        <v>0</v>
      </c>
      <c r="AF303" s="624" t="str">
        <f t="shared" ref="AF303" si="259">IF(ISNA(MATCH(AC303,T295:T304,0))," ",VLOOKUP(AC303,T295:Y304,5,FALSE))</f>
        <v xml:space="preserve"> </v>
      </c>
      <c r="AG303" s="624" t="str">
        <f>IF(ISNA(MATCH(AC303,L296:L303,0)),0,VLOOKUP(AC303,L296:N303,3,FALSE))</f>
        <v>2.40.1</v>
      </c>
      <c r="AH303" s="624">
        <f>IF(ISNA(MATCH(AC303,R296:R303,0)),0,VLOOKUP(AC303,R296:T303,3,FALSE))</f>
        <v>0</v>
      </c>
      <c r="AI303" s="624" t="str">
        <f>IF(ISNA(MATCH(AC303,L296:L303,0)),0,VLOOKUP(AC303,L296:P303,4,FALSE))</f>
        <v>Y</v>
      </c>
      <c r="AJ303" s="624">
        <f>IF(ISNA(MATCH(AC303,R296:R303,0)),0,VLOOKUP(AC303,R296:U303,4,FALSE))</f>
        <v>0</v>
      </c>
      <c r="AK303" s="116">
        <f t="shared" si="255"/>
        <v>6</v>
      </c>
      <c r="AL303" s="116">
        <f t="shared" si="256"/>
        <v>0</v>
      </c>
      <c r="AM303" s="116">
        <f>IF(ISNA(MATCH(AC303,L296:L303,0)),0,VLOOKUP(AC303,L296:W303,AM$1,FALSE))</f>
        <v>3</v>
      </c>
      <c r="AN303" s="523">
        <f>IF(ISNA(MATCH(AC303,R296:R303,0)),0,VLOOKUP(AC303,R296:W303,AN$1,FALSE))</f>
        <v>0</v>
      </c>
      <c r="AP303" s="928"/>
      <c r="AQ303" s="932"/>
    </row>
    <row r="304" spans="1:47" ht="15" thickBot="1" x14ac:dyDescent="0.35">
      <c r="M304" s="276"/>
      <c r="N304" s="307"/>
      <c r="S304" s="276"/>
      <c r="T304" s="307"/>
      <c r="AP304" s="276"/>
      <c r="AQ304" s="307"/>
    </row>
    <row r="305" spans="1:47" x14ac:dyDescent="0.3">
      <c r="B305" s="400" t="s">
        <v>258</v>
      </c>
      <c r="C305" s="398"/>
      <c r="D305" s="401" t="s">
        <v>165</v>
      </c>
      <c r="E305" s="398"/>
      <c r="F305" s="398"/>
      <c r="G305" s="402" t="s">
        <v>259</v>
      </c>
      <c r="H305" s="403" t="s">
        <v>249</v>
      </c>
      <c r="I305" s="404" t="s">
        <v>168</v>
      </c>
      <c r="K305" s="360"/>
      <c r="L305" s="661"/>
      <c r="M305" s="387" t="s">
        <v>260</v>
      </c>
      <c r="N305" s="387" t="s">
        <v>261</v>
      </c>
      <c r="O305" s="387" t="s">
        <v>262</v>
      </c>
      <c r="P305" s="388" t="s">
        <v>75</v>
      </c>
      <c r="Q305" s="412"/>
      <c r="R305" s="657"/>
      <c r="S305" s="387" t="s">
        <v>260</v>
      </c>
      <c r="T305" s="387" t="s">
        <v>261</v>
      </c>
      <c r="U305" s="387" t="s">
        <v>262</v>
      </c>
      <c r="V305" s="388" t="s">
        <v>75</v>
      </c>
      <c r="W305" s="672" t="s">
        <v>76</v>
      </c>
      <c r="Y305" s="654" t="s">
        <v>263</v>
      </c>
      <c r="Z305" s="656" t="s">
        <v>74</v>
      </c>
      <c r="AA305" s="657" t="s">
        <v>75</v>
      </c>
      <c r="AC305" s="665" t="s">
        <v>71</v>
      </c>
      <c r="AD305" s="657" t="s">
        <v>86</v>
      </c>
      <c r="AE305" s="661" t="s">
        <v>149</v>
      </c>
      <c r="AF305" s="661" t="s">
        <v>94</v>
      </c>
      <c r="AG305" s="661" t="s">
        <v>149</v>
      </c>
      <c r="AH305" s="661" t="s">
        <v>94</v>
      </c>
      <c r="AI305" s="661" t="s">
        <v>149</v>
      </c>
      <c r="AJ305" s="661" t="s">
        <v>94</v>
      </c>
      <c r="AK305" s="1332" t="s">
        <v>149</v>
      </c>
      <c r="AL305" s="661" t="s">
        <v>94</v>
      </c>
      <c r="AM305" s="1406" t="s">
        <v>76</v>
      </c>
      <c r="AN305" s="1407"/>
      <c r="AP305" s="387" t="s">
        <v>260</v>
      </c>
      <c r="AQ305" s="387" t="s">
        <v>261</v>
      </c>
      <c r="AS305" s="1218" t="s">
        <v>165</v>
      </c>
      <c r="AT305" s="1219" t="s">
        <v>79</v>
      </c>
      <c r="AU305" s="1220" t="s">
        <v>80</v>
      </c>
    </row>
    <row r="306" spans="1:47" ht="15" thickBot="1" x14ac:dyDescent="0.35">
      <c r="B306" s="405">
        <v>27</v>
      </c>
      <c r="C306" s="399"/>
      <c r="D306" s="385" t="str">
        <f>VLOOKUP($B306,EventOrder,6,FALSE)</f>
        <v xml:space="preserve">110m hurdles (U18) </v>
      </c>
      <c r="E306" s="399"/>
      <c r="F306" s="385"/>
      <c r="G306" s="386" t="str">
        <f>VLOOKUP($B306,EventOrder,4,FALSE)</f>
        <v>U18 Men</v>
      </c>
      <c r="H306" s="396" t="str">
        <f>IF(MID(G306,5,1)="F","F","M")</f>
        <v>M</v>
      </c>
      <c r="I306" s="397">
        <f>VLOOKUP($B306,EventOrder,2,FALSE)</f>
        <v>1.1000000000000001</v>
      </c>
      <c r="K306" s="372"/>
      <c r="L306" s="667" t="s">
        <v>149</v>
      </c>
      <c r="M306" s="409" t="s">
        <v>264</v>
      </c>
      <c r="N306" s="409" t="s">
        <v>265</v>
      </c>
      <c r="O306" s="409" t="s">
        <v>266</v>
      </c>
      <c r="P306" s="408"/>
      <c r="Q306" s="413"/>
      <c r="R306" s="659" t="s">
        <v>94</v>
      </c>
      <c r="S306" s="409" t="s">
        <v>264</v>
      </c>
      <c r="T306" s="409" t="s">
        <v>265</v>
      </c>
      <c r="U306" s="409" t="s">
        <v>266</v>
      </c>
      <c r="V306" s="408"/>
      <c r="W306" s="671"/>
      <c r="Y306" s="655" t="s">
        <v>167</v>
      </c>
      <c r="Z306" s="658" t="s">
        <v>149</v>
      </c>
      <c r="AA306" s="659" t="s">
        <v>94</v>
      </c>
      <c r="AC306" s="666"/>
      <c r="AD306" s="668"/>
      <c r="AE306" s="768" t="s">
        <v>75</v>
      </c>
      <c r="AF306" s="768" t="s">
        <v>75</v>
      </c>
      <c r="AG306" s="768" t="s">
        <v>267</v>
      </c>
      <c r="AH306" s="768" t="s">
        <v>267</v>
      </c>
      <c r="AI306" s="768" t="s">
        <v>268</v>
      </c>
      <c r="AJ306" s="768" t="s">
        <v>268</v>
      </c>
      <c r="AK306" s="770" t="s">
        <v>269</v>
      </c>
      <c r="AL306" s="768" t="s">
        <v>269</v>
      </c>
      <c r="AM306" s="667" t="s">
        <v>149</v>
      </c>
      <c r="AN306" s="659" t="s">
        <v>94</v>
      </c>
      <c r="AP306" s="409" t="s">
        <v>264</v>
      </c>
      <c r="AQ306" s="409" t="s">
        <v>265</v>
      </c>
      <c r="AS306" s="1221" t="s">
        <v>270</v>
      </c>
      <c r="AT306" s="1222" t="s">
        <v>270</v>
      </c>
      <c r="AU306" s="1223" t="s">
        <v>270</v>
      </c>
    </row>
    <row r="307" spans="1:47" ht="15.6" x14ac:dyDescent="0.3">
      <c r="A307" s="416">
        <f>(B306*10)+1</f>
        <v>271</v>
      </c>
      <c r="B307" s="362" t="str">
        <f>'Event Details'!D$22</f>
        <v>S</v>
      </c>
      <c r="C307" s="381" t="str">
        <f>'Event Details'!E$22</f>
        <v>BRAT</v>
      </c>
      <c r="D307" s="379"/>
      <c r="E307" s="378"/>
      <c r="F307" s="363">
        <f>VLOOKUP($B306,IF($H306="F",TeamSheetFemale,TeamSheetMale),$Y307-1,FALSE)</f>
        <v>0</v>
      </c>
      <c r="G307" s="380">
        <f>VLOOKUP($B306,IF($H306="F",TeamSheetFemale,TeamSheetMale),$Y307,FALSE)</f>
        <v>0</v>
      </c>
      <c r="H307" s="363">
        <f>VLOOKUP($B306,IF($H306="F",TeamSheetFemale,TeamSheetMale),$Y307+1,FALSE)</f>
        <v>0</v>
      </c>
      <c r="I307" s="364">
        <f>VLOOKUP($B306,IF($H306="F",TeamSheetFemale,TeamSheetMale),$Y307+2,FALSE)</f>
        <v>0</v>
      </c>
      <c r="K307" s="393" t="s">
        <v>271</v>
      </c>
      <c r="L307" s="16" t="str">
        <f t="shared" ref="L307:L314" si="260">LEFT(M307,1)</f>
        <v>M</v>
      </c>
      <c r="M307" s="926" t="s">
        <v>127</v>
      </c>
      <c r="N307" s="926">
        <v>15.3</v>
      </c>
      <c r="O307" s="394" t="str">
        <f>IF(LEN($M307)=1,VLOOKUP(LEFT($M307,1),B307:I314,5,FALSE),IF(LEN($M307)=2,VLOOKUP(LEFT($M307,1),B307:I314,7,FALSE),""))</f>
        <v>M</v>
      </c>
      <c r="P307" s="395" t="str">
        <f>IF(LEN($M307)=1,VLOOKUP(LEFT($M307,1),B307:I314,6,FALSE),IF(LEN($M307)=2,VLOOKUP(LEFT($M307,1),B307:I314,8,FALSE),""))</f>
        <v>Ben Hilton</v>
      </c>
      <c r="Q307" s="406" t="s">
        <v>271</v>
      </c>
      <c r="R307" s="146" t="str">
        <f t="shared" ref="R307:R314" si="261">LEFT(S307,1)</f>
        <v>D</v>
      </c>
      <c r="S307" s="926" t="s">
        <v>513</v>
      </c>
      <c r="T307" s="926">
        <v>17.600000000000001</v>
      </c>
      <c r="U307" s="394" t="str">
        <f>IF(LEN($S307)=1,VLOOKUP(LEFT($S307,1),B307:I314,5,FALSE),IF(LEN($S307)=2,VLOOKUP(LEFT($S307,1),B307:I314,7,FALSE),""))</f>
        <v>DD</v>
      </c>
      <c r="V307" s="395" t="str">
        <f>IF(LEN($S307)=1,VLOOKUP(LEFT($S307,1),B307:I314,6,FALSE),IF(LEN($S307)=2,VLOOKUP(LEFT($S307,1),B307:I314,8,FALSE),""))</f>
        <v>Will Hovell</v>
      </c>
      <c r="W307" s="417">
        <f>AN$6</f>
        <v>8</v>
      </c>
      <c r="Y307" s="653">
        <v>7</v>
      </c>
      <c r="Z307" s="653" t="str">
        <f t="shared" ref="Z307:Z314" si="262">IF(LEN(M307)&gt;0,VLOOKUP(LEFT(M307,1),ShortName,5,FALSE),0)</f>
        <v>Sol</v>
      </c>
      <c r="AA307" s="138" t="str">
        <f t="shared" ref="AA307:AA314" si="263">IF(LEN(S307)&gt;0,VLOOKUP(LEFT(S307,1),ShortName,5,FALSE),0)</f>
        <v>Strat</v>
      </c>
      <c r="AC307" s="16" t="str">
        <f t="shared" ref="AC307:AD314" si="264">B307</f>
        <v>S</v>
      </c>
      <c r="AD307" s="419" t="str">
        <f t="shared" si="264"/>
        <v>BRAT</v>
      </c>
      <c r="AE307" s="635">
        <f>IF(ISNA(MATCH(AC307,N307:N316,0)),0,VLOOKUP(AC307,N307:S316,5,FALSE))</f>
        <v>0</v>
      </c>
      <c r="AF307" s="635" t="str">
        <f>IF(ISNA(MATCH(AC307,T307:T316,0))," ",VLOOKUP(AC307,T307:Y316,5,FALSE))</f>
        <v xml:space="preserve"> </v>
      </c>
      <c r="AG307" s="635">
        <f>IF(ISNA(MATCH(AC307,L307:L314,0)),0,VLOOKUP(AC307,L307:N314,3,FALSE))</f>
        <v>0</v>
      </c>
      <c r="AH307" s="635">
        <f>IF(ISNA(MATCH(AC307,R307:R314,0)),0,VLOOKUP(AC307,R307:T314,3,FALSE))</f>
        <v>0</v>
      </c>
      <c r="AI307" s="635">
        <f>IF(ISNA(MATCH(AC307,L307:L314,0)),0,VLOOKUP(AC307,L307:P314,4,FALSE))</f>
        <v>0</v>
      </c>
      <c r="AJ307" s="635">
        <f>IF(ISNA(MATCH(AC307,R307:R314,0)),0,VLOOKUP(AC307,R307:U314,4,FALSE))</f>
        <v>0</v>
      </c>
      <c r="AK307" s="49">
        <f t="shared" ref="AK307:AK314" si="265">IF(AM307=0,0,AN$6-(AM307-1))</f>
        <v>0</v>
      </c>
      <c r="AL307" s="49">
        <f t="shared" ref="AL307:AL314" si="266">IF(AN307=0,0,AN$6-(AN307-1))</f>
        <v>0</v>
      </c>
      <c r="AM307" s="49">
        <f>IF(ISNA(MATCH(AC307,L307:L314,0)),0,VLOOKUP(AC307,L307:W314,AM$1,FALSE))</f>
        <v>0</v>
      </c>
      <c r="AN307" s="138">
        <f>IF(ISNA(MATCH(AC307,R307:R314,0)),0,VLOOKUP(AC307,R307:W314,AN$1,FALSE))</f>
        <v>0</v>
      </c>
      <c r="AP307" s="926"/>
      <c r="AQ307" s="926"/>
      <c r="AS307" s="32">
        <f>IF(LEN(N307)&gt;0,1,0)</f>
        <v>1</v>
      </c>
      <c r="AT307" s="32">
        <f>IF(AND(AS307=1,H306="M"),1,0)</f>
        <v>1</v>
      </c>
      <c r="AU307" s="32">
        <f>IF(AND(AS307=1,H306="F"),1,0)</f>
        <v>0</v>
      </c>
    </row>
    <row r="308" spans="1:47" ht="15.6" x14ac:dyDescent="0.3">
      <c r="A308" s="417">
        <f>A307+1</f>
        <v>272</v>
      </c>
      <c r="B308" s="362" t="str">
        <f>'Event Details'!D$23</f>
        <v>U</v>
      </c>
      <c r="C308" s="381" t="str">
        <f>'Event Details'!E$23</f>
        <v>Kidder &amp; Stourport</v>
      </c>
      <c r="D308" s="379"/>
      <c r="E308" s="378"/>
      <c r="F308" s="363">
        <f>VLOOKUP($B306,IF($H306="F",TeamSheetFemale,TeamSheetMale),$Y308-1,FALSE)</f>
        <v>0</v>
      </c>
      <c r="G308" s="380">
        <f>VLOOKUP($B306,IF($H306="F",TeamSheetFemale,TeamSheetMale),$Y308,FALSE)</f>
        <v>0</v>
      </c>
      <c r="H308" s="363">
        <f>VLOOKUP($B306,IF($H306="F",TeamSheetFemale,TeamSheetMale),$Y308+1,FALSE)</f>
        <v>0</v>
      </c>
      <c r="I308" s="364">
        <f>VLOOKUP($B306,IF($H306="F",TeamSheetFemale,TeamSheetMale),$Y308+2,FALSE)</f>
        <v>0</v>
      </c>
      <c r="K308" s="341" t="s">
        <v>272</v>
      </c>
      <c r="L308" s="16" t="str">
        <f t="shared" si="260"/>
        <v>D</v>
      </c>
      <c r="M308" s="927" t="s">
        <v>136</v>
      </c>
      <c r="N308" s="927">
        <v>16</v>
      </c>
      <c r="O308" s="354" t="str">
        <f>IF(LEN($M308)=1,VLOOKUP(LEFT($M308,1),B307:I314,5,FALSE),IF(LEN($M308)=2,VLOOKUP(LEFT($M308,1),B307:I314,7,FALSE),""))</f>
        <v>D</v>
      </c>
      <c r="P308" s="410" t="str">
        <f>IF(LEN($M308)=1,VLOOKUP(LEFT($M308,1),B307:I314,6,FALSE),IF(LEN($M308)=2,VLOOKUP(LEFT($M308,1),B307:I314,8,FALSE),""))</f>
        <v>Toby Thomas</v>
      </c>
      <c r="Q308" s="371" t="s">
        <v>272</v>
      </c>
      <c r="R308" s="146" t="str">
        <f t="shared" si="261"/>
        <v/>
      </c>
      <c r="S308" s="927"/>
      <c r="T308" s="927"/>
      <c r="U308" s="354" t="str">
        <f>IF(LEN($S308)=1,VLOOKUP(LEFT($S308,1),B307:I314,5,FALSE),IF(LEN($S308)=2,VLOOKUP(LEFT($S308,1),B307:I314,7,FALSE),""))</f>
        <v/>
      </c>
      <c r="V308" s="410" t="str">
        <f>IF(LEN($S308)=1,VLOOKUP(LEFT($S308,1),B307:I314,6,FALSE),IF(LEN($S308)=2,VLOOKUP(LEFT($S308,1),B307:I314,8,FALSE),""))</f>
        <v/>
      </c>
      <c r="W308" s="417">
        <f>W307-1</f>
        <v>7</v>
      </c>
      <c r="Y308" s="16">
        <v>12</v>
      </c>
      <c r="Z308" s="16" t="str">
        <f t="shared" si="262"/>
        <v>Strat</v>
      </c>
      <c r="AA308" s="146">
        <f t="shared" si="263"/>
        <v>0</v>
      </c>
      <c r="AC308" s="16" t="str">
        <f t="shared" si="264"/>
        <v>U</v>
      </c>
      <c r="AD308" s="419" t="str">
        <f t="shared" si="264"/>
        <v>Kidder &amp; Stourport</v>
      </c>
      <c r="AE308" s="419">
        <f>IF(ISNA(MATCH(AC308,N307:N316,0)),0,VLOOKUP(AC308,N307:S316,5,FALSE))</f>
        <v>0</v>
      </c>
      <c r="AF308" s="419" t="str">
        <f>IF(ISNA(MATCH(AC308,T307:T316,0))," ",VLOOKUP(AC308,T307:Y316,5,FALSE))</f>
        <v xml:space="preserve"> </v>
      </c>
      <c r="AG308" s="419">
        <f>IF(ISNA(MATCH(AC308,L307:L314,0)),0,VLOOKUP(AC308,L307:N314,3,FALSE))</f>
        <v>0</v>
      </c>
      <c r="AH308" s="419">
        <f>IF(ISNA(MATCH(AC308,R307:R314,0)),0,VLOOKUP(AC308,R307:T314,3,FALSE))</f>
        <v>0</v>
      </c>
      <c r="AI308" s="419">
        <f>IF(ISNA(MATCH(AC308,L307:L314,0)),0,VLOOKUP(AC308,L307:P314,4,FALSE))</f>
        <v>0</v>
      </c>
      <c r="AJ308" s="419">
        <f>IF(ISNA(MATCH(AC308,R307:R314,0)),0,VLOOKUP(AC308,R307:U314,4,FALSE))</f>
        <v>0</v>
      </c>
      <c r="AK308" s="32">
        <f t="shared" si="265"/>
        <v>0</v>
      </c>
      <c r="AL308" s="32">
        <f t="shared" si="266"/>
        <v>0</v>
      </c>
      <c r="AM308" s="32">
        <f>IF(ISNA(MATCH(AC308,L307:L314,0)),0,VLOOKUP(AC308,L307:W314,AM$1,FALSE))</f>
        <v>0</v>
      </c>
      <c r="AN308" s="146">
        <f>IF(ISNA(MATCH(AC308,R307:R314,0)),0,VLOOKUP(AC308,R307:W314,AN$1,FALSE))</f>
        <v>0</v>
      </c>
      <c r="AP308" s="927"/>
      <c r="AQ308" s="927"/>
    </row>
    <row r="309" spans="1:47" ht="15.6" x14ac:dyDescent="0.3">
      <c r="A309" s="417">
        <f t="shared" ref="A309:A314" si="267">A308+1</f>
        <v>273</v>
      </c>
      <c r="B309" s="362" t="str">
        <f>'Event Details'!D$24</f>
        <v>G</v>
      </c>
      <c r="C309" s="381" t="str">
        <f>'Event Details'!E$24</f>
        <v>Royal Sutton</v>
      </c>
      <c r="D309" s="379"/>
      <c r="E309" s="378"/>
      <c r="F309" s="363" t="str">
        <f>VLOOKUP($B306,IF($H306="F",TeamSheetFemale,TeamSheetMale),$Y309-1,FALSE)</f>
        <v>G</v>
      </c>
      <c r="G309" s="380">
        <f>VLOOKUP($B306,IF($H306="F",TeamSheetFemale,TeamSheetMale),$Y309,FALSE)</f>
        <v>0</v>
      </c>
      <c r="H309" s="363" t="str">
        <f>VLOOKUP($B306,IF($H306="F",TeamSheetFemale,TeamSheetMale),$Y309+1,FALSE)</f>
        <v>GG</v>
      </c>
      <c r="I309" s="364">
        <f>VLOOKUP($B306,IF($H306="F",TeamSheetFemale,TeamSheetMale),$Y309+2,FALSE)</f>
        <v>0</v>
      </c>
      <c r="K309" s="341" t="s">
        <v>273</v>
      </c>
      <c r="L309" s="16" t="str">
        <f t="shared" si="260"/>
        <v/>
      </c>
      <c r="M309" s="927"/>
      <c r="N309" s="927"/>
      <c r="O309" s="354" t="str">
        <f>IF(LEN($M309)=1,VLOOKUP(LEFT($M309,1),B307:I314,5,FALSE),IF(LEN($M309)=2,VLOOKUP(LEFT($M309,1),B307:I314,7,FALSE),""))</f>
        <v/>
      </c>
      <c r="P309" s="410" t="str">
        <f>IF(LEN($M309)=1,VLOOKUP(LEFT($M309,1),B307:I314,6,FALSE),IF(LEN($M309)=2,VLOOKUP(LEFT($M309,1),B307:I314,8,FALSE),""))</f>
        <v/>
      </c>
      <c r="Q309" s="371" t="s">
        <v>273</v>
      </c>
      <c r="R309" s="146" t="str">
        <f t="shared" si="261"/>
        <v/>
      </c>
      <c r="S309" s="927"/>
      <c r="T309" s="927"/>
      <c r="U309" s="354" t="str">
        <f>IF(LEN($S309)=1,VLOOKUP(LEFT($S309,1),B307:I314,5,FALSE),IF(LEN($S309)=2,VLOOKUP(LEFT($S309,1),B307:I314,7,FALSE),""))</f>
        <v/>
      </c>
      <c r="V309" s="410" t="str">
        <f>IF(LEN($S309)=1,VLOOKUP(LEFT($S309,1),B307:I314,6,FALSE),IF(LEN($S309)=2,VLOOKUP(LEFT($S309,1),B307:I314,8,FALSE),""))</f>
        <v/>
      </c>
      <c r="W309" s="417">
        <f t="shared" ref="W309:W314" si="268">W308-1</f>
        <v>6</v>
      </c>
      <c r="Y309" s="16">
        <v>17</v>
      </c>
      <c r="Z309" s="16">
        <f t="shared" si="262"/>
        <v>0</v>
      </c>
      <c r="AA309" s="146">
        <f t="shared" si="263"/>
        <v>0</v>
      </c>
      <c r="AC309" s="16" t="str">
        <f t="shared" si="264"/>
        <v>G</v>
      </c>
      <c r="AD309" s="419" t="str">
        <f t="shared" si="264"/>
        <v>Royal Sutton</v>
      </c>
      <c r="AE309" s="419">
        <f>IF(ISNA(MATCH(AC309,N307:N316,0)),0,VLOOKUP(AC309,N307:S316,5,FALSE))</f>
        <v>0</v>
      </c>
      <c r="AF309" s="419" t="str">
        <f>IF(ISNA(MATCH(AC309,T307:T316,0))," ",VLOOKUP(AC309,T307:Y316,5,FALSE))</f>
        <v xml:space="preserve"> </v>
      </c>
      <c r="AG309" s="419">
        <f>IF(ISNA(MATCH(AC309,L307:L314,0)),0,VLOOKUP(AC309,L307:N314,3,FALSE))</f>
        <v>0</v>
      </c>
      <c r="AH309" s="419">
        <f>IF(ISNA(MATCH(AC309,R307:R314,0)),0,VLOOKUP(AC309,R307:T314,3,FALSE))</f>
        <v>0</v>
      </c>
      <c r="AI309" s="419">
        <f>IF(ISNA(MATCH(AC309,L307:L314,0)),0,VLOOKUP(AC309,L307:P314,4,FALSE))</f>
        <v>0</v>
      </c>
      <c r="AJ309" s="419">
        <f>IF(ISNA(MATCH(AC309,R307:R314,0)),0,VLOOKUP(AC309,R307:U314,4,FALSE))</f>
        <v>0</v>
      </c>
      <c r="AK309" s="32">
        <f t="shared" si="265"/>
        <v>0</v>
      </c>
      <c r="AL309" s="32">
        <f t="shared" si="266"/>
        <v>0</v>
      </c>
      <c r="AM309" s="32">
        <f>IF(ISNA(MATCH(AC309,L307:L314,0)),0,VLOOKUP(AC309,L307:W314,AM$1,FALSE))</f>
        <v>0</v>
      </c>
      <c r="AN309" s="146">
        <f>IF(ISNA(MATCH(AC309,R307:R314,0)),0,VLOOKUP(AC309,R307:W314,AN$1,FALSE))</f>
        <v>0</v>
      </c>
      <c r="AP309" s="927"/>
      <c r="AQ309" s="927"/>
    </row>
    <row r="310" spans="1:47" ht="15.6" x14ac:dyDescent="0.3">
      <c r="A310" s="417">
        <f t="shared" si="267"/>
        <v>274</v>
      </c>
      <c r="B310" s="362" t="str">
        <f>'Event Details'!D$25</f>
        <v>R</v>
      </c>
      <c r="C310" s="381" t="str">
        <f>'Event Details'!E$25</f>
        <v>Rugby &amp; N'hampton</v>
      </c>
      <c r="D310" s="379"/>
      <c r="E310" s="378"/>
      <c r="F310" s="363" t="str">
        <f>VLOOKUP($B306,IF($H306="F",TeamSheetFemale,TeamSheetMale),$Y310-1,FALSE)</f>
        <v>R</v>
      </c>
      <c r="G310" s="380">
        <f>VLOOKUP($B306,IF($H306="F",TeamSheetFemale,TeamSheetMale),$Y310,FALSE)</f>
        <v>0</v>
      </c>
      <c r="H310" s="363" t="str">
        <f>VLOOKUP($B306,IF($H306="F",TeamSheetFemale,TeamSheetMale),$Y310+1,FALSE)</f>
        <v>RR</v>
      </c>
      <c r="I310" s="364">
        <f>VLOOKUP($B306,IF($H306="F",TeamSheetFemale,TeamSheetMale),$Y310+2,FALSE)</f>
        <v>0</v>
      </c>
      <c r="K310" s="341" t="s">
        <v>274</v>
      </c>
      <c r="L310" s="16" t="str">
        <f t="shared" si="260"/>
        <v/>
      </c>
      <c r="M310" s="927"/>
      <c r="N310" s="927"/>
      <c r="O310" s="354" t="str">
        <f>IF(LEN($M310)=1,VLOOKUP(LEFT($M310,1),B307:I314,5,FALSE),IF(LEN($M310)=2,VLOOKUP(LEFT($M310,1),B307:I314,7,FALSE),""))</f>
        <v/>
      </c>
      <c r="P310" s="410" t="str">
        <f>IF(LEN($M310)=1,VLOOKUP(LEFT($M310,1),B307:I314,6,FALSE),IF(LEN($M310)=2,VLOOKUP(LEFT($M310,1),B307:I314,8,FALSE),""))</f>
        <v/>
      </c>
      <c r="Q310" s="371" t="s">
        <v>274</v>
      </c>
      <c r="R310" s="146" t="str">
        <f t="shared" si="261"/>
        <v/>
      </c>
      <c r="S310" s="927"/>
      <c r="T310" s="927"/>
      <c r="U310" s="354" t="str">
        <f>IF(LEN($S310)=1,VLOOKUP(LEFT($S310,1),B307:I314,5,FALSE),IF(LEN($S310)=2,VLOOKUP(LEFT($S310,1),B307:I314,7,FALSE),""))</f>
        <v/>
      </c>
      <c r="V310" s="410" t="str">
        <f>IF(LEN($S310)=1,VLOOKUP(LEFT($S310,1),B307:I314,6,FALSE),IF(LEN($S310)=2,VLOOKUP(LEFT($S310,1),B307:I314,8,FALSE),""))</f>
        <v/>
      </c>
      <c r="W310" s="417">
        <f t="shared" si="268"/>
        <v>5</v>
      </c>
      <c r="Y310" s="16">
        <v>22</v>
      </c>
      <c r="Z310" s="16">
        <f t="shared" si="262"/>
        <v>0</v>
      </c>
      <c r="AA310" s="146">
        <f t="shared" si="263"/>
        <v>0</v>
      </c>
      <c r="AC310" s="16" t="str">
        <f t="shared" si="264"/>
        <v>R</v>
      </c>
      <c r="AD310" s="419" t="str">
        <f t="shared" si="264"/>
        <v>Rugby &amp; N'hampton</v>
      </c>
      <c r="AE310" s="419">
        <f>IF(ISNA(MATCH(AC310,N307:N316,0)),0,VLOOKUP(AC310,N307:S316,5,FALSE))</f>
        <v>0</v>
      </c>
      <c r="AF310" s="419" t="str">
        <f>IF(ISNA(MATCH(AC310,T307:T316,0))," ",VLOOKUP(AC310,T307:Y316,5,FALSE))</f>
        <v xml:space="preserve"> </v>
      </c>
      <c r="AG310" s="419">
        <f>IF(ISNA(MATCH(AC310,L307:L314,0)),0,VLOOKUP(AC310,L307:N314,3,FALSE))</f>
        <v>0</v>
      </c>
      <c r="AH310" s="419">
        <f>IF(ISNA(MATCH(AC310,R307:R314,0)),0,VLOOKUP(AC310,R307:T314,3,FALSE))</f>
        <v>0</v>
      </c>
      <c r="AI310" s="419">
        <f>IF(ISNA(MATCH(AC310,L307:L314,0)),0,VLOOKUP(AC310,L307:P314,4,FALSE))</f>
        <v>0</v>
      </c>
      <c r="AJ310" s="419">
        <f>IF(ISNA(MATCH(AC310,R307:R314,0)),0,VLOOKUP(AC310,R307:U314,4,FALSE))</f>
        <v>0</v>
      </c>
      <c r="AK310" s="32">
        <f t="shared" si="265"/>
        <v>0</v>
      </c>
      <c r="AL310" s="32">
        <f t="shared" si="266"/>
        <v>0</v>
      </c>
      <c r="AM310" s="32">
        <f>IF(ISNA(MATCH(AC310,L307:L314,0)),0,VLOOKUP(AC310,L307:W314,AM$1,FALSE))</f>
        <v>0</v>
      </c>
      <c r="AN310" s="146">
        <f>IF(ISNA(MATCH(AC310,R307:R314,0)),0,VLOOKUP(AC310,R307:W314,AN$1,FALSE))</f>
        <v>0</v>
      </c>
      <c r="AP310" s="927"/>
      <c r="AQ310" s="927"/>
    </row>
    <row r="311" spans="1:47" ht="15.6" x14ac:dyDescent="0.3">
      <c r="A311" s="417">
        <f t="shared" si="267"/>
        <v>275</v>
      </c>
      <c r="B311" s="362" t="str">
        <f>'Event Details'!D$26</f>
        <v>M</v>
      </c>
      <c r="C311" s="381" t="str">
        <f>'Event Details'!E$26</f>
        <v>Solihull &amp; S.Heath</v>
      </c>
      <c r="D311" s="379"/>
      <c r="E311" s="378"/>
      <c r="F311" s="363" t="str">
        <f>VLOOKUP($B306,IF($H306="F",TeamSheetFemale,TeamSheetMale),$Y311-1,FALSE)</f>
        <v>M</v>
      </c>
      <c r="G311" s="380" t="str">
        <f>VLOOKUP($B306,IF($H306="F",TeamSheetFemale,TeamSheetMale),$Y311,FALSE)</f>
        <v>Ben Hilton</v>
      </c>
      <c r="H311" s="363">
        <f>VLOOKUP($B306,IF($H306="F",TeamSheetFemale,TeamSheetMale),$Y311+1,FALSE)</f>
        <v>0</v>
      </c>
      <c r="I311" s="364">
        <f>VLOOKUP($B306,IF($H306="F",TeamSheetFemale,TeamSheetMale),$Y311+2,FALSE)</f>
        <v>0</v>
      </c>
      <c r="K311" s="341" t="s">
        <v>275</v>
      </c>
      <c r="L311" s="16" t="str">
        <f t="shared" si="260"/>
        <v/>
      </c>
      <c r="M311" s="927"/>
      <c r="N311" s="927"/>
      <c r="O311" s="354" t="str">
        <f>IF(LEN($M311)=1,VLOOKUP(LEFT($M311,1),B307:I314,5,FALSE),IF(LEN($M311)=2,VLOOKUP(LEFT($M311,1),B307:I314,7,FALSE),""))</f>
        <v/>
      </c>
      <c r="P311" s="410" t="str">
        <f>IF(LEN($M311)=1,VLOOKUP(LEFT($M311,1),B307:I314,6,FALSE),IF(LEN($M311)=2,VLOOKUP(LEFT($M311,1),B307:I314,8,FALSE),""))</f>
        <v/>
      </c>
      <c r="Q311" s="371" t="s">
        <v>275</v>
      </c>
      <c r="R311" s="146" t="str">
        <f t="shared" si="261"/>
        <v/>
      </c>
      <c r="S311" s="927"/>
      <c r="T311" s="927"/>
      <c r="U311" s="354" t="str">
        <f>IF(LEN($S311)=1,VLOOKUP(LEFT($S311,1),B307:I314,5,FALSE),IF(LEN($S311)=2,VLOOKUP(LEFT($S311,1),B307:I314,7,FALSE),""))</f>
        <v/>
      </c>
      <c r="V311" s="410" t="str">
        <f>IF(LEN($S311)=1,VLOOKUP(LEFT($S311,1),B307:I314,6,FALSE),IF(LEN($S311)=2,VLOOKUP(LEFT($S311,1),B307:I314,8,FALSE),""))</f>
        <v/>
      </c>
      <c r="W311" s="417">
        <f t="shared" si="268"/>
        <v>4</v>
      </c>
      <c r="Y311" s="16">
        <v>27</v>
      </c>
      <c r="Z311" s="16">
        <f t="shared" si="262"/>
        <v>0</v>
      </c>
      <c r="AA311" s="146">
        <f t="shared" si="263"/>
        <v>0</v>
      </c>
      <c r="AC311" s="16" t="str">
        <f t="shared" si="264"/>
        <v>M</v>
      </c>
      <c r="AD311" s="419" t="str">
        <f t="shared" si="264"/>
        <v>Solihull &amp; S.Heath</v>
      </c>
      <c r="AE311" s="419">
        <f>IF(ISNA(MATCH(AC311,N307:N316,0)),0,VLOOKUP(AC311,N307:S316,5,FALSE))</f>
        <v>0</v>
      </c>
      <c r="AF311" s="419" t="str">
        <f>IF(ISNA(MATCH(AC311,T307:T316,0))," ",VLOOKUP(AC311,T307:Y316,5,FALSE))</f>
        <v xml:space="preserve"> </v>
      </c>
      <c r="AG311" s="419">
        <f>IF(ISNA(MATCH(AC311,L307:L314,0)),0,VLOOKUP(AC311,L307:N314,3,FALSE))</f>
        <v>15.3</v>
      </c>
      <c r="AH311" s="419">
        <f>IF(ISNA(MATCH(AC311,R307:R314,0)),0,VLOOKUP(AC311,R307:T314,3,FALSE))</f>
        <v>0</v>
      </c>
      <c r="AI311" s="419" t="str">
        <f>IF(ISNA(MATCH(AC311,L307:L314,0)),0,VLOOKUP(AC311,L307:P314,4,FALSE))</f>
        <v>M</v>
      </c>
      <c r="AJ311" s="419">
        <f>IF(ISNA(MATCH(AC311,R307:R314,0)),0,VLOOKUP(AC311,R307:U314,4,FALSE))</f>
        <v>0</v>
      </c>
      <c r="AK311" s="32">
        <f t="shared" si="265"/>
        <v>1</v>
      </c>
      <c r="AL311" s="32">
        <f t="shared" si="266"/>
        <v>0</v>
      </c>
      <c r="AM311" s="32">
        <f>IF(ISNA(MATCH(AC311,L307:L314,0)),0,VLOOKUP(AC311,L307:W314,AM$1,FALSE))</f>
        <v>8</v>
      </c>
      <c r="AN311" s="146">
        <f>IF(ISNA(MATCH(AC311,R307:R314,0)),0,VLOOKUP(AC311,R307:W314,AN$1,FALSE))</f>
        <v>0</v>
      </c>
      <c r="AP311" s="927"/>
      <c r="AQ311" s="927"/>
    </row>
    <row r="312" spans="1:47" ht="15.6" x14ac:dyDescent="0.3">
      <c r="A312" s="417">
        <f t="shared" si="267"/>
        <v>276</v>
      </c>
      <c r="B312" s="362" t="str">
        <f>'Event Details'!D$27</f>
        <v>D</v>
      </c>
      <c r="C312" s="381" t="str">
        <f>'Event Details'!E$27</f>
        <v>Stratford</v>
      </c>
      <c r="D312" s="379"/>
      <c r="E312" s="378"/>
      <c r="F312" s="363" t="str">
        <f>VLOOKUP($B306,IF($H306="F",TeamSheetFemale,TeamSheetMale),$Y312-1,FALSE)</f>
        <v>D</v>
      </c>
      <c r="G312" s="380" t="str">
        <f>VLOOKUP($B306,IF($H306="F",TeamSheetFemale,TeamSheetMale),$Y312,FALSE)</f>
        <v>Toby Thomas</v>
      </c>
      <c r="H312" s="363" t="str">
        <f>VLOOKUP($B306,IF($H306="F",TeamSheetFemale,TeamSheetMale),$Y312+1,FALSE)</f>
        <v>DD</v>
      </c>
      <c r="I312" s="364" t="str">
        <f>VLOOKUP($B306,IF($H306="F",TeamSheetFemale,TeamSheetMale),$Y312+2,FALSE)</f>
        <v>Will Hovell</v>
      </c>
      <c r="K312" s="341" t="s">
        <v>276</v>
      </c>
      <c r="L312" s="16" t="str">
        <f t="shared" si="260"/>
        <v/>
      </c>
      <c r="M312" s="927"/>
      <c r="N312" s="927"/>
      <c r="O312" s="354" t="str">
        <f>IF(LEN($M312)=1,VLOOKUP(LEFT($M312,1),B307:I314,5,FALSE),IF(LEN($M312)=2,VLOOKUP(LEFT($M312,1),B307:I314,7,FALSE),""))</f>
        <v/>
      </c>
      <c r="P312" s="410" t="str">
        <f>IF(LEN($M312)=1,VLOOKUP(LEFT($M312,1),B307:I314,6,FALSE),IF(LEN($M312)=2,VLOOKUP(LEFT($M312,1),B307:I314,8,FALSE),""))</f>
        <v/>
      </c>
      <c r="Q312" s="371" t="s">
        <v>276</v>
      </c>
      <c r="R312" s="146" t="str">
        <f t="shared" si="261"/>
        <v/>
      </c>
      <c r="S312" s="927"/>
      <c r="T312" s="927"/>
      <c r="U312" s="354" t="str">
        <f>IF(LEN($S312)=1,VLOOKUP(LEFT($S312,1),B307:I314,5,FALSE),IF(LEN($S312)=2,VLOOKUP(LEFT($S312,1),B307:I314,7,FALSE),""))</f>
        <v/>
      </c>
      <c r="V312" s="410" t="str">
        <f>IF(LEN($S312)=1,VLOOKUP(LEFT($S312,1),B307:I314,6,FALSE),IF(LEN($S312)=2,VLOOKUP(LEFT($S312,1),B307:I314,8,FALSE),""))</f>
        <v/>
      </c>
      <c r="W312" s="417">
        <f t="shared" si="268"/>
        <v>3</v>
      </c>
      <c r="Y312" s="16">
        <v>32</v>
      </c>
      <c r="Z312" s="16">
        <f t="shared" si="262"/>
        <v>0</v>
      </c>
      <c r="AA312" s="146">
        <f t="shared" si="263"/>
        <v>0</v>
      </c>
      <c r="AC312" s="16" t="str">
        <f t="shared" si="264"/>
        <v>D</v>
      </c>
      <c r="AD312" s="419" t="str">
        <f t="shared" si="264"/>
        <v>Stratford</v>
      </c>
      <c r="AE312" s="419">
        <f>IF(ISNA(MATCH(AC312,N307:N316,0)),0,VLOOKUP(AC312,N307:S316,5,FALSE))</f>
        <v>0</v>
      </c>
      <c r="AF312" s="419" t="str">
        <f>IF(ISNA(MATCH(AC312,T307:T316,0))," ",VLOOKUP(AC312,T307:Y316,5,FALSE))</f>
        <v xml:space="preserve"> </v>
      </c>
      <c r="AG312" s="419">
        <f>IF(ISNA(MATCH(AC312,L307:L314,0)),0,VLOOKUP(AC312,L307:N314,3,FALSE))</f>
        <v>16</v>
      </c>
      <c r="AH312" s="419">
        <f>IF(ISNA(MATCH(AC312,R307:R314,0)),0,VLOOKUP(AC312,R307:T314,3,FALSE))</f>
        <v>17.600000000000001</v>
      </c>
      <c r="AI312" s="419" t="str">
        <f>IF(ISNA(MATCH(AC312,L307:L314,0)),0,VLOOKUP(AC312,L307:P314,4,FALSE))</f>
        <v>D</v>
      </c>
      <c r="AJ312" s="419" t="str">
        <f>IF(ISNA(MATCH(AC312,R307:R314,0)),0,VLOOKUP(AC312,R307:U314,4,FALSE))</f>
        <v>DD</v>
      </c>
      <c r="AK312" s="32">
        <f t="shared" si="265"/>
        <v>2</v>
      </c>
      <c r="AL312" s="32">
        <f t="shared" si="266"/>
        <v>1</v>
      </c>
      <c r="AM312" s="32">
        <f>IF(ISNA(MATCH(AC312,L307:L314,0)),0,VLOOKUP(AC312,L307:W314,AM$1,FALSE))</f>
        <v>7</v>
      </c>
      <c r="AN312" s="146">
        <f>IF(ISNA(MATCH(AC312,R307:R314,0)),0,VLOOKUP(AC312,R307:W314,AN$1,FALSE))</f>
        <v>8</v>
      </c>
      <c r="AP312" s="927"/>
      <c r="AQ312" s="927"/>
    </row>
    <row r="313" spans="1:47" ht="15.6" x14ac:dyDescent="0.3">
      <c r="A313" s="417">
        <f t="shared" si="267"/>
        <v>277</v>
      </c>
      <c r="B313" s="362" t="str">
        <f>'Event Details'!D$28</f>
        <v>F</v>
      </c>
      <c r="C313" s="381" t="str">
        <f>'Event Details'!E$28</f>
        <v>Tamworth</v>
      </c>
      <c r="D313" s="379"/>
      <c r="E313" s="378"/>
      <c r="F313" s="363">
        <f>VLOOKUP($B306,IF($H306="F",TeamSheetFemale,TeamSheetMale),$Y313-1,FALSE)</f>
        <v>0</v>
      </c>
      <c r="G313" s="380">
        <f>VLOOKUP($B306,IF($H306="F",TeamSheetFemale,TeamSheetMale),$Y313,FALSE)</f>
        <v>0</v>
      </c>
      <c r="H313" s="363">
        <f>VLOOKUP($B306,IF($H306="F",TeamSheetFemale,TeamSheetMale),$Y313+1,FALSE)</f>
        <v>0</v>
      </c>
      <c r="I313" s="364">
        <f>VLOOKUP($B306,IF($H306="F",TeamSheetFemale,TeamSheetMale),$Y313+2,FALSE)</f>
        <v>0</v>
      </c>
      <c r="K313" s="341" t="s">
        <v>277</v>
      </c>
      <c r="L313" s="16" t="str">
        <f t="shared" si="260"/>
        <v/>
      </c>
      <c r="M313" s="931"/>
      <c r="N313" s="927"/>
      <c r="O313" s="354" t="str">
        <f>IF(LEN($M313)=1,VLOOKUP(LEFT($M313,1),B307:I314,5,FALSE),IF(LEN($M313)=2,VLOOKUP(LEFT($M313,1),B307:I314,7,FALSE),""))</f>
        <v/>
      </c>
      <c r="P313" s="410" t="str">
        <f>IF(LEN($M313)=1,VLOOKUP(LEFT($M313,1),B307:I314,6,FALSE),IF(LEN($M313)=2,VLOOKUP(LEFT($M313,1),B307:I314,8,FALSE),""))</f>
        <v/>
      </c>
      <c r="Q313" s="371" t="s">
        <v>277</v>
      </c>
      <c r="R313" s="146" t="str">
        <f t="shared" si="261"/>
        <v/>
      </c>
      <c r="S313" s="931"/>
      <c r="T313" s="927"/>
      <c r="U313" s="354" t="str">
        <f>IF(LEN($S313)=1,VLOOKUP(LEFT($S313,1),B307:I314,5,FALSE),IF(LEN($S313)=2,VLOOKUP(LEFT($S313,1),B307:I314,7,FALSE),""))</f>
        <v/>
      </c>
      <c r="V313" s="410" t="str">
        <f>IF(LEN($S313)=1,VLOOKUP(LEFT($S313,1),B307:I314,6,FALSE),IF(LEN($S313)=2,VLOOKUP(LEFT($S313,1),B307:I314,8,FALSE),""))</f>
        <v/>
      </c>
      <c r="W313" s="417">
        <f t="shared" si="268"/>
        <v>2</v>
      </c>
      <c r="Y313" s="16">
        <v>37</v>
      </c>
      <c r="Z313" s="16">
        <f t="shared" si="262"/>
        <v>0</v>
      </c>
      <c r="AA313" s="146">
        <f t="shared" si="263"/>
        <v>0</v>
      </c>
      <c r="AC313" s="16" t="str">
        <f t="shared" si="264"/>
        <v>F</v>
      </c>
      <c r="AD313" s="419" t="str">
        <f t="shared" si="264"/>
        <v>Tamworth</v>
      </c>
      <c r="AE313" s="419">
        <f>IF(ISNA(MATCH(AC313,N305:N314,0)),0,VLOOKUP(AC313,N305:S314,5,FALSE))</f>
        <v>0</v>
      </c>
      <c r="AF313" s="419" t="str">
        <f>IF(ISNA(MATCH(AC313,T305:T314,0))," ",VLOOKUP(AC313,T305:Y314,5,FALSE))</f>
        <v xml:space="preserve"> </v>
      </c>
      <c r="AG313" s="419">
        <f>IF(ISNA(MATCH(AC313,L307:L314,0)),0,VLOOKUP(AC313,L307:N314,3,FALSE))</f>
        <v>0</v>
      </c>
      <c r="AH313" s="419">
        <f>IF(ISNA(MATCH(AC313,R307:R314,0)),0,VLOOKUP(AC313,R307:T314,3,FALSE))</f>
        <v>0</v>
      </c>
      <c r="AI313" s="419">
        <f>IF(ISNA(MATCH(AC313,L307:L314,0)),0,VLOOKUP(AC313,L307:P314,4,FALSE))</f>
        <v>0</v>
      </c>
      <c r="AJ313" s="419">
        <f>IF(ISNA(MATCH(AC313,R307:R314,0)),0,VLOOKUP(AC313,R307:U314,4,FALSE))</f>
        <v>0</v>
      </c>
      <c r="AK313" s="32">
        <f t="shared" si="265"/>
        <v>0</v>
      </c>
      <c r="AL313" s="32">
        <f t="shared" si="266"/>
        <v>0</v>
      </c>
      <c r="AM313" s="32">
        <f>IF(ISNA(MATCH(AC313,L307:L314,0)),0,VLOOKUP(AC313,L307:W314,AM$1,FALSE))</f>
        <v>0</v>
      </c>
      <c r="AN313" s="146">
        <f>IF(ISNA(MATCH(AC313,R307:R314,0)),0,VLOOKUP(AC313,R307:W314,AN$1,FALSE))</f>
        <v>0</v>
      </c>
      <c r="AP313" s="931"/>
      <c r="AQ313" s="927"/>
    </row>
    <row r="314" spans="1:47" ht="16.2" thickBot="1" x14ac:dyDescent="0.35">
      <c r="A314" s="418">
        <f t="shared" si="267"/>
        <v>278</v>
      </c>
      <c r="B314" s="365" t="str">
        <f>'Event Details'!D$29</f>
        <v>Y</v>
      </c>
      <c r="C314" s="366" t="str">
        <f>'Event Details'!E$29</f>
        <v>Worcester</v>
      </c>
      <c r="D314" s="361"/>
      <c r="E314" s="370"/>
      <c r="F314" s="367">
        <f>VLOOKUP($B306,IF($H306="F",TeamSheetFemale,TeamSheetMale),$Y314-1,FALSE)</f>
        <v>0</v>
      </c>
      <c r="G314" s="368">
        <f>VLOOKUP($B306,IF($H306="F",TeamSheetFemale,TeamSheetMale),$Y314,FALSE)</f>
        <v>0</v>
      </c>
      <c r="H314" s="367">
        <f>VLOOKUP($B306,IF($H306="F",TeamSheetFemale,TeamSheetMale),$Y314+1,FALSE)</f>
        <v>0</v>
      </c>
      <c r="I314" s="369">
        <f>VLOOKUP($B306,IF($H306="F",TeamSheetFemale,TeamSheetMale),$Y314+2,FALSE)</f>
        <v>0</v>
      </c>
      <c r="K314" s="346" t="s">
        <v>278</v>
      </c>
      <c r="L314" s="25" t="str">
        <f t="shared" si="260"/>
        <v/>
      </c>
      <c r="M314" s="928" t="s">
        <v>148</v>
      </c>
      <c r="N314" s="932"/>
      <c r="O314" s="374" t="str">
        <f>IF(LEN($M314)=1,VLOOKUP(LEFT($M314,1),B307:I314,5,FALSE),IF(LEN($M314)=2,VLOOKUP(LEFT($M314,1),B307:I314,7,FALSE),""))</f>
        <v/>
      </c>
      <c r="P314" s="411" t="str">
        <f>IF(LEN($M314)=1,VLOOKUP(LEFT($M314,1),B307:I314,6,FALSE),IF(LEN($M314)=2,VLOOKUP(LEFT($M314,1),B307:I314,8,FALSE),""))</f>
        <v/>
      </c>
      <c r="Q314" s="407" t="s">
        <v>278</v>
      </c>
      <c r="R314" s="523" t="str">
        <f t="shared" si="261"/>
        <v/>
      </c>
      <c r="S314" s="928" t="s">
        <v>148</v>
      </c>
      <c r="T314" s="932"/>
      <c r="U314" s="374" t="str">
        <f>IF(LEN($S314)=1,VLOOKUP(LEFT($S314,1),B307:I314,5,FALSE),IF(LEN($S314)=2,VLOOKUP(LEFT($S314,1),B307:I314,7,FALSE),""))</f>
        <v/>
      </c>
      <c r="V314" s="411" t="str">
        <f>IF(LEN($S314)=1,VLOOKUP(LEFT($S314,1),B307:I314,6,FALSE),IF(LEN($S314)=2,VLOOKUP(LEFT($S314,1),B307:I314,8,FALSE),""))</f>
        <v/>
      </c>
      <c r="W314" s="418">
        <f t="shared" si="268"/>
        <v>1</v>
      </c>
      <c r="Y314" s="25">
        <v>42</v>
      </c>
      <c r="Z314" s="25">
        <f t="shared" si="262"/>
        <v>0</v>
      </c>
      <c r="AA314" s="523">
        <f t="shared" si="263"/>
        <v>0</v>
      </c>
      <c r="AC314" s="25" t="str">
        <f t="shared" si="264"/>
        <v>Y</v>
      </c>
      <c r="AD314" s="624" t="str">
        <f t="shared" si="264"/>
        <v>Worcester</v>
      </c>
      <c r="AE314" s="624">
        <f>IF(ISNA(MATCH(AC314,N306:N315,0)),0,VLOOKUP(AC314,N306:S315,5,FALSE))</f>
        <v>0</v>
      </c>
      <c r="AF314" s="624" t="str">
        <f t="shared" ref="AF314" si="269">IF(ISNA(MATCH(AC314,T306:T315,0))," ",VLOOKUP(AC314,T306:Y315,5,FALSE))</f>
        <v xml:space="preserve"> </v>
      </c>
      <c r="AG314" s="624">
        <f>IF(ISNA(MATCH(AC314,L307:L314,0)),0,VLOOKUP(AC314,L307:N314,3,FALSE))</f>
        <v>0</v>
      </c>
      <c r="AH314" s="624">
        <f>IF(ISNA(MATCH(AC314,R307:R314,0)),0,VLOOKUP(AC314,R307:T314,3,FALSE))</f>
        <v>0</v>
      </c>
      <c r="AI314" s="624">
        <f>IF(ISNA(MATCH(AC314,L307:L314,0)),0,VLOOKUP(AC314,L307:P314,4,FALSE))</f>
        <v>0</v>
      </c>
      <c r="AJ314" s="624">
        <f>IF(ISNA(MATCH(AC314,R307:R314,0)),0,VLOOKUP(AC314,R307:U314,4,FALSE))</f>
        <v>0</v>
      </c>
      <c r="AK314" s="116">
        <f t="shared" si="265"/>
        <v>0</v>
      </c>
      <c r="AL314" s="116">
        <f t="shared" si="266"/>
        <v>0</v>
      </c>
      <c r="AM314" s="116">
        <f>IF(ISNA(MATCH(AC314,L307:L314,0)),0,VLOOKUP(AC314,L307:W314,AM$1,FALSE))</f>
        <v>0</v>
      </c>
      <c r="AN314" s="523">
        <f>IF(ISNA(MATCH(AC314,R307:R314,0)),0,VLOOKUP(AC314,R307:W314,AN$1,FALSE))</f>
        <v>0</v>
      </c>
      <c r="AP314" s="928" t="s">
        <v>148</v>
      </c>
      <c r="AQ314" s="932"/>
    </row>
    <row r="315" spans="1:47" ht="15" thickBot="1" x14ac:dyDescent="0.35">
      <c r="K315" s="1207" t="s">
        <v>280</v>
      </c>
      <c r="M315" s="276"/>
      <c r="N315" s="307"/>
      <c r="S315" s="276"/>
      <c r="T315" s="307"/>
      <c r="AP315" s="276"/>
      <c r="AQ315" s="307"/>
    </row>
    <row r="316" spans="1:47" x14ac:dyDescent="0.3">
      <c r="B316" s="400" t="s">
        <v>258</v>
      </c>
      <c r="C316" s="398"/>
      <c r="D316" s="401" t="s">
        <v>165</v>
      </c>
      <c r="E316" s="398"/>
      <c r="F316" s="398"/>
      <c r="G316" s="402" t="s">
        <v>259</v>
      </c>
      <c r="H316" s="403" t="s">
        <v>249</v>
      </c>
      <c r="I316" s="404" t="s">
        <v>168</v>
      </c>
      <c r="K316" s="360"/>
      <c r="L316" s="661"/>
      <c r="M316" s="387" t="s">
        <v>260</v>
      </c>
      <c r="N316" s="387" t="s">
        <v>261</v>
      </c>
      <c r="O316" s="387" t="s">
        <v>262</v>
      </c>
      <c r="P316" s="388" t="s">
        <v>75</v>
      </c>
      <c r="Q316" s="389"/>
      <c r="R316" s="657"/>
      <c r="S316" s="387" t="s">
        <v>260</v>
      </c>
      <c r="T316" s="387" t="s">
        <v>261</v>
      </c>
      <c r="U316" s="387" t="s">
        <v>262</v>
      </c>
      <c r="V316" s="388" t="s">
        <v>75</v>
      </c>
      <c r="W316" s="672" t="s">
        <v>76</v>
      </c>
      <c r="Y316" s="414" t="s">
        <v>263</v>
      </c>
      <c r="Z316" s="656" t="s">
        <v>74</v>
      </c>
      <c r="AA316" s="657" t="s">
        <v>75</v>
      </c>
      <c r="AC316" s="665" t="s">
        <v>71</v>
      </c>
      <c r="AD316" s="657" t="s">
        <v>86</v>
      </c>
      <c r="AE316" s="661" t="s">
        <v>149</v>
      </c>
      <c r="AF316" s="661" t="s">
        <v>94</v>
      </c>
      <c r="AG316" s="661" t="s">
        <v>149</v>
      </c>
      <c r="AH316" s="661" t="s">
        <v>94</v>
      </c>
      <c r="AI316" s="661" t="s">
        <v>149</v>
      </c>
      <c r="AJ316" s="661" t="s">
        <v>94</v>
      </c>
      <c r="AK316" s="1332" t="s">
        <v>149</v>
      </c>
      <c r="AL316" s="661" t="s">
        <v>94</v>
      </c>
      <c r="AM316" s="1406" t="s">
        <v>76</v>
      </c>
      <c r="AN316" s="1407"/>
      <c r="AP316" s="387" t="s">
        <v>260</v>
      </c>
      <c r="AQ316" s="387" t="s">
        <v>261</v>
      </c>
      <c r="AS316" s="1218" t="s">
        <v>165</v>
      </c>
      <c r="AT316" s="1219" t="s">
        <v>79</v>
      </c>
      <c r="AU316" s="1220" t="s">
        <v>80</v>
      </c>
    </row>
    <row r="317" spans="1:47" ht="15" thickBot="1" x14ac:dyDescent="0.35">
      <c r="B317" s="405">
        <v>28</v>
      </c>
      <c r="C317" s="399"/>
      <c r="D317" s="385" t="str">
        <f>VLOOKUP($B317,EventOrder,6,FALSE)</f>
        <v xml:space="preserve">800m (U18/U20) </v>
      </c>
      <c r="E317" s="399"/>
      <c r="F317" s="385"/>
      <c r="G317" s="386" t="str">
        <f>VLOOKUP($B317,EventOrder,4,FALSE)</f>
        <v>U18 Female</v>
      </c>
      <c r="H317" s="396" t="str">
        <f>IF(MID(G317,5,1)="F","F","M")</f>
        <v>F</v>
      </c>
      <c r="I317" s="397">
        <f>VLOOKUP($B317,EventOrder,2,FALSE)</f>
        <v>1.2</v>
      </c>
      <c r="K317" s="377"/>
      <c r="L317" s="667" t="s">
        <v>149</v>
      </c>
      <c r="M317" s="409" t="s">
        <v>264</v>
      </c>
      <c r="N317" s="409" t="s">
        <v>265</v>
      </c>
      <c r="O317" s="390" t="s">
        <v>266</v>
      </c>
      <c r="P317" s="391"/>
      <c r="Q317" s="392"/>
      <c r="R317" s="659" t="s">
        <v>94</v>
      </c>
      <c r="S317" s="409" t="s">
        <v>264</v>
      </c>
      <c r="T317" s="409" t="s">
        <v>265</v>
      </c>
      <c r="U317" s="390" t="s">
        <v>266</v>
      </c>
      <c r="V317" s="391"/>
      <c r="W317" s="671"/>
      <c r="Y317" s="415" t="s">
        <v>167</v>
      </c>
      <c r="Z317" s="658" t="s">
        <v>149</v>
      </c>
      <c r="AA317" s="659" t="s">
        <v>94</v>
      </c>
      <c r="AC317" s="666"/>
      <c r="AD317" s="668"/>
      <c r="AE317" s="768" t="s">
        <v>75</v>
      </c>
      <c r="AF317" s="768" t="s">
        <v>75</v>
      </c>
      <c r="AG317" s="768" t="s">
        <v>267</v>
      </c>
      <c r="AH317" s="768" t="s">
        <v>267</v>
      </c>
      <c r="AI317" s="768" t="s">
        <v>268</v>
      </c>
      <c r="AJ317" s="768" t="s">
        <v>268</v>
      </c>
      <c r="AK317" s="770" t="s">
        <v>269</v>
      </c>
      <c r="AL317" s="768" t="s">
        <v>269</v>
      </c>
      <c r="AM317" s="667" t="s">
        <v>149</v>
      </c>
      <c r="AN317" s="659" t="s">
        <v>94</v>
      </c>
      <c r="AP317" s="409" t="s">
        <v>264</v>
      </c>
      <c r="AQ317" s="409" t="s">
        <v>265</v>
      </c>
      <c r="AS317" s="1221" t="s">
        <v>270</v>
      </c>
      <c r="AT317" s="1222" t="s">
        <v>270</v>
      </c>
      <c r="AU317" s="1223" t="s">
        <v>270</v>
      </c>
    </row>
    <row r="318" spans="1:47" ht="15.6" x14ac:dyDescent="0.3">
      <c r="A318" s="416">
        <f>(B317*10)+1</f>
        <v>281</v>
      </c>
      <c r="B318" s="362" t="str">
        <f>'Event Details'!D$22</f>
        <v>S</v>
      </c>
      <c r="C318" s="381" t="str">
        <f>'Event Details'!E$22</f>
        <v>BRAT</v>
      </c>
      <c r="D318" s="379"/>
      <c r="E318" s="378"/>
      <c r="F318" s="363" t="str">
        <f>VLOOKUP($B317,IF($H317="F",TeamSheetFemale,TeamSheetMale),$Y318-1,FALSE)</f>
        <v>S</v>
      </c>
      <c r="G318" s="380" t="str">
        <f>VLOOKUP($B317,IF($H317="F",TeamSheetFemale,TeamSheetMale),$Y318,FALSE)</f>
        <v>Arriella Dalmedo</v>
      </c>
      <c r="H318" s="363">
        <f>VLOOKUP($B317,IF($H317="F",TeamSheetFemale,TeamSheetMale),$Y318+1,FALSE)</f>
        <v>0</v>
      </c>
      <c r="I318" s="364">
        <f>VLOOKUP($B317,IF($H317="F",TeamSheetFemale,TeamSheetMale),$Y318+2,FALSE)</f>
        <v>0</v>
      </c>
      <c r="K318" s="393" t="s">
        <v>271</v>
      </c>
      <c r="L318" s="16" t="str">
        <f t="shared" ref="L318:L325" si="270">LEFT(M318,1)</f>
        <v>Y</v>
      </c>
      <c r="M318" s="926" t="s">
        <v>151</v>
      </c>
      <c r="N318" s="926" t="s">
        <v>1043</v>
      </c>
      <c r="O318" s="394" t="str">
        <f>IF(LEN($M318)=1,VLOOKUP(LEFT($M318,1),B318:I325,5,FALSE),IF(LEN($M318)=2,VLOOKUP(LEFT($M318,1),B318:I325,7,FALSE),""))</f>
        <v>Y</v>
      </c>
      <c r="P318" s="395" t="str">
        <f>IF(LEN($M318)=1,VLOOKUP(LEFT($M318,1),B318:I325,6,FALSE),IF(LEN($M318)=2,VLOOKUP(LEFT($M318,1),B318:I325,8,FALSE),""))</f>
        <v>Ella Purves</v>
      </c>
      <c r="Q318" s="393" t="s">
        <v>271</v>
      </c>
      <c r="R318" s="146" t="str">
        <f t="shared" ref="R318:R325" si="271">LEFT(S318,1)</f>
        <v/>
      </c>
      <c r="S318" s="926"/>
      <c r="T318" s="926"/>
      <c r="U318" s="394" t="str">
        <f>IF(LEN($S318)=1,VLOOKUP(LEFT($S318,1),B318:I325,5,FALSE),IF(LEN($S318)=2,VLOOKUP(LEFT($S318,1),B318:I325,7,FALSE),""))</f>
        <v/>
      </c>
      <c r="V318" s="395" t="str">
        <f>IF(LEN($S318)=1,VLOOKUP(LEFT($S318,1),B318:I325,6,FALSE),IF(LEN($S318)=2,VLOOKUP(LEFT($S318,1),B318:I325,8,FALSE),""))</f>
        <v/>
      </c>
      <c r="W318" s="417">
        <f>AN$6</f>
        <v>8</v>
      </c>
      <c r="Y318" s="416">
        <v>7</v>
      </c>
      <c r="Z318" s="653" t="str">
        <f t="shared" ref="Z318:Z325" si="272">IF(LEN(M318)&gt;0,VLOOKUP(LEFT(M318,1),ShortName,5,FALSE),0)</f>
        <v>Worc</v>
      </c>
      <c r="AA318" s="138">
        <f t="shared" ref="AA318:AA325" si="273">IF(LEN(S318)&gt;0,VLOOKUP(LEFT(S318,1),ShortName,5,FALSE),0)</f>
        <v>0</v>
      </c>
      <c r="AC318" s="16" t="str">
        <f t="shared" ref="AC318:AD325" si="274">B318</f>
        <v>S</v>
      </c>
      <c r="AD318" s="419" t="str">
        <f t="shared" si="274"/>
        <v>BRAT</v>
      </c>
      <c r="AE318" s="635">
        <f>IF(ISNA(MATCH(AC318,N318:N327,0)),0,VLOOKUP(AC318,N318:S327,5,FALSE))</f>
        <v>0</v>
      </c>
      <c r="AF318" s="635" t="str">
        <f>IF(ISNA(MATCH(AC318,T318:T327,0))," ",VLOOKUP(AC318,T318:Y327,5,FALSE))</f>
        <v xml:space="preserve"> </v>
      </c>
      <c r="AG318" s="635" t="str">
        <f>IF(ISNA(MATCH(AC318,L318:L325,0)),0,VLOOKUP(AC318,L318:N325,3,FALSE))</f>
        <v>2.38.6</v>
      </c>
      <c r="AH318" s="635">
        <f>IF(ISNA(MATCH(AC318,R318:R325,0)),0,VLOOKUP(AC318,R318:T325,3,FALSE))</f>
        <v>0</v>
      </c>
      <c r="AI318" s="635" t="str">
        <f>IF(ISNA(MATCH(AC318,L318:L325,0)),0,VLOOKUP(AC318,L318:P325,4,FALSE))</f>
        <v>S</v>
      </c>
      <c r="AJ318" s="635">
        <f>IF(ISNA(MATCH(AC318,R318:R325,0)),0,VLOOKUP(AC318,R318:U325,4,FALSE))</f>
        <v>0</v>
      </c>
      <c r="AK318" s="49">
        <f t="shared" ref="AK318:AK325" si="275">IF(AM318=0,0,AN$6-(AM318-1))</f>
        <v>2</v>
      </c>
      <c r="AL318" s="49">
        <f t="shared" ref="AL318:AL325" si="276">IF(AN318=0,0,AN$6-(AN318-1))</f>
        <v>0</v>
      </c>
      <c r="AM318" s="49">
        <f>IF(ISNA(MATCH(AC318,L318:L325,0)),0,VLOOKUP(AC318,L318:W325,AM$1,FALSE))</f>
        <v>7</v>
      </c>
      <c r="AN318" s="138">
        <f>IF(ISNA(MATCH(AC318,R318:R325,0)),0,VLOOKUP(AC318,R318:W325,AN$1,FALSE))</f>
        <v>0</v>
      </c>
      <c r="AP318" s="926"/>
      <c r="AQ318" s="926"/>
      <c r="AS318" s="32">
        <f>IF(LEN(N318)&gt;0,1,0)</f>
        <v>1</v>
      </c>
      <c r="AT318" s="32">
        <f>IF(AND(AS318=1,H317="M"),1,0)</f>
        <v>0</v>
      </c>
      <c r="AU318" s="32">
        <f>IF(AND(AS318=1,H317="F"),1,0)</f>
        <v>1</v>
      </c>
    </row>
    <row r="319" spans="1:47" ht="15.6" x14ac:dyDescent="0.3">
      <c r="A319" s="417">
        <f>A318+1</f>
        <v>282</v>
      </c>
      <c r="B319" s="362" t="str">
        <f>'Event Details'!D$23</f>
        <v>U</v>
      </c>
      <c r="C319" s="381" t="str">
        <f>'Event Details'!E$23</f>
        <v>Kidder &amp; Stourport</v>
      </c>
      <c r="D319" s="379"/>
      <c r="E319" s="378"/>
      <c r="F319" s="363">
        <f>VLOOKUP($B317,IF($H317="F",TeamSheetFemale,TeamSheetMale),$Y319-1,FALSE)</f>
        <v>0</v>
      </c>
      <c r="G319" s="380">
        <f>VLOOKUP($B317,IF($H317="F",TeamSheetFemale,TeamSheetMale),$Y319,FALSE)</f>
        <v>0</v>
      </c>
      <c r="H319" s="363">
        <f>VLOOKUP($B317,IF($H317="F",TeamSheetFemale,TeamSheetMale),$Y319+1,FALSE)</f>
        <v>0</v>
      </c>
      <c r="I319" s="364">
        <f>VLOOKUP($B317,IF($H317="F",TeamSheetFemale,TeamSheetMale),$Y319+2,FALSE)</f>
        <v>0</v>
      </c>
      <c r="K319" s="341" t="s">
        <v>272</v>
      </c>
      <c r="L319" s="16" t="str">
        <f t="shared" si="270"/>
        <v>S</v>
      </c>
      <c r="M319" s="927" t="s">
        <v>100</v>
      </c>
      <c r="N319" s="927" t="s">
        <v>1044</v>
      </c>
      <c r="O319" s="353" t="str">
        <f>IF(LEN($M319)=1,VLOOKUP(LEFT($M319,1),B318:I325,5,FALSE),IF(LEN($M319)=2,VLOOKUP(LEFT($M319,1),B318:I325,7,FALSE),""))</f>
        <v>S</v>
      </c>
      <c r="P319" s="373" t="str">
        <f>IF(LEN($M319)=1,VLOOKUP(LEFT($M319,1),B318:I325,6,FALSE),IF(LEN($M319)=2,VLOOKUP(LEFT($M319,1),B318:I325,8,FALSE),""))</f>
        <v>Arriella Dalmedo</v>
      </c>
      <c r="Q319" s="341" t="s">
        <v>272</v>
      </c>
      <c r="R319" s="146" t="str">
        <f t="shared" si="271"/>
        <v/>
      </c>
      <c r="S319" s="927"/>
      <c r="T319" s="927"/>
      <c r="U319" s="353" t="str">
        <f>IF(LEN($S319)=1,VLOOKUP(LEFT($S319,1),B318:I325,5,FALSE),IF(LEN($S319)=2,VLOOKUP(LEFT($S319,1),B318:I325,7,FALSE),""))</f>
        <v/>
      </c>
      <c r="V319" s="373" t="str">
        <f>IF(LEN($S319)=1,VLOOKUP(LEFT($S319,1),B318:I325,6,FALSE),IF(LEN($S319)=2,VLOOKUP(LEFT($S319,1),B318:I325,8,FALSE),""))</f>
        <v/>
      </c>
      <c r="W319" s="417">
        <f>W318-1</f>
        <v>7</v>
      </c>
      <c r="Y319" s="417">
        <v>12</v>
      </c>
      <c r="Z319" s="16" t="str">
        <f t="shared" si="272"/>
        <v>BRAT</v>
      </c>
      <c r="AA319" s="146">
        <f t="shared" si="273"/>
        <v>0</v>
      </c>
      <c r="AC319" s="16" t="str">
        <f t="shared" si="274"/>
        <v>U</v>
      </c>
      <c r="AD319" s="419" t="str">
        <f t="shared" si="274"/>
        <v>Kidder &amp; Stourport</v>
      </c>
      <c r="AE319" s="419">
        <f>IF(ISNA(MATCH(AC319,N318:N327,0)),0,VLOOKUP(AC319,N318:S327,5,FALSE))</f>
        <v>0</v>
      </c>
      <c r="AF319" s="419" t="str">
        <f>IF(ISNA(MATCH(AC319,T318:T327,0))," ",VLOOKUP(AC319,T318:Y327,5,FALSE))</f>
        <v xml:space="preserve"> </v>
      </c>
      <c r="AG319" s="419">
        <f>IF(ISNA(MATCH(AC319,L318:L325,0)),0,VLOOKUP(AC319,L318:N325,3,FALSE))</f>
        <v>0</v>
      </c>
      <c r="AH319" s="419">
        <f>IF(ISNA(MATCH(AC319,R318:R325,0)),0,VLOOKUP(AC319,R318:T325,3,FALSE))</f>
        <v>0</v>
      </c>
      <c r="AI319" s="419">
        <f>IF(ISNA(MATCH(AC319,L318:L325,0)),0,VLOOKUP(AC319,L318:P325,4,FALSE))</f>
        <v>0</v>
      </c>
      <c r="AJ319" s="419">
        <f>IF(ISNA(MATCH(AC319,R318:R325,0)),0,VLOOKUP(AC319,R318:U325,4,FALSE))</f>
        <v>0</v>
      </c>
      <c r="AK319" s="32">
        <f t="shared" si="275"/>
        <v>0</v>
      </c>
      <c r="AL319" s="32">
        <f t="shared" si="276"/>
        <v>0</v>
      </c>
      <c r="AM319" s="32">
        <f>IF(ISNA(MATCH(AC319,L318:L325,0)),0,VLOOKUP(AC319,L318:W325,AM$1,FALSE))</f>
        <v>0</v>
      </c>
      <c r="AN319" s="146">
        <f>IF(ISNA(MATCH(AC319,R318:R325,0)),0,VLOOKUP(AC319,R318:W325,AN$1,FALSE))</f>
        <v>0</v>
      </c>
      <c r="AP319" s="927"/>
      <c r="AQ319" s="927"/>
    </row>
    <row r="320" spans="1:47" ht="15.6" x14ac:dyDescent="0.3">
      <c r="A320" s="417">
        <f t="shared" ref="A320:A325" si="277">A319+1</f>
        <v>283</v>
      </c>
      <c r="B320" s="362" t="str">
        <f>'Event Details'!D$24</f>
        <v>G</v>
      </c>
      <c r="C320" s="381" t="str">
        <f>'Event Details'!E$24</f>
        <v>Royal Sutton</v>
      </c>
      <c r="D320" s="379"/>
      <c r="E320" s="378"/>
      <c r="F320" s="363" t="str">
        <f>VLOOKUP($B317,IF($H317="F",TeamSheetFemale,TeamSheetMale),$Y320-1,FALSE)</f>
        <v>G</v>
      </c>
      <c r="G320" s="380">
        <f>VLOOKUP($B317,IF($H317="F",TeamSheetFemale,TeamSheetMale),$Y320,FALSE)</f>
        <v>0</v>
      </c>
      <c r="H320" s="363" t="str">
        <f>VLOOKUP($B317,IF($H317="F",TeamSheetFemale,TeamSheetMale),$Y320+1,FALSE)</f>
        <v>GG</v>
      </c>
      <c r="I320" s="364">
        <f>VLOOKUP($B317,IF($H317="F",TeamSheetFemale,TeamSheetMale),$Y320+2,FALSE)</f>
        <v>0</v>
      </c>
      <c r="K320" s="341" t="s">
        <v>273</v>
      </c>
      <c r="L320" s="16" t="str">
        <f t="shared" si="270"/>
        <v/>
      </c>
      <c r="M320" s="927"/>
      <c r="N320" s="927"/>
      <c r="O320" s="353" t="str">
        <f>IF(LEN($M320)=1,VLOOKUP(LEFT($M320,1),B318:I325,5,FALSE),IF(LEN($M320)=2,VLOOKUP(LEFT($M320,1),B318:I325,7,FALSE),""))</f>
        <v/>
      </c>
      <c r="P320" s="373" t="str">
        <f>IF(LEN($M320)=1,VLOOKUP(LEFT($M320,1),B318:I325,6,FALSE),IF(LEN($M320)=2,VLOOKUP(LEFT($M320,1),B318:I325,8,FALSE),""))</f>
        <v/>
      </c>
      <c r="Q320" s="341" t="s">
        <v>273</v>
      </c>
      <c r="R320" s="146" t="str">
        <f t="shared" si="271"/>
        <v/>
      </c>
      <c r="S320" s="927"/>
      <c r="T320" s="927"/>
      <c r="U320" s="353" t="str">
        <f>IF(LEN($S320)=1,VLOOKUP(LEFT($S320,1),B318:I325,5,FALSE),IF(LEN($S320)=2,VLOOKUP(LEFT($S320,1),B318:I325,7,FALSE),""))</f>
        <v/>
      </c>
      <c r="V320" s="373" t="str">
        <f>IF(LEN($S320)=1,VLOOKUP(LEFT($S320,1),B318:I325,6,FALSE),IF(LEN($S320)=2,VLOOKUP(LEFT($S320,1),B318:I325,8,FALSE),""))</f>
        <v/>
      </c>
      <c r="W320" s="417">
        <f t="shared" ref="W320:W325" si="278">W319-1</f>
        <v>6</v>
      </c>
      <c r="Y320" s="417">
        <v>17</v>
      </c>
      <c r="Z320" s="16">
        <f t="shared" si="272"/>
        <v>0</v>
      </c>
      <c r="AA320" s="146">
        <f t="shared" si="273"/>
        <v>0</v>
      </c>
      <c r="AB320" s="32"/>
      <c r="AC320" s="16" t="str">
        <f t="shared" si="274"/>
        <v>G</v>
      </c>
      <c r="AD320" s="419" t="str">
        <f t="shared" si="274"/>
        <v>Royal Sutton</v>
      </c>
      <c r="AE320" s="419">
        <f>IF(ISNA(MATCH(AC320,N318:N327,0)),0,VLOOKUP(AC320,N318:S327,5,FALSE))</f>
        <v>0</v>
      </c>
      <c r="AF320" s="419" t="str">
        <f>IF(ISNA(MATCH(AC320,T318:T327,0))," ",VLOOKUP(AC320,T318:Y327,5,FALSE))</f>
        <v xml:space="preserve"> </v>
      </c>
      <c r="AG320" s="419">
        <f>IF(ISNA(MATCH(AC320,L318:L325,0)),0,VLOOKUP(AC320,L318:N325,3,FALSE))</f>
        <v>0</v>
      </c>
      <c r="AH320" s="419">
        <f>IF(ISNA(MATCH(AC320,R318:R325,0)),0,VLOOKUP(AC320,R318:T325,3,FALSE))</f>
        <v>0</v>
      </c>
      <c r="AI320" s="419">
        <f>IF(ISNA(MATCH(AC320,L318:L325,0)),0,VLOOKUP(AC320,L318:P325,4,FALSE))</f>
        <v>0</v>
      </c>
      <c r="AJ320" s="419">
        <f>IF(ISNA(MATCH(AC320,R318:R325,0)),0,VLOOKUP(AC320,R318:U325,4,FALSE))</f>
        <v>0</v>
      </c>
      <c r="AK320" s="32">
        <f t="shared" si="275"/>
        <v>0</v>
      </c>
      <c r="AL320" s="32">
        <f t="shared" si="276"/>
        <v>0</v>
      </c>
      <c r="AM320" s="32">
        <f>IF(ISNA(MATCH(AC320,L318:L325,0)),0,VLOOKUP(AC320,L318:W325,AM$1,FALSE))</f>
        <v>0</v>
      </c>
      <c r="AN320" s="146">
        <f>IF(ISNA(MATCH(AC320,R318:R325,0)),0,VLOOKUP(AC320,R318:W325,AN$1,FALSE))</f>
        <v>0</v>
      </c>
      <c r="AP320" s="927"/>
      <c r="AQ320" s="927"/>
    </row>
    <row r="321" spans="1:47" ht="15.6" x14ac:dyDescent="0.3">
      <c r="A321" s="417">
        <f t="shared" si="277"/>
        <v>284</v>
      </c>
      <c r="B321" s="362" t="str">
        <f>'Event Details'!D$25</f>
        <v>R</v>
      </c>
      <c r="C321" s="381" t="str">
        <f>'Event Details'!E$25</f>
        <v>Rugby &amp; N'hampton</v>
      </c>
      <c r="D321" s="379"/>
      <c r="E321" s="378"/>
      <c r="F321" s="363" t="str">
        <f>VLOOKUP($B317,IF($H317="F",TeamSheetFemale,TeamSheetMale),$Y321-1,FALSE)</f>
        <v>R</v>
      </c>
      <c r="G321" s="380">
        <f>VLOOKUP($B317,IF($H317="F",TeamSheetFemale,TeamSheetMale),$Y321,FALSE)</f>
        <v>0</v>
      </c>
      <c r="H321" s="363" t="str">
        <f>VLOOKUP($B317,IF($H317="F",TeamSheetFemale,TeamSheetMale),$Y321+1,FALSE)</f>
        <v>RR</v>
      </c>
      <c r="I321" s="364">
        <f>VLOOKUP($B317,IF($H317="F",TeamSheetFemale,TeamSheetMale),$Y321+2,FALSE)</f>
        <v>0</v>
      </c>
      <c r="K321" s="341" t="s">
        <v>274</v>
      </c>
      <c r="L321" s="16" t="str">
        <f t="shared" si="270"/>
        <v/>
      </c>
      <c r="M321" s="927"/>
      <c r="N321" s="927"/>
      <c r="O321" s="353" t="str">
        <f>IF(LEN($M321)=1,VLOOKUP(LEFT($M321,1),B318:I325,5,FALSE),IF(LEN($M321)=2,VLOOKUP(LEFT($M321,1),B318:I325,7,FALSE),""))</f>
        <v/>
      </c>
      <c r="P321" s="373" t="str">
        <f>IF(LEN($M321)=1,VLOOKUP(LEFT($M321,1),B318:I325,6,FALSE),IF(LEN($M321)=2,VLOOKUP(LEFT($M321,1),B318:I325,8,FALSE),""))</f>
        <v/>
      </c>
      <c r="Q321" s="341" t="s">
        <v>274</v>
      </c>
      <c r="R321" s="146" t="str">
        <f t="shared" si="271"/>
        <v/>
      </c>
      <c r="S321" s="927"/>
      <c r="T321" s="927"/>
      <c r="U321" s="353" t="str">
        <f>IF(LEN($S321)=1,VLOOKUP(LEFT($S321,1),B318:I325,5,FALSE),IF(LEN($S321)=2,VLOOKUP(LEFT($S321,1),B318:I325,7,FALSE),""))</f>
        <v/>
      </c>
      <c r="V321" s="373" t="str">
        <f>IF(LEN($S321)=1,VLOOKUP(LEFT($S321,1),B318:I325,6,FALSE),IF(LEN($S321)=2,VLOOKUP(LEFT($S321,1),B318:I325,8,FALSE),""))</f>
        <v/>
      </c>
      <c r="W321" s="417">
        <f t="shared" si="278"/>
        <v>5</v>
      </c>
      <c r="Y321" s="417">
        <v>22</v>
      </c>
      <c r="Z321" s="16">
        <f t="shared" si="272"/>
        <v>0</v>
      </c>
      <c r="AA321" s="146">
        <f t="shared" si="273"/>
        <v>0</v>
      </c>
      <c r="AB321" s="32"/>
      <c r="AC321" s="16" t="str">
        <f t="shared" si="274"/>
        <v>R</v>
      </c>
      <c r="AD321" s="419" t="str">
        <f t="shared" si="274"/>
        <v>Rugby &amp; N'hampton</v>
      </c>
      <c r="AE321" s="419">
        <f>IF(ISNA(MATCH(AC321,N318:N327,0)),0,VLOOKUP(AC321,N318:S327,5,FALSE))</f>
        <v>0</v>
      </c>
      <c r="AF321" s="419" t="str">
        <f>IF(ISNA(MATCH(AC321,T318:T327,0))," ",VLOOKUP(AC321,T318:Y327,5,FALSE))</f>
        <v xml:space="preserve"> </v>
      </c>
      <c r="AG321" s="419">
        <f>IF(ISNA(MATCH(AC321,L318:L325,0)),0,VLOOKUP(AC321,L318:N325,3,FALSE))</f>
        <v>0</v>
      </c>
      <c r="AH321" s="419">
        <f>IF(ISNA(MATCH(AC321,R318:R325,0)),0,VLOOKUP(AC321,R318:T325,3,FALSE))</f>
        <v>0</v>
      </c>
      <c r="AI321" s="419">
        <f>IF(ISNA(MATCH(AC321,L318:L325,0)),0,VLOOKUP(AC321,L318:P325,4,FALSE))</f>
        <v>0</v>
      </c>
      <c r="AJ321" s="419">
        <f>IF(ISNA(MATCH(AC321,R318:R325,0)),0,VLOOKUP(AC321,R318:U325,4,FALSE))</f>
        <v>0</v>
      </c>
      <c r="AK321" s="32">
        <f t="shared" si="275"/>
        <v>0</v>
      </c>
      <c r="AL321" s="32">
        <f t="shared" si="276"/>
        <v>0</v>
      </c>
      <c r="AM321" s="32">
        <f>IF(ISNA(MATCH(AC321,L318:L325,0)),0,VLOOKUP(AC321,L318:W325,AM$1,FALSE))</f>
        <v>0</v>
      </c>
      <c r="AN321" s="146">
        <f>IF(ISNA(MATCH(AC321,R318:R325,0)),0,VLOOKUP(AC321,R318:W325,AN$1,FALSE))</f>
        <v>0</v>
      </c>
      <c r="AP321" s="927"/>
      <c r="AQ321" s="927"/>
    </row>
    <row r="322" spans="1:47" ht="15.6" x14ac:dyDescent="0.3">
      <c r="A322" s="417">
        <f t="shared" si="277"/>
        <v>285</v>
      </c>
      <c r="B322" s="362" t="str">
        <f>'Event Details'!D$26</f>
        <v>M</v>
      </c>
      <c r="C322" s="381" t="str">
        <f>'Event Details'!E$26</f>
        <v>Solihull &amp; S.Heath</v>
      </c>
      <c r="D322" s="379"/>
      <c r="E322" s="378"/>
      <c r="F322" s="363">
        <f>VLOOKUP($B317,IF($H317="F",TeamSheetFemale,TeamSheetMale),$Y322-1,FALSE)</f>
        <v>0</v>
      </c>
      <c r="G322" s="380">
        <f>VLOOKUP($B317,IF($H317="F",TeamSheetFemale,TeamSheetMale),$Y322,FALSE)</f>
        <v>0</v>
      </c>
      <c r="H322" s="363">
        <f>VLOOKUP($B317,IF($H317="F",TeamSheetFemale,TeamSheetMale),$Y322+1,FALSE)</f>
        <v>0</v>
      </c>
      <c r="I322" s="364">
        <f>VLOOKUP($B317,IF($H317="F",TeamSheetFemale,TeamSheetMale),$Y322+2,FALSE)</f>
        <v>0</v>
      </c>
      <c r="K322" s="341" t="s">
        <v>275</v>
      </c>
      <c r="L322" s="16" t="str">
        <f t="shared" si="270"/>
        <v/>
      </c>
      <c r="M322" s="927"/>
      <c r="N322" s="927"/>
      <c r="O322" s="353" t="str">
        <f>IF(LEN($M322)=1,VLOOKUP(LEFT($M322,1),B318:I325,5,FALSE),IF(LEN($M322)=2,VLOOKUP(LEFT($M322,1),B318:I325,7,FALSE),""))</f>
        <v/>
      </c>
      <c r="P322" s="373" t="str">
        <f>IF(LEN($M322)=1,VLOOKUP(LEFT($M322,1),B318:I325,6,FALSE),IF(LEN($M322)=2,VLOOKUP(LEFT($M322,1),B318:I325,8,FALSE),""))</f>
        <v/>
      </c>
      <c r="Q322" s="341" t="s">
        <v>275</v>
      </c>
      <c r="R322" s="146" t="str">
        <f t="shared" si="271"/>
        <v/>
      </c>
      <c r="S322" s="927"/>
      <c r="T322" s="927"/>
      <c r="U322" s="353" t="str">
        <f>IF(LEN($S322)=1,VLOOKUP(LEFT($S322,1),B318:I325,5,FALSE),IF(LEN($S322)=2,VLOOKUP(LEFT($S322,1),B318:I325,7,FALSE),""))</f>
        <v/>
      </c>
      <c r="V322" s="373" t="str">
        <f>IF(LEN($S322)=1,VLOOKUP(LEFT($S322,1),B318:I325,6,FALSE),IF(LEN($S322)=2,VLOOKUP(LEFT($S322,1),B318:I325,8,FALSE),""))</f>
        <v/>
      </c>
      <c r="W322" s="417">
        <f t="shared" si="278"/>
        <v>4</v>
      </c>
      <c r="Y322" s="417">
        <v>27</v>
      </c>
      <c r="Z322" s="16">
        <f t="shared" si="272"/>
        <v>0</v>
      </c>
      <c r="AA322" s="146">
        <f t="shared" si="273"/>
        <v>0</v>
      </c>
      <c r="AB322" s="32"/>
      <c r="AC322" s="16" t="str">
        <f t="shared" si="274"/>
        <v>M</v>
      </c>
      <c r="AD322" s="419" t="str">
        <f t="shared" si="274"/>
        <v>Solihull &amp; S.Heath</v>
      </c>
      <c r="AE322" s="419">
        <f>IF(ISNA(MATCH(AC322,N318:N327,0)),0,VLOOKUP(AC322,N318:S327,5,FALSE))</f>
        <v>0</v>
      </c>
      <c r="AF322" s="419" t="str">
        <f>IF(ISNA(MATCH(AC322,T318:T327,0))," ",VLOOKUP(AC322,T318:Y327,5,FALSE))</f>
        <v xml:space="preserve"> </v>
      </c>
      <c r="AG322" s="419">
        <f>IF(ISNA(MATCH(AC322,L318:L325,0)),0,VLOOKUP(AC322,L318:N325,3,FALSE))</f>
        <v>0</v>
      </c>
      <c r="AH322" s="419">
        <f>IF(ISNA(MATCH(AC322,R318:R325,0)),0,VLOOKUP(AC322,R318:T325,3,FALSE))</f>
        <v>0</v>
      </c>
      <c r="AI322" s="419">
        <f>IF(ISNA(MATCH(AC322,L318:L325,0)),0,VLOOKUP(AC322,L318:P325,4,FALSE))</f>
        <v>0</v>
      </c>
      <c r="AJ322" s="419">
        <f>IF(ISNA(MATCH(AC322,R318:R325,0)),0,VLOOKUP(AC322,R318:U325,4,FALSE))</f>
        <v>0</v>
      </c>
      <c r="AK322" s="32">
        <f t="shared" si="275"/>
        <v>0</v>
      </c>
      <c r="AL322" s="32">
        <f t="shared" si="276"/>
        <v>0</v>
      </c>
      <c r="AM322" s="32">
        <f>IF(ISNA(MATCH(AC322,L318:L325,0)),0,VLOOKUP(AC322,L318:W325,AM$1,FALSE))</f>
        <v>0</v>
      </c>
      <c r="AN322" s="146">
        <f>IF(ISNA(MATCH(AC322,R318:R325,0)),0,VLOOKUP(AC322,R318:W325,AN$1,FALSE))</f>
        <v>0</v>
      </c>
      <c r="AP322" s="927"/>
      <c r="AQ322" s="927"/>
    </row>
    <row r="323" spans="1:47" ht="15.6" x14ac:dyDescent="0.3">
      <c r="A323" s="417">
        <f t="shared" si="277"/>
        <v>286</v>
      </c>
      <c r="B323" s="362" t="str">
        <f>'Event Details'!D$27</f>
        <v>D</v>
      </c>
      <c r="C323" s="381" t="str">
        <f>'Event Details'!E$27</f>
        <v>Stratford</v>
      </c>
      <c r="D323" s="379"/>
      <c r="E323" s="378"/>
      <c r="F323" s="363">
        <f>VLOOKUP($B317,IF($H317="F",TeamSheetFemale,TeamSheetMale),$Y323-1,FALSE)</f>
        <v>0</v>
      </c>
      <c r="G323" s="380">
        <f>VLOOKUP($B317,IF($H317="F",TeamSheetFemale,TeamSheetMale),$Y323,FALSE)</f>
        <v>0</v>
      </c>
      <c r="H323" s="363">
        <f>VLOOKUP($B317,IF($H317="F",TeamSheetFemale,TeamSheetMale),$Y323+1,FALSE)</f>
        <v>0</v>
      </c>
      <c r="I323" s="364">
        <f>VLOOKUP($B317,IF($H317="F",TeamSheetFemale,TeamSheetMale),$Y323+2,FALSE)</f>
        <v>0</v>
      </c>
      <c r="K323" s="341" t="s">
        <v>276</v>
      </c>
      <c r="L323" s="16" t="str">
        <f t="shared" si="270"/>
        <v/>
      </c>
      <c r="M323" s="927"/>
      <c r="N323" s="927"/>
      <c r="O323" s="353" t="str">
        <f>IF(LEN($M323)=1,VLOOKUP(LEFT($M323,1),B318:I325,5,FALSE),IF(LEN($M323)=2,VLOOKUP(LEFT($M323,1),B318:I325,7,FALSE),""))</f>
        <v/>
      </c>
      <c r="P323" s="373" t="str">
        <f>IF(LEN($M323)=1,VLOOKUP(LEFT($M323,1),B318:I325,6,FALSE),IF(LEN($M323)=2,VLOOKUP(LEFT($M323,1),B318:I325,8,FALSE),""))</f>
        <v/>
      </c>
      <c r="Q323" s="341" t="s">
        <v>276</v>
      </c>
      <c r="R323" s="146" t="str">
        <f t="shared" si="271"/>
        <v/>
      </c>
      <c r="S323" s="927"/>
      <c r="T323" s="927"/>
      <c r="U323" s="353" t="str">
        <f>IF(LEN($S323)=1,VLOOKUP(LEFT($S323,1),B318:I325,5,FALSE),IF(LEN($S323)=2,VLOOKUP(LEFT($S323,1),B318:I325,7,FALSE),""))</f>
        <v/>
      </c>
      <c r="V323" s="373" t="str">
        <f>IF(LEN($S323)=1,VLOOKUP(LEFT($S323,1),B318:I325,6,FALSE),IF(LEN($S323)=2,VLOOKUP(LEFT($S323,1),B318:I325,8,FALSE),""))</f>
        <v/>
      </c>
      <c r="W323" s="417">
        <f t="shared" si="278"/>
        <v>3</v>
      </c>
      <c r="Y323" s="417">
        <v>32</v>
      </c>
      <c r="Z323" s="16">
        <f t="shared" si="272"/>
        <v>0</v>
      </c>
      <c r="AA323" s="146">
        <f t="shared" si="273"/>
        <v>0</v>
      </c>
      <c r="AB323" s="32"/>
      <c r="AC323" s="16" t="str">
        <f t="shared" si="274"/>
        <v>D</v>
      </c>
      <c r="AD323" s="419" t="str">
        <f t="shared" si="274"/>
        <v>Stratford</v>
      </c>
      <c r="AE323" s="419">
        <f>IF(ISNA(MATCH(AC323,N318:N327,0)),0,VLOOKUP(AC323,N318:S327,5,FALSE))</f>
        <v>0</v>
      </c>
      <c r="AF323" s="419" t="str">
        <f>IF(ISNA(MATCH(AC323,T318:T327,0))," ",VLOOKUP(AC323,T318:Y327,5,FALSE))</f>
        <v xml:space="preserve"> </v>
      </c>
      <c r="AG323" s="419">
        <f>IF(ISNA(MATCH(AC323,L318:L325,0)),0,VLOOKUP(AC323,L318:N325,3,FALSE))</f>
        <v>0</v>
      </c>
      <c r="AH323" s="419">
        <f>IF(ISNA(MATCH(AC323,R318:R325,0)),0,VLOOKUP(AC323,R318:T325,3,FALSE))</f>
        <v>0</v>
      </c>
      <c r="AI323" s="419">
        <f>IF(ISNA(MATCH(AC323,L318:L325,0)),0,VLOOKUP(AC323,L318:P325,4,FALSE))</f>
        <v>0</v>
      </c>
      <c r="AJ323" s="419">
        <f>IF(ISNA(MATCH(AC323,R318:R325,0)),0,VLOOKUP(AC323,R318:U325,4,FALSE))</f>
        <v>0</v>
      </c>
      <c r="AK323" s="32">
        <f t="shared" si="275"/>
        <v>0</v>
      </c>
      <c r="AL323" s="32">
        <f t="shared" si="276"/>
        <v>0</v>
      </c>
      <c r="AM323" s="32">
        <f>IF(ISNA(MATCH(AC323,L318:L325,0)),0,VLOOKUP(AC323,L318:W325,AM$1,FALSE))</f>
        <v>0</v>
      </c>
      <c r="AN323" s="146">
        <f>IF(ISNA(MATCH(AC323,R318:R325,0)),0,VLOOKUP(AC323,R318:W325,AN$1,FALSE))</f>
        <v>0</v>
      </c>
      <c r="AP323" s="927"/>
      <c r="AQ323" s="927"/>
    </row>
    <row r="324" spans="1:47" ht="15.6" x14ac:dyDescent="0.3">
      <c r="A324" s="417">
        <f t="shared" si="277"/>
        <v>287</v>
      </c>
      <c r="B324" s="362" t="str">
        <f>'Event Details'!D$28</f>
        <v>F</v>
      </c>
      <c r="C324" s="381" t="str">
        <f>'Event Details'!E$28</f>
        <v>Tamworth</v>
      </c>
      <c r="D324" s="379"/>
      <c r="E324" s="378"/>
      <c r="F324" s="363">
        <f>VLOOKUP($B317,IF($H317="F",TeamSheetFemale,TeamSheetMale),$Y324-1,FALSE)</f>
        <v>0</v>
      </c>
      <c r="G324" s="380">
        <f>VLOOKUP($B317,IF($H317="F",TeamSheetFemale,TeamSheetMale),$Y324,FALSE)</f>
        <v>0</v>
      </c>
      <c r="H324" s="363">
        <f>VLOOKUP($B317,IF($H317="F",TeamSheetFemale,TeamSheetMale),$Y324+1,FALSE)</f>
        <v>0</v>
      </c>
      <c r="I324" s="364">
        <f>VLOOKUP($B317,IF($H317="F",TeamSheetFemale,TeamSheetMale),$Y324+2,FALSE)</f>
        <v>0</v>
      </c>
      <c r="K324" s="341" t="s">
        <v>277</v>
      </c>
      <c r="L324" s="16" t="str">
        <f t="shared" si="270"/>
        <v/>
      </c>
      <c r="M324" s="931"/>
      <c r="N324" s="927"/>
      <c r="O324" s="353" t="str">
        <f>IF(LEN($M324)=1,VLOOKUP(LEFT($M324,1),B318:I325,5,FALSE),IF(LEN($M324)=2,VLOOKUP(LEFT($M324,1),B318:I325,7,FALSE),""))</f>
        <v/>
      </c>
      <c r="P324" s="373" t="str">
        <f>IF(LEN($M324)=1,VLOOKUP(LEFT($M324,1),B318:I325,6,FALSE),IF(LEN($M324)=2,VLOOKUP(LEFT($M324,1),B318:I325,8,FALSE),""))</f>
        <v/>
      </c>
      <c r="Q324" s="341" t="s">
        <v>277</v>
      </c>
      <c r="R324" s="146" t="str">
        <f t="shared" si="271"/>
        <v/>
      </c>
      <c r="S324" s="931"/>
      <c r="T324" s="927"/>
      <c r="U324" s="353" t="str">
        <f>IF(LEN($S324)=1,VLOOKUP(LEFT($S324,1),B318:I325,5,FALSE),IF(LEN($S324)=2,VLOOKUP(LEFT($S324,1),B318:I325,7,FALSE),""))</f>
        <v/>
      </c>
      <c r="V324" s="373" t="str">
        <f>IF(LEN($S324)=1,VLOOKUP(LEFT($S324,1),B318:I325,6,FALSE),IF(LEN($S324)=2,VLOOKUP(LEFT($S324,1),B318:I325,8,FALSE),""))</f>
        <v/>
      </c>
      <c r="W324" s="417">
        <f t="shared" si="278"/>
        <v>2</v>
      </c>
      <c r="Y324" s="417">
        <v>37</v>
      </c>
      <c r="Z324" s="16">
        <f t="shared" si="272"/>
        <v>0</v>
      </c>
      <c r="AA324" s="146">
        <f t="shared" si="273"/>
        <v>0</v>
      </c>
      <c r="AB324" s="32"/>
      <c r="AC324" s="16" t="str">
        <f t="shared" si="274"/>
        <v>F</v>
      </c>
      <c r="AD324" s="419" t="str">
        <f t="shared" si="274"/>
        <v>Tamworth</v>
      </c>
      <c r="AE324" s="419">
        <f>IF(ISNA(MATCH(AC324,N316:N325,0)),0,VLOOKUP(AC324,N316:S325,5,FALSE))</f>
        <v>0</v>
      </c>
      <c r="AF324" s="419" t="str">
        <f>IF(ISNA(MATCH(AC324,T316:T325,0))," ",VLOOKUP(AC324,T316:Y325,5,FALSE))</f>
        <v xml:space="preserve"> </v>
      </c>
      <c r="AG324" s="419">
        <f>IF(ISNA(MATCH(AC324,L318:L325,0)),0,VLOOKUP(AC324,L318:N325,3,FALSE))</f>
        <v>0</v>
      </c>
      <c r="AH324" s="419">
        <f>IF(ISNA(MATCH(AC324,R318:R325,0)),0,VLOOKUP(AC324,R318:T325,3,FALSE))</f>
        <v>0</v>
      </c>
      <c r="AI324" s="419">
        <f>IF(ISNA(MATCH(AC324,L318:L325,0)),0,VLOOKUP(AC324,L318:P325,4,FALSE))</f>
        <v>0</v>
      </c>
      <c r="AJ324" s="419">
        <f>IF(ISNA(MATCH(AC324,R318:R325,0)),0,VLOOKUP(AC324,R318:U325,4,FALSE))</f>
        <v>0</v>
      </c>
      <c r="AK324" s="32">
        <f t="shared" si="275"/>
        <v>0</v>
      </c>
      <c r="AL324" s="32">
        <f t="shared" si="276"/>
        <v>0</v>
      </c>
      <c r="AM324" s="32">
        <f>IF(ISNA(MATCH(AC324,L318:L325,0)),0,VLOOKUP(AC324,L318:W325,AM$1,FALSE))</f>
        <v>0</v>
      </c>
      <c r="AN324" s="146">
        <f>IF(ISNA(MATCH(AC324,R318:R325,0)),0,VLOOKUP(AC324,R318:W325,AN$1,FALSE))</f>
        <v>0</v>
      </c>
      <c r="AP324" s="931"/>
      <c r="AQ324" s="927"/>
    </row>
    <row r="325" spans="1:47" ht="16.2" thickBot="1" x14ac:dyDescent="0.35">
      <c r="A325" s="418">
        <f t="shared" si="277"/>
        <v>288</v>
      </c>
      <c r="B325" s="365" t="str">
        <f>'Event Details'!D$29</f>
        <v>Y</v>
      </c>
      <c r="C325" s="366" t="str">
        <f>'Event Details'!E$29</f>
        <v>Worcester</v>
      </c>
      <c r="D325" s="361"/>
      <c r="E325" s="370"/>
      <c r="F325" s="367" t="str">
        <f>VLOOKUP($B317,IF($H317="F",TeamSheetFemale,TeamSheetMale),$Y325-1,FALSE)</f>
        <v>Y</v>
      </c>
      <c r="G325" s="368" t="str">
        <f>VLOOKUP($B317,IF($H317="F",TeamSheetFemale,TeamSheetMale),$Y325,FALSE)</f>
        <v>Ella Purves</v>
      </c>
      <c r="H325" s="367">
        <f>VLOOKUP($B317,IF($H317="F",TeamSheetFemale,TeamSheetMale),$Y325+1,FALSE)</f>
        <v>0</v>
      </c>
      <c r="I325" s="369">
        <f>VLOOKUP($B317,IF($H317="F",TeamSheetFemale,TeamSheetMale),$Y325+2,FALSE)</f>
        <v>0</v>
      </c>
      <c r="K325" s="346" t="s">
        <v>278</v>
      </c>
      <c r="L325" s="25" t="str">
        <f t="shared" si="270"/>
        <v/>
      </c>
      <c r="M325" s="928"/>
      <c r="N325" s="932"/>
      <c r="O325" s="375" t="str">
        <f>IF(LEN($M325)=1,VLOOKUP(LEFT($M325,1),B318:I325,5,FALSE),IF(LEN($M325)=2,VLOOKUP(LEFT($M325,1),B318:I325,7,FALSE),""))</f>
        <v/>
      </c>
      <c r="P325" s="376" t="str">
        <f>IF(LEN($M325)=1,VLOOKUP(LEFT($M325,1),B318:I325,6,FALSE),IF(LEN($M325)=2,VLOOKUP(LEFT($M325,1),B318:I325,8,FALSE),""))</f>
        <v/>
      </c>
      <c r="Q325" s="346" t="s">
        <v>278</v>
      </c>
      <c r="R325" s="523" t="str">
        <f t="shared" si="271"/>
        <v/>
      </c>
      <c r="S325" s="928"/>
      <c r="T325" s="932"/>
      <c r="U325" s="375" t="str">
        <f>IF(LEN($S325)=1,VLOOKUP(LEFT($S325,1),B318:I325,5,FALSE),IF(LEN($S325)=2,VLOOKUP(LEFT($S325,1),B318:I325,7,FALSE),""))</f>
        <v/>
      </c>
      <c r="V325" s="376" t="str">
        <f>IF(LEN($S325)=1,VLOOKUP(LEFT($S325,1),B318:I325,6,FALSE),IF(LEN($S325)=2,VLOOKUP(LEFT($S325,1),B318:I325,8,FALSE),""))</f>
        <v/>
      </c>
      <c r="W325" s="418">
        <f t="shared" si="278"/>
        <v>1</v>
      </c>
      <c r="Y325" s="418">
        <v>42</v>
      </c>
      <c r="Z325" s="25">
        <f t="shared" si="272"/>
        <v>0</v>
      </c>
      <c r="AA325" s="523">
        <f t="shared" si="273"/>
        <v>0</v>
      </c>
      <c r="AB325" s="32"/>
      <c r="AC325" s="25" t="str">
        <f t="shared" si="274"/>
        <v>Y</v>
      </c>
      <c r="AD325" s="624" t="str">
        <f t="shared" si="274"/>
        <v>Worcester</v>
      </c>
      <c r="AE325" s="624">
        <f>IF(ISNA(MATCH(AC325,N317:N326,0)),0,VLOOKUP(AC325,N317:S326,5,FALSE))</f>
        <v>0</v>
      </c>
      <c r="AF325" s="624" t="str">
        <f t="shared" ref="AF325" si="279">IF(ISNA(MATCH(AC325,T317:T326,0))," ",VLOOKUP(AC325,T317:Y326,5,FALSE))</f>
        <v xml:space="preserve"> </v>
      </c>
      <c r="AG325" s="624" t="str">
        <f>IF(ISNA(MATCH(AC325,L318:L325,0)),0,VLOOKUP(AC325,L318:N325,3,FALSE))</f>
        <v>2.28.3</v>
      </c>
      <c r="AH325" s="624">
        <f>IF(ISNA(MATCH(AC325,R318:R325,0)),0,VLOOKUP(AC325,R318:T325,3,FALSE))</f>
        <v>0</v>
      </c>
      <c r="AI325" s="624" t="str">
        <f>IF(ISNA(MATCH(AC325,L318:L325,0)),0,VLOOKUP(AC325,L318:P325,4,FALSE))</f>
        <v>Y</v>
      </c>
      <c r="AJ325" s="624">
        <f>IF(ISNA(MATCH(AC325,R318:R325,0)),0,VLOOKUP(AC325,R318:U325,4,FALSE))</f>
        <v>0</v>
      </c>
      <c r="AK325" s="116">
        <f t="shared" si="275"/>
        <v>1</v>
      </c>
      <c r="AL325" s="116">
        <f t="shared" si="276"/>
        <v>0</v>
      </c>
      <c r="AM325" s="116">
        <f>IF(ISNA(MATCH(AC325,L318:L325,0)),0,VLOOKUP(AC325,L318:W325,AM$1,FALSE))</f>
        <v>8</v>
      </c>
      <c r="AN325" s="523">
        <f>IF(ISNA(MATCH(AC325,R318:R325,0)),0,VLOOKUP(AC325,R318:W325,AN$1,FALSE))</f>
        <v>0</v>
      </c>
      <c r="AP325" s="928"/>
      <c r="AQ325" s="932"/>
    </row>
    <row r="326" spans="1:47" ht="15" thickBot="1" x14ac:dyDescent="0.35">
      <c r="M326" s="276"/>
      <c r="N326" s="307"/>
      <c r="S326" s="276"/>
      <c r="T326" s="307"/>
      <c r="AP326" s="276"/>
      <c r="AQ326" s="307"/>
    </row>
    <row r="327" spans="1:47" x14ac:dyDescent="0.3">
      <c r="B327" s="400" t="s">
        <v>258</v>
      </c>
      <c r="C327" s="398"/>
      <c r="D327" s="401" t="s">
        <v>165</v>
      </c>
      <c r="E327" s="398"/>
      <c r="F327" s="398"/>
      <c r="G327" s="402" t="s">
        <v>259</v>
      </c>
      <c r="H327" s="403" t="s">
        <v>249</v>
      </c>
      <c r="I327" s="404" t="s">
        <v>168</v>
      </c>
      <c r="K327" s="360"/>
      <c r="L327" s="661"/>
      <c r="M327" s="387" t="s">
        <v>260</v>
      </c>
      <c r="N327" s="387" t="s">
        <v>261</v>
      </c>
      <c r="O327" s="387" t="s">
        <v>262</v>
      </c>
      <c r="P327" s="388" t="s">
        <v>75</v>
      </c>
      <c r="Q327" s="412"/>
      <c r="R327" s="657"/>
      <c r="S327" s="387" t="s">
        <v>260</v>
      </c>
      <c r="T327" s="387" t="s">
        <v>261</v>
      </c>
      <c r="U327" s="387" t="s">
        <v>262</v>
      </c>
      <c r="V327" s="388" t="s">
        <v>75</v>
      </c>
      <c r="W327" s="672" t="s">
        <v>76</v>
      </c>
      <c r="Y327" s="654" t="s">
        <v>263</v>
      </c>
      <c r="Z327" s="656" t="s">
        <v>74</v>
      </c>
      <c r="AA327" s="657" t="s">
        <v>75</v>
      </c>
      <c r="AC327" s="665" t="s">
        <v>71</v>
      </c>
      <c r="AD327" s="657" t="s">
        <v>86</v>
      </c>
      <c r="AE327" s="661" t="s">
        <v>149</v>
      </c>
      <c r="AF327" s="661" t="s">
        <v>94</v>
      </c>
      <c r="AG327" s="661" t="s">
        <v>149</v>
      </c>
      <c r="AH327" s="661" t="s">
        <v>94</v>
      </c>
      <c r="AI327" s="661" t="s">
        <v>149</v>
      </c>
      <c r="AJ327" s="661" t="s">
        <v>94</v>
      </c>
      <c r="AK327" s="1332" t="s">
        <v>149</v>
      </c>
      <c r="AL327" s="661" t="s">
        <v>94</v>
      </c>
      <c r="AM327" s="1406" t="s">
        <v>76</v>
      </c>
      <c r="AN327" s="1407"/>
      <c r="AP327" s="387" t="s">
        <v>260</v>
      </c>
      <c r="AQ327" s="387" t="s">
        <v>261</v>
      </c>
      <c r="AS327" s="1218" t="s">
        <v>165</v>
      </c>
      <c r="AT327" s="1219" t="s">
        <v>79</v>
      </c>
      <c r="AU327" s="1220" t="s">
        <v>80</v>
      </c>
    </row>
    <row r="328" spans="1:47" ht="15" thickBot="1" x14ac:dyDescent="0.35">
      <c r="B328" s="405">
        <v>29</v>
      </c>
      <c r="C328" s="399"/>
      <c r="D328" s="385" t="str">
        <f>VLOOKUP($B328,EventOrder,6,FALSE)</f>
        <v xml:space="preserve">High Jump </v>
      </c>
      <c r="E328" s="399"/>
      <c r="F328" s="385"/>
      <c r="G328" s="386" t="str">
        <f>VLOOKUP($B328,EventOrder,4,FALSE)</f>
        <v>U14 Female</v>
      </c>
      <c r="H328" s="396" t="str">
        <f>IF(MID(G328,5,1)="F","F","M")</f>
        <v>F</v>
      </c>
      <c r="I328" s="397">
        <f>VLOOKUP($B328,EventOrder,2,FALSE)</f>
        <v>1.3</v>
      </c>
      <c r="K328" s="372"/>
      <c r="L328" s="667" t="s">
        <v>149</v>
      </c>
      <c r="M328" s="409" t="s">
        <v>264</v>
      </c>
      <c r="N328" s="409" t="s">
        <v>265</v>
      </c>
      <c r="O328" s="409" t="s">
        <v>266</v>
      </c>
      <c r="P328" s="408"/>
      <c r="Q328" s="413"/>
      <c r="R328" s="659" t="s">
        <v>94</v>
      </c>
      <c r="S328" s="409" t="s">
        <v>264</v>
      </c>
      <c r="T328" s="409" t="s">
        <v>265</v>
      </c>
      <c r="U328" s="409" t="s">
        <v>266</v>
      </c>
      <c r="V328" s="408"/>
      <c r="W328" s="671"/>
      <c r="Y328" s="655" t="s">
        <v>167</v>
      </c>
      <c r="Z328" s="658" t="s">
        <v>149</v>
      </c>
      <c r="AA328" s="659" t="s">
        <v>94</v>
      </c>
      <c r="AC328" s="666"/>
      <c r="AD328" s="668"/>
      <c r="AE328" s="768" t="s">
        <v>75</v>
      </c>
      <c r="AF328" s="768" t="s">
        <v>75</v>
      </c>
      <c r="AG328" s="768" t="s">
        <v>267</v>
      </c>
      <c r="AH328" s="768" t="s">
        <v>267</v>
      </c>
      <c r="AI328" s="768" t="s">
        <v>268</v>
      </c>
      <c r="AJ328" s="768" t="s">
        <v>268</v>
      </c>
      <c r="AK328" s="770" t="s">
        <v>269</v>
      </c>
      <c r="AL328" s="768" t="s">
        <v>269</v>
      </c>
      <c r="AM328" s="667" t="s">
        <v>149</v>
      </c>
      <c r="AN328" s="659" t="s">
        <v>94</v>
      </c>
      <c r="AP328" s="409" t="s">
        <v>264</v>
      </c>
      <c r="AQ328" s="409" t="s">
        <v>265</v>
      </c>
      <c r="AS328" s="1221" t="s">
        <v>270</v>
      </c>
      <c r="AT328" s="1222" t="s">
        <v>270</v>
      </c>
      <c r="AU328" s="1223" t="s">
        <v>270</v>
      </c>
    </row>
    <row r="329" spans="1:47" ht="15.6" x14ac:dyDescent="0.3">
      <c r="A329" s="416">
        <f>(B328*10)+1</f>
        <v>291</v>
      </c>
      <c r="B329" s="362" t="str">
        <f>'Event Details'!D$22</f>
        <v>S</v>
      </c>
      <c r="C329" s="381" t="str">
        <f>'Event Details'!E$22</f>
        <v>BRAT</v>
      </c>
      <c r="D329" s="379"/>
      <c r="E329" s="378"/>
      <c r="F329" s="363" t="str">
        <f>VLOOKUP($B328,IF($H328="F",TeamSheetFemale,TeamSheetMale),$Y329-1,FALSE)</f>
        <v>S</v>
      </c>
      <c r="G329" s="380" t="str">
        <f>VLOOKUP($B328,IF($H328="F",TeamSheetFemale,TeamSheetMale),$Y329,FALSE)</f>
        <v>Rose Ricardo</v>
      </c>
      <c r="H329" s="363" t="str">
        <f>VLOOKUP($B328,IF($H328="F",TeamSheetFemale,TeamSheetMale),$Y329+1,FALSE)</f>
        <v>SS</v>
      </c>
      <c r="I329" s="364" t="str">
        <f>VLOOKUP($B328,IF($H328="F",TeamSheetFemale,TeamSheetMale),$Y329+2,FALSE)</f>
        <v>Mar O'Connor Delgado</v>
      </c>
      <c r="K329" s="393" t="s">
        <v>271</v>
      </c>
      <c r="L329" s="16" t="str">
        <f t="shared" ref="L329:L336" si="280">LEFT(M329,1)</f>
        <v>D</v>
      </c>
      <c r="M329" s="926" t="s">
        <v>136</v>
      </c>
      <c r="N329" s="926">
        <v>1.47</v>
      </c>
      <c r="O329" s="394" t="str">
        <f>IF(LEN($M329)=1,VLOOKUP(LEFT($M329,1),B329:I336,5,FALSE),IF(LEN($M329)=2,VLOOKUP(LEFT($M329,1),B329:I336,7,FALSE),""))</f>
        <v>D</v>
      </c>
      <c r="P329" s="395" t="str">
        <f>IF(LEN($M329)=1,VLOOKUP(LEFT($M329,1),B329:I336,6,FALSE),IF(LEN($M329)=2,VLOOKUP(LEFT($M329,1),B329:I336,8,FALSE),""))</f>
        <v>Martha Edwards</v>
      </c>
      <c r="Q329" s="406" t="s">
        <v>271</v>
      </c>
      <c r="R329" s="146" t="str">
        <f t="shared" ref="R329:R336" si="281">LEFT(S329,1)</f>
        <v>U</v>
      </c>
      <c r="S329" s="926" t="s">
        <v>726</v>
      </c>
      <c r="T329" s="926">
        <v>1.3</v>
      </c>
      <c r="U329" s="394" t="str">
        <f>IF(LEN($S329)=1,VLOOKUP(LEFT($S329,1),B329:I336,5,FALSE),IF(LEN($S329)=2,VLOOKUP(LEFT($S329,1),B329:I336,7,FALSE),""))</f>
        <v>UU</v>
      </c>
      <c r="V329" s="395" t="str">
        <f>IF(LEN($S329)=1,VLOOKUP(LEFT($S329,1),B329:I336,6,FALSE),IF(LEN($S329)=2,VLOOKUP(LEFT($S329,1),B329:I336,8,FALSE),""))</f>
        <v>Amelie Davis-Beard</v>
      </c>
      <c r="W329" s="417">
        <f>AN$6</f>
        <v>8</v>
      </c>
      <c r="Y329" s="653">
        <v>7</v>
      </c>
      <c r="Z329" s="653" t="str">
        <f t="shared" ref="Z329:Z336" si="282">IF(LEN(M329)&gt;0,VLOOKUP(LEFT(M329,1),ShortName,5,FALSE),0)</f>
        <v>Strat</v>
      </c>
      <c r="AA329" s="138" t="str">
        <f t="shared" ref="AA329:AA336" si="283">IF(LEN(S329)&gt;0,VLOOKUP(LEFT(S329,1),ShortName,5,FALSE),0)</f>
        <v>K&amp;S</v>
      </c>
      <c r="AC329" s="16" t="str">
        <f t="shared" ref="AC329:AD336" si="284">B329</f>
        <v>S</v>
      </c>
      <c r="AD329" s="419" t="str">
        <f t="shared" si="284"/>
        <v>BRAT</v>
      </c>
      <c r="AE329" s="635">
        <f>IF(ISNA(MATCH(AC329,N329:N338,0)),0,VLOOKUP(AC329,N329:S338,5,FALSE))</f>
        <v>0</v>
      </c>
      <c r="AF329" s="635" t="str">
        <f>IF(ISNA(MATCH(AC329,T329:T338,0))," ",VLOOKUP(AC329,T329:Y338,5,FALSE))</f>
        <v xml:space="preserve"> </v>
      </c>
      <c r="AG329" s="635">
        <f>IF(ISNA(MATCH(AC329,L329:L336,0)),0,VLOOKUP(AC329,L329:N336,3,FALSE))</f>
        <v>1.44</v>
      </c>
      <c r="AH329" s="635">
        <f>IF(ISNA(MATCH(AC329,R329:R336,0)),0,VLOOKUP(AC329,R329:T336,3,FALSE))</f>
        <v>1.3</v>
      </c>
      <c r="AI329" s="635" t="str">
        <f>IF(ISNA(MATCH(AC329,L329:L336,0)),0,VLOOKUP(AC329,L329:P336,4,FALSE))</f>
        <v>S</v>
      </c>
      <c r="AJ329" s="635" t="str">
        <f>IF(ISNA(MATCH(AC329,R329:R336,0)),0,VLOOKUP(AC329,R329:U336,4,FALSE))</f>
        <v>SS</v>
      </c>
      <c r="AK329" s="49">
        <f t="shared" ref="AK329:AK336" si="285">IF(AM329=0,0,AN$6-(AM329-1))</f>
        <v>2</v>
      </c>
      <c r="AL329" s="49">
        <f t="shared" ref="AL329:AL336" si="286">IF(AN329=0,0,AN$6-(AN329-1))</f>
        <v>2</v>
      </c>
      <c r="AM329" s="49">
        <f>IF(ISNA(MATCH(AC329,L329:L336,0)),0,VLOOKUP(AC329,L329:W336,AM$1,FALSE))</f>
        <v>7</v>
      </c>
      <c r="AN329" s="138">
        <f>IF(ISNA(MATCH(AC329,R329:R336,0)),0,VLOOKUP(AC329,R329:W336,AN$1,FALSE))</f>
        <v>7</v>
      </c>
      <c r="AP329" s="926"/>
      <c r="AQ329" s="926"/>
      <c r="AS329" s="32">
        <f>IF(LEN(N329)&gt;0,1,0)</f>
        <v>1</v>
      </c>
      <c r="AT329" s="32">
        <f>IF(AND(AS329=1,H328="M"),1,0)</f>
        <v>0</v>
      </c>
      <c r="AU329" s="32">
        <f>IF(AND(AS329=1,H328="F"),1,0)</f>
        <v>1</v>
      </c>
    </row>
    <row r="330" spans="1:47" ht="15.6" x14ac:dyDescent="0.3">
      <c r="A330" s="417">
        <f>A329+1</f>
        <v>292</v>
      </c>
      <c r="B330" s="362" t="str">
        <f>'Event Details'!D$23</f>
        <v>U</v>
      </c>
      <c r="C330" s="381" t="str">
        <f>'Event Details'!E$23</f>
        <v>Kidder &amp; Stourport</v>
      </c>
      <c r="D330" s="379"/>
      <c r="E330" s="378"/>
      <c r="F330" s="363" t="str">
        <f>VLOOKUP($B328,IF($H328="F",TeamSheetFemale,TeamSheetMale),$Y330-1,FALSE)</f>
        <v>U</v>
      </c>
      <c r="G330" s="380" t="str">
        <f>VLOOKUP($B328,IF($H328="F",TeamSheetFemale,TeamSheetMale),$Y330,FALSE)</f>
        <v>Lila Warwick</v>
      </c>
      <c r="H330" s="363" t="str">
        <f>VLOOKUP($B328,IF($H328="F",TeamSheetFemale,TeamSheetMale),$Y330+1,FALSE)</f>
        <v>UU</v>
      </c>
      <c r="I330" s="364" t="str">
        <f>VLOOKUP($B328,IF($H328="F",TeamSheetFemale,TeamSheetMale),$Y330+2,FALSE)</f>
        <v>Amelie Davis-Beard</v>
      </c>
      <c r="K330" s="341" t="s">
        <v>272</v>
      </c>
      <c r="L330" s="16" t="str">
        <f t="shared" si="280"/>
        <v>S</v>
      </c>
      <c r="M330" s="927" t="s">
        <v>100</v>
      </c>
      <c r="N330" s="927">
        <v>1.44</v>
      </c>
      <c r="O330" s="354" t="str">
        <f>IF(LEN($M330)=1,VLOOKUP(LEFT($M330,1),B329:I336,5,FALSE),IF(LEN($M330)=2,VLOOKUP(LEFT($M330,1),B329:I336,7,FALSE),""))</f>
        <v>S</v>
      </c>
      <c r="P330" s="410" t="str">
        <f>IF(LEN($M330)=1,VLOOKUP(LEFT($M330,1),B329:I336,6,FALSE),IF(LEN($M330)=2,VLOOKUP(LEFT($M330,1),B329:I336,8,FALSE),""))</f>
        <v>Rose Ricardo</v>
      </c>
      <c r="Q330" s="371" t="s">
        <v>272</v>
      </c>
      <c r="R330" s="146" t="str">
        <f t="shared" si="281"/>
        <v>S</v>
      </c>
      <c r="S330" s="927" t="s">
        <v>818</v>
      </c>
      <c r="T330" s="927">
        <v>1.3</v>
      </c>
      <c r="U330" s="354" t="str">
        <f>IF(LEN($S330)=1,VLOOKUP(LEFT($S330,1),B329:I336,5,FALSE),IF(LEN($S330)=2,VLOOKUP(LEFT($S330,1),B329:I336,7,FALSE),""))</f>
        <v>SS</v>
      </c>
      <c r="V330" s="410" t="str">
        <f>IF(LEN($S330)=1,VLOOKUP(LEFT($S330,1),B329:I336,6,FALSE),IF(LEN($S330)=2,VLOOKUP(LEFT($S330,1),B329:I336,8,FALSE),""))</f>
        <v>Mar O'Connor Delgado</v>
      </c>
      <c r="W330" s="417">
        <f>W329-1</f>
        <v>7</v>
      </c>
      <c r="Y330" s="16">
        <v>12</v>
      </c>
      <c r="Z330" s="16" t="str">
        <f t="shared" si="282"/>
        <v>BRAT</v>
      </c>
      <c r="AA330" s="146" t="str">
        <f t="shared" si="283"/>
        <v>BRAT</v>
      </c>
      <c r="AC330" s="16" t="str">
        <f t="shared" si="284"/>
        <v>U</v>
      </c>
      <c r="AD330" s="419" t="str">
        <f t="shared" si="284"/>
        <v>Kidder &amp; Stourport</v>
      </c>
      <c r="AE330" s="419">
        <f>IF(ISNA(MATCH(AC330,N329:N338,0)),0,VLOOKUP(AC330,N329:S338,5,FALSE))</f>
        <v>0</v>
      </c>
      <c r="AF330" s="419" t="str">
        <f>IF(ISNA(MATCH(AC330,T329:T338,0))," ",VLOOKUP(AC330,T329:Y338,5,FALSE))</f>
        <v xml:space="preserve"> </v>
      </c>
      <c r="AG330" s="419">
        <f>IF(ISNA(MATCH(AC330,L329:L336,0)),0,VLOOKUP(AC330,L329:N336,3,FALSE))</f>
        <v>1.3</v>
      </c>
      <c r="AH330" s="419">
        <f>IF(ISNA(MATCH(AC330,R329:R336,0)),0,VLOOKUP(AC330,R329:T336,3,FALSE))</f>
        <v>1.3</v>
      </c>
      <c r="AI330" s="419" t="str">
        <f>IF(ISNA(MATCH(AC330,L329:L336,0)),0,VLOOKUP(AC330,L329:P336,4,FALSE))</f>
        <v>U</v>
      </c>
      <c r="AJ330" s="419" t="str">
        <f>IF(ISNA(MATCH(AC330,R329:R336,0)),0,VLOOKUP(AC330,R329:U336,4,FALSE))</f>
        <v>UU</v>
      </c>
      <c r="AK330" s="32">
        <f t="shared" si="285"/>
        <v>3.5</v>
      </c>
      <c r="AL330" s="32">
        <f t="shared" si="286"/>
        <v>1</v>
      </c>
      <c r="AM330" s="32">
        <v>5.5</v>
      </c>
      <c r="AN330" s="146">
        <f>IF(ISNA(MATCH(AC330,R329:R336,0)),0,VLOOKUP(AC330,R329:W336,AN$1,FALSE))</f>
        <v>8</v>
      </c>
      <c r="AP330" s="927"/>
      <c r="AQ330" s="927"/>
    </row>
    <row r="331" spans="1:47" ht="15.6" x14ac:dyDescent="0.3">
      <c r="A331" s="417">
        <f t="shared" ref="A331:A336" si="287">A330+1</f>
        <v>293</v>
      </c>
      <c r="B331" s="362" t="str">
        <f>'Event Details'!D$24</f>
        <v>G</v>
      </c>
      <c r="C331" s="381" t="str">
        <f>'Event Details'!E$24</f>
        <v>Royal Sutton</v>
      </c>
      <c r="D331" s="379"/>
      <c r="E331" s="378"/>
      <c r="F331" s="363" t="str">
        <f>VLOOKUP($B328,IF($H328="F",TeamSheetFemale,TeamSheetMale),$Y331-1,FALSE)</f>
        <v>G</v>
      </c>
      <c r="G331" s="380" t="str">
        <f>VLOOKUP($B328,IF($H328="F",TeamSheetFemale,TeamSheetMale),$Y331,FALSE)</f>
        <v>Annabelle Ani</v>
      </c>
      <c r="H331" s="363" t="str">
        <f>VLOOKUP($B328,IF($H328="F",TeamSheetFemale,TeamSheetMale),$Y331+1,FALSE)</f>
        <v>GG</v>
      </c>
      <c r="I331" s="364" t="str">
        <f>VLOOKUP($B328,IF($H328="F",TeamSheetFemale,TeamSheetMale),$Y331+2,FALSE)</f>
        <v>Abigail Dilworth</v>
      </c>
      <c r="K331" s="341" t="s">
        <v>273</v>
      </c>
      <c r="L331" s="16" t="str">
        <f t="shared" si="280"/>
        <v>G</v>
      </c>
      <c r="M331" s="927" t="s">
        <v>110</v>
      </c>
      <c r="N331" s="927">
        <v>1.3</v>
      </c>
      <c r="O331" s="354" t="str">
        <f>IF(LEN($M331)=1,VLOOKUP(LEFT($M331,1),B329:I336,5,FALSE),IF(LEN($M331)=2,VLOOKUP(LEFT($M331,1),B329:I336,7,FALSE),""))</f>
        <v>G</v>
      </c>
      <c r="P331" s="410" t="str">
        <f>IF(LEN($M331)=1,VLOOKUP(LEFT($M331,1),B329:I336,6,FALSE),IF(LEN($M331)=2,VLOOKUP(LEFT($M331,1),B329:I336,8,FALSE),""))</f>
        <v>Annabelle Ani</v>
      </c>
      <c r="Q331" s="371" t="s">
        <v>273</v>
      </c>
      <c r="R331" s="146" t="str">
        <f t="shared" si="281"/>
        <v>R</v>
      </c>
      <c r="S331" s="927" t="s">
        <v>819</v>
      </c>
      <c r="T331" s="927">
        <v>1.2</v>
      </c>
      <c r="U331" s="354" t="str">
        <f>IF(LEN($S331)=1,VLOOKUP(LEFT($S331,1),B329:I336,5,FALSE),IF(LEN($S331)=2,VLOOKUP(LEFT($S331,1),B329:I336,7,FALSE),""))</f>
        <v>RR</v>
      </c>
      <c r="V331" s="410" t="str">
        <f>IF(LEN($S331)=1,VLOOKUP(LEFT($S331,1),B329:I336,6,FALSE),IF(LEN($S331)=2,VLOOKUP(LEFT($S331,1),B329:I336,8,FALSE),""))</f>
        <v>Grace Read</v>
      </c>
      <c r="W331" s="417">
        <f t="shared" ref="W331:W336" si="288">W330-1</f>
        <v>6</v>
      </c>
      <c r="Y331" s="16">
        <v>17</v>
      </c>
      <c r="Z331" s="16" t="str">
        <f t="shared" si="282"/>
        <v>Royal</v>
      </c>
      <c r="AA331" s="146" t="str">
        <f t="shared" si="283"/>
        <v>Rugby</v>
      </c>
      <c r="AC331" s="16" t="str">
        <f t="shared" si="284"/>
        <v>G</v>
      </c>
      <c r="AD331" s="419" t="str">
        <f t="shared" si="284"/>
        <v>Royal Sutton</v>
      </c>
      <c r="AE331" s="419">
        <f>IF(ISNA(MATCH(AC331,N329:N338,0)),0,VLOOKUP(AC331,N329:S338,5,FALSE))</f>
        <v>0</v>
      </c>
      <c r="AF331" s="419" t="str">
        <f>IF(ISNA(MATCH(AC331,T329:T338,0))," ",VLOOKUP(AC331,T329:Y338,5,FALSE))</f>
        <v xml:space="preserve"> </v>
      </c>
      <c r="AG331" s="419">
        <f>IF(ISNA(MATCH(AC331,L329:L336,0)),0,VLOOKUP(AC331,L329:N336,3,FALSE))</f>
        <v>1.3</v>
      </c>
      <c r="AH331" s="419">
        <f>IF(ISNA(MATCH(AC331,R329:R336,0)),0,VLOOKUP(AC331,R329:T336,3,FALSE))</f>
        <v>1.1499999999999999</v>
      </c>
      <c r="AI331" s="419" t="str">
        <f>IF(ISNA(MATCH(AC331,L329:L336,0)),0,VLOOKUP(AC331,L329:P336,4,FALSE))</f>
        <v>G</v>
      </c>
      <c r="AJ331" s="419" t="str">
        <f>IF(ISNA(MATCH(AC331,R329:R336,0)),0,VLOOKUP(AC331,R329:U336,4,FALSE))</f>
        <v>GG</v>
      </c>
      <c r="AK331" s="32">
        <f t="shared" si="285"/>
        <v>3.5</v>
      </c>
      <c r="AL331" s="32">
        <f t="shared" si="286"/>
        <v>7.5</v>
      </c>
      <c r="AM331" s="32">
        <v>5.5</v>
      </c>
      <c r="AN331" s="146">
        <v>1.5</v>
      </c>
      <c r="AP331" s="927"/>
      <c r="AQ331" s="927"/>
    </row>
    <row r="332" spans="1:47" ht="15.6" x14ac:dyDescent="0.3">
      <c r="A332" s="417">
        <f t="shared" si="287"/>
        <v>294</v>
      </c>
      <c r="B332" s="362" t="str">
        <f>'Event Details'!D$25</f>
        <v>R</v>
      </c>
      <c r="C332" s="381" t="str">
        <f>'Event Details'!E$25</f>
        <v>Rugby &amp; N'hampton</v>
      </c>
      <c r="D332" s="379"/>
      <c r="E332" s="378"/>
      <c r="F332" s="363" t="str">
        <f>VLOOKUP($B328,IF($H328="F",TeamSheetFemale,TeamSheetMale),$Y332-1,FALSE)</f>
        <v>R</v>
      </c>
      <c r="G332" s="380" t="str">
        <f>VLOOKUP($B328,IF($H328="F",TeamSheetFemale,TeamSheetMale),$Y332,FALSE)</f>
        <v>Megan McKeown</v>
      </c>
      <c r="H332" s="363" t="str">
        <f>VLOOKUP($B328,IF($H328="F",TeamSheetFemale,TeamSheetMale),$Y332+1,FALSE)</f>
        <v>RR</v>
      </c>
      <c r="I332" s="364" t="str">
        <f>VLOOKUP($B328,IF($H328="F",TeamSheetFemale,TeamSheetMale),$Y332+2,FALSE)</f>
        <v>Grace Read</v>
      </c>
      <c r="K332" s="341" t="s">
        <v>274</v>
      </c>
      <c r="L332" s="16" t="str">
        <f t="shared" si="280"/>
        <v>U</v>
      </c>
      <c r="M332" s="927" t="s">
        <v>130</v>
      </c>
      <c r="N332" s="927">
        <v>1.3</v>
      </c>
      <c r="O332" s="354" t="str">
        <f>IF(LEN($M332)=1,VLOOKUP(LEFT($M332,1),B329:I336,5,FALSE),IF(LEN($M332)=2,VLOOKUP(LEFT($M332,1),B329:I336,7,FALSE),""))</f>
        <v>U</v>
      </c>
      <c r="P332" s="410" t="str">
        <f>IF(LEN($M332)=1,VLOOKUP(LEFT($M332,1),B329:I336,6,FALSE),IF(LEN($M332)=2,VLOOKUP(LEFT($M332,1),B329:I336,8,FALSE),""))</f>
        <v>Lila Warwick</v>
      </c>
      <c r="Q332" s="371" t="s">
        <v>274</v>
      </c>
      <c r="R332" s="146" t="str">
        <f t="shared" si="281"/>
        <v>D</v>
      </c>
      <c r="S332" s="927" t="s">
        <v>513</v>
      </c>
      <c r="T332" s="927">
        <v>1.2</v>
      </c>
      <c r="U332" s="354" t="str">
        <f>IF(LEN($S332)=1,VLOOKUP(LEFT($S332,1),B329:I336,5,FALSE),IF(LEN($S332)=2,VLOOKUP(LEFT($S332,1),B329:I336,7,FALSE),""))</f>
        <v>DD</v>
      </c>
      <c r="V332" s="410" t="str">
        <f>IF(LEN($S332)=1,VLOOKUP(LEFT($S332,1),B329:I336,6,FALSE),IF(LEN($S332)=2,VLOOKUP(LEFT($S332,1),B329:I336,8,FALSE),""))</f>
        <v>Lara Ryan-Gill</v>
      </c>
      <c r="W332" s="417">
        <f t="shared" si="288"/>
        <v>5</v>
      </c>
      <c r="Y332" s="16">
        <v>22</v>
      </c>
      <c r="Z332" s="16" t="str">
        <f t="shared" si="282"/>
        <v>K&amp;S</v>
      </c>
      <c r="AA332" s="146" t="str">
        <f t="shared" si="283"/>
        <v>Strat</v>
      </c>
      <c r="AC332" s="16" t="str">
        <f t="shared" si="284"/>
        <v>R</v>
      </c>
      <c r="AD332" s="419" t="str">
        <f t="shared" si="284"/>
        <v>Rugby &amp; N'hampton</v>
      </c>
      <c r="AE332" s="419">
        <f>IF(ISNA(MATCH(AC332,N329:N338,0)),0,VLOOKUP(AC332,N329:S338,5,FALSE))</f>
        <v>0</v>
      </c>
      <c r="AF332" s="419" t="str">
        <f>IF(ISNA(MATCH(AC332,T329:T338,0))," ",VLOOKUP(AC332,T329:Y338,5,FALSE))</f>
        <v xml:space="preserve"> </v>
      </c>
      <c r="AG332" s="419">
        <f>IF(ISNA(MATCH(AC332,L329:L336,0)),0,VLOOKUP(AC332,L329:N336,3,FALSE))</f>
        <v>1.2</v>
      </c>
      <c r="AH332" s="419">
        <f>IF(ISNA(MATCH(AC332,R329:R336,0)),0,VLOOKUP(AC332,R329:T336,3,FALSE))</f>
        <v>1.2</v>
      </c>
      <c r="AI332" s="419" t="str">
        <f>IF(ISNA(MATCH(AC332,L329:L336,0)),0,VLOOKUP(AC332,L329:P336,4,FALSE))</f>
        <v>R</v>
      </c>
      <c r="AJ332" s="419" t="str">
        <f>IF(ISNA(MATCH(AC332,R329:R336,0)),0,VLOOKUP(AC332,R329:U336,4,FALSE))</f>
        <v>RR</v>
      </c>
      <c r="AK332" s="32">
        <f t="shared" si="285"/>
        <v>7</v>
      </c>
      <c r="AL332" s="32">
        <f t="shared" si="286"/>
        <v>3</v>
      </c>
      <c r="AM332" s="32">
        <f>IF(ISNA(MATCH(AC332,L329:L336,0)),0,VLOOKUP(AC332,L329:W336,AM$1,FALSE))</f>
        <v>2</v>
      </c>
      <c r="AN332" s="146">
        <f>IF(ISNA(MATCH(AC332,R329:R336,0)),0,VLOOKUP(AC332,R329:W336,AN$1,FALSE))</f>
        <v>6</v>
      </c>
      <c r="AP332" s="927"/>
      <c r="AQ332" s="927"/>
    </row>
    <row r="333" spans="1:47" ht="15.6" x14ac:dyDescent="0.3">
      <c r="A333" s="417">
        <f t="shared" si="287"/>
        <v>295</v>
      </c>
      <c r="B333" s="362" t="str">
        <f>'Event Details'!D$26</f>
        <v>M</v>
      </c>
      <c r="C333" s="381" t="str">
        <f>'Event Details'!E$26</f>
        <v>Solihull &amp; S.Heath</v>
      </c>
      <c r="D333" s="379"/>
      <c r="E333" s="378"/>
      <c r="F333" s="363" t="str">
        <f>VLOOKUP($B328,IF($H328="F",TeamSheetFemale,TeamSheetMale),$Y333-1,FALSE)</f>
        <v>M</v>
      </c>
      <c r="G333" s="380" t="str">
        <f>VLOOKUP($B328,IF($H328="F",TeamSheetFemale,TeamSheetMale),$Y333,FALSE)</f>
        <v>Chloe Burt</v>
      </c>
      <c r="H333" s="363" t="str">
        <f>VLOOKUP($B328,IF($H328="F",TeamSheetFemale,TeamSheetMale),$Y333+1,FALSE)</f>
        <v>MM</v>
      </c>
      <c r="I333" s="364" t="str">
        <f>VLOOKUP($B328,IF($H328="F",TeamSheetFemale,TeamSheetMale),$Y333+2,FALSE)</f>
        <v>Emily Ross</v>
      </c>
      <c r="K333" s="341" t="s">
        <v>275</v>
      </c>
      <c r="L333" s="16" t="str">
        <f t="shared" si="280"/>
        <v>M</v>
      </c>
      <c r="M333" s="927" t="s">
        <v>127</v>
      </c>
      <c r="N333" s="927">
        <v>1.3</v>
      </c>
      <c r="O333" s="354" t="str">
        <f>IF(LEN($M333)=1,VLOOKUP(LEFT($M333,1),B329:I336,5,FALSE),IF(LEN($M333)=2,VLOOKUP(LEFT($M333,1),B329:I336,7,FALSE),""))</f>
        <v>M</v>
      </c>
      <c r="P333" s="410" t="str">
        <f>IF(LEN($M333)=1,VLOOKUP(LEFT($M333,1),B329:I336,6,FALSE),IF(LEN($M333)=2,VLOOKUP(LEFT($M333,1),B329:I336,8,FALSE),""))</f>
        <v>Chloe Burt</v>
      </c>
      <c r="Q333" s="371" t="s">
        <v>275</v>
      </c>
      <c r="R333" s="146" t="str">
        <f t="shared" si="281"/>
        <v>M</v>
      </c>
      <c r="S333" s="927" t="s">
        <v>821</v>
      </c>
      <c r="T333" s="927">
        <v>1.1499999999999999</v>
      </c>
      <c r="U333" s="354" t="str">
        <f>IF(LEN($S333)=1,VLOOKUP(LEFT($S333,1),B329:I336,5,FALSE),IF(LEN($S333)=2,VLOOKUP(LEFT($S333,1),B329:I336,7,FALSE),""))</f>
        <v>MM</v>
      </c>
      <c r="V333" s="410" t="str">
        <f>IF(LEN($S333)=1,VLOOKUP(LEFT($S333,1),B329:I336,6,FALSE),IF(LEN($S333)=2,VLOOKUP(LEFT($S333,1),B329:I336,8,FALSE),""))</f>
        <v>Emily Ross</v>
      </c>
      <c r="W333" s="417">
        <f t="shared" si="288"/>
        <v>4</v>
      </c>
      <c r="Y333" s="16">
        <v>27</v>
      </c>
      <c r="Z333" s="16" t="str">
        <f t="shared" si="282"/>
        <v>Sol</v>
      </c>
      <c r="AA333" s="146" t="str">
        <f t="shared" si="283"/>
        <v>Sol</v>
      </c>
      <c r="AC333" s="16" t="str">
        <f t="shared" si="284"/>
        <v>M</v>
      </c>
      <c r="AD333" s="419" t="str">
        <f t="shared" si="284"/>
        <v>Solihull &amp; S.Heath</v>
      </c>
      <c r="AE333" s="419">
        <f>IF(ISNA(MATCH(AC333,N329:N338,0)),0,VLOOKUP(AC333,N329:S338,5,FALSE))</f>
        <v>0</v>
      </c>
      <c r="AF333" s="419" t="str">
        <f>IF(ISNA(MATCH(AC333,T329:T338,0))," ",VLOOKUP(AC333,T329:Y338,5,FALSE))</f>
        <v xml:space="preserve"> </v>
      </c>
      <c r="AG333" s="419">
        <f>IF(ISNA(MATCH(AC333,L329:L336,0)),0,VLOOKUP(AC333,L329:N336,3,FALSE))</f>
        <v>1.3</v>
      </c>
      <c r="AH333" s="419">
        <f>IF(ISNA(MATCH(AC333,R329:R336,0)),0,VLOOKUP(AC333,R329:T336,3,FALSE))</f>
        <v>1.1499999999999999</v>
      </c>
      <c r="AI333" s="419" t="str">
        <f>IF(ISNA(MATCH(AC333,L329:L336,0)),0,VLOOKUP(AC333,L329:P336,4,FALSE))</f>
        <v>M</v>
      </c>
      <c r="AJ333" s="419" t="str">
        <f>IF(ISNA(MATCH(AC333,R329:R336,0)),0,VLOOKUP(AC333,R329:U336,4,FALSE))</f>
        <v>MM</v>
      </c>
      <c r="AK333" s="32">
        <f t="shared" si="285"/>
        <v>5</v>
      </c>
      <c r="AL333" s="32">
        <f t="shared" si="286"/>
        <v>5</v>
      </c>
      <c r="AM333" s="32">
        <f>IF(ISNA(MATCH(AC333,L329:L336,0)),0,VLOOKUP(AC333,L329:W336,AM$1,FALSE))</f>
        <v>4</v>
      </c>
      <c r="AN333" s="146">
        <f>IF(ISNA(MATCH(AC333,R329:R336,0)),0,VLOOKUP(AC333,R329:W336,AN$1,FALSE))</f>
        <v>4</v>
      </c>
      <c r="AP333" s="927"/>
      <c r="AQ333" s="927"/>
    </row>
    <row r="334" spans="1:47" ht="15.6" x14ac:dyDescent="0.3">
      <c r="A334" s="417">
        <f t="shared" si="287"/>
        <v>296</v>
      </c>
      <c r="B334" s="362" t="str">
        <f>'Event Details'!D$27</f>
        <v>D</v>
      </c>
      <c r="C334" s="381" t="str">
        <f>'Event Details'!E$27</f>
        <v>Stratford</v>
      </c>
      <c r="D334" s="379"/>
      <c r="E334" s="378"/>
      <c r="F334" s="363" t="str">
        <f>VLOOKUP($B328,IF($H328="F",TeamSheetFemale,TeamSheetMale),$Y334-1,FALSE)</f>
        <v>D</v>
      </c>
      <c r="G334" s="380" t="str">
        <f>VLOOKUP($B328,IF($H328="F",TeamSheetFemale,TeamSheetMale),$Y334,FALSE)</f>
        <v>Martha Edwards</v>
      </c>
      <c r="H334" s="363" t="str">
        <f>VLOOKUP($B328,IF($H328="F",TeamSheetFemale,TeamSheetMale),$Y334+1,FALSE)</f>
        <v>DD</v>
      </c>
      <c r="I334" s="364" t="str">
        <f>VLOOKUP($B328,IF($H328="F",TeamSheetFemale,TeamSheetMale),$Y334+2,FALSE)</f>
        <v>Lara Ryan-Gill</v>
      </c>
      <c r="K334" s="341" t="s">
        <v>276</v>
      </c>
      <c r="L334" s="16" t="str">
        <f t="shared" si="280"/>
        <v>Y</v>
      </c>
      <c r="M334" s="927" t="s">
        <v>822</v>
      </c>
      <c r="N334" s="927">
        <v>1.3</v>
      </c>
      <c r="O334" s="354" t="str">
        <f>IF(LEN($M334)=1,VLOOKUP(LEFT($M334,1),B329:I336,5,FALSE),IF(LEN($M334)=2,VLOOKUP(LEFT($M334,1),B329:I336,7,FALSE),""))</f>
        <v>YY</v>
      </c>
      <c r="P334" s="410" t="str">
        <f>IF(LEN($M334)=1,VLOOKUP(LEFT($M334,1),B329:I336,6,FALSE),IF(LEN($M334)=2,VLOOKUP(LEFT($M334,1),B329:I336,8,FALSE),""))</f>
        <v>Rosie Groves</v>
      </c>
      <c r="Q334" s="371" t="s">
        <v>276</v>
      </c>
      <c r="R334" s="146" t="str">
        <f t="shared" si="281"/>
        <v>F</v>
      </c>
      <c r="S334" s="927" t="s">
        <v>142</v>
      </c>
      <c r="T334" s="927">
        <v>1.1499999999999999</v>
      </c>
      <c r="U334" s="354" t="str">
        <f>IF(LEN($S334)=1,VLOOKUP(LEFT($S334,1),B329:I336,5,FALSE),IF(LEN($S334)=2,VLOOKUP(LEFT($S334,1),B329:I336,7,FALSE),""))</f>
        <v>F</v>
      </c>
      <c r="V334" s="410" t="str">
        <f>IF(LEN($S334)=1,VLOOKUP(LEFT($S334,1),B329:I336,6,FALSE),IF(LEN($S334)=2,VLOOKUP(LEFT($S334,1),B329:I336,8,FALSE),""))</f>
        <v>Jessica Husselbee</v>
      </c>
      <c r="W334" s="417">
        <f t="shared" si="288"/>
        <v>3</v>
      </c>
      <c r="Y334" s="16">
        <v>32</v>
      </c>
      <c r="Z334" s="16" t="str">
        <f t="shared" si="282"/>
        <v>Worc</v>
      </c>
      <c r="AA334" s="146" t="str">
        <f t="shared" si="283"/>
        <v>Tam</v>
      </c>
      <c r="AC334" s="16" t="str">
        <f t="shared" si="284"/>
        <v>D</v>
      </c>
      <c r="AD334" s="419" t="str">
        <f t="shared" si="284"/>
        <v>Stratford</v>
      </c>
      <c r="AE334" s="419">
        <f>IF(ISNA(MATCH(AC334,N329:N338,0)),0,VLOOKUP(AC334,N329:S338,5,FALSE))</f>
        <v>0</v>
      </c>
      <c r="AF334" s="419" t="str">
        <f>IF(ISNA(MATCH(AC334,T329:T338,0))," ",VLOOKUP(AC334,T329:Y338,5,FALSE))</f>
        <v xml:space="preserve"> </v>
      </c>
      <c r="AG334" s="419">
        <f>IF(ISNA(MATCH(AC334,L329:L336,0)),0,VLOOKUP(AC334,L329:N336,3,FALSE))</f>
        <v>1.47</v>
      </c>
      <c r="AH334" s="419">
        <f>IF(ISNA(MATCH(AC334,R329:R336,0)),0,VLOOKUP(AC334,R329:T336,3,FALSE))</f>
        <v>1.2</v>
      </c>
      <c r="AI334" s="419" t="str">
        <f>IF(ISNA(MATCH(AC334,L329:L336,0)),0,VLOOKUP(AC334,L329:P336,4,FALSE))</f>
        <v>D</v>
      </c>
      <c r="AJ334" s="419" t="str">
        <f>IF(ISNA(MATCH(AC334,R329:R336,0)),0,VLOOKUP(AC334,R329:U336,4,FALSE))</f>
        <v>DD</v>
      </c>
      <c r="AK334" s="32">
        <f t="shared" si="285"/>
        <v>1</v>
      </c>
      <c r="AL334" s="32">
        <f t="shared" si="286"/>
        <v>4</v>
      </c>
      <c r="AM334" s="32">
        <f>IF(ISNA(MATCH(AC334,L329:L336,0)),0,VLOOKUP(AC334,L329:W336,AM$1,FALSE))</f>
        <v>8</v>
      </c>
      <c r="AN334" s="146">
        <f>IF(ISNA(MATCH(AC334,R329:R336,0)),0,VLOOKUP(AC334,R329:W336,AN$1,FALSE))</f>
        <v>5</v>
      </c>
      <c r="AP334" s="927"/>
      <c r="AQ334" s="927"/>
    </row>
    <row r="335" spans="1:47" ht="15.6" x14ac:dyDescent="0.3">
      <c r="A335" s="417">
        <f t="shared" si="287"/>
        <v>297</v>
      </c>
      <c r="B335" s="362" t="str">
        <f>'Event Details'!D$28</f>
        <v>F</v>
      </c>
      <c r="C335" s="381" t="str">
        <f>'Event Details'!E$28</f>
        <v>Tamworth</v>
      </c>
      <c r="D335" s="379"/>
      <c r="E335" s="378"/>
      <c r="F335" s="363" t="str">
        <f>VLOOKUP($B328,IF($H328="F",TeamSheetFemale,TeamSheetMale),$Y335-1,FALSE)</f>
        <v>F</v>
      </c>
      <c r="G335" s="380" t="str">
        <f>VLOOKUP($B328,IF($H328="F",TeamSheetFemale,TeamSheetMale),$Y335,FALSE)</f>
        <v>Jessica Husselbee</v>
      </c>
      <c r="H335" s="363" t="str">
        <f>VLOOKUP($B328,IF($H328="F",TeamSheetFemale,TeamSheetMale),$Y335+1,FALSE)</f>
        <v>FF</v>
      </c>
      <c r="I335" s="364" t="str">
        <f>VLOOKUP($B328,IF($H328="F",TeamSheetFemale,TeamSheetMale),$Y335+2,FALSE)</f>
        <v>Evie Smith</v>
      </c>
      <c r="K335" s="341" t="s">
        <v>277</v>
      </c>
      <c r="L335" s="16" t="str">
        <f t="shared" si="280"/>
        <v>R</v>
      </c>
      <c r="M335" s="927" t="s">
        <v>118</v>
      </c>
      <c r="N335" s="927">
        <v>1.2</v>
      </c>
      <c r="O335" s="354" t="str">
        <f>IF(LEN($M335)=1,VLOOKUP(LEFT($M335,1),B329:I336,5,FALSE),IF(LEN($M335)=2,VLOOKUP(LEFT($M335,1),B329:I336,7,FALSE),""))</f>
        <v>R</v>
      </c>
      <c r="P335" s="410" t="str">
        <f>IF(LEN($M335)=1,VLOOKUP(LEFT($M335,1),B329:I336,6,FALSE),IF(LEN($M335)=2,VLOOKUP(LEFT($M335,1),B329:I336,8,FALSE),""))</f>
        <v>Megan McKeown</v>
      </c>
      <c r="Q335" s="371" t="s">
        <v>277</v>
      </c>
      <c r="R335" s="146" t="str">
        <f t="shared" si="281"/>
        <v>Y</v>
      </c>
      <c r="S335" s="927" t="s">
        <v>151</v>
      </c>
      <c r="T335" s="927">
        <v>1.1499999999999999</v>
      </c>
      <c r="U335" s="354" t="str">
        <f>IF(LEN($S335)=1,VLOOKUP(LEFT($S335,1),B329:I336,5,FALSE),IF(LEN($S335)=2,VLOOKUP(LEFT($S335,1),B329:I336,7,FALSE),""))</f>
        <v>Y</v>
      </c>
      <c r="V335" s="410" t="str">
        <f>IF(LEN($S335)=1,VLOOKUP(LEFT($S335,1),B329:I336,6,FALSE),IF(LEN($S335)=2,VLOOKUP(LEFT($S335,1),B329:I336,8,FALSE),""))</f>
        <v>Edie Worth</v>
      </c>
      <c r="W335" s="417">
        <f t="shared" si="288"/>
        <v>2</v>
      </c>
      <c r="Y335" s="16">
        <v>37</v>
      </c>
      <c r="Z335" s="16" t="str">
        <f t="shared" si="282"/>
        <v>Rugby</v>
      </c>
      <c r="AA335" s="146" t="str">
        <f t="shared" si="283"/>
        <v>Worc</v>
      </c>
      <c r="AC335" s="16" t="str">
        <f t="shared" si="284"/>
        <v>F</v>
      </c>
      <c r="AD335" s="419" t="str">
        <f t="shared" si="284"/>
        <v>Tamworth</v>
      </c>
      <c r="AE335" s="419">
        <f>IF(ISNA(MATCH(AC335,N327:N336,0)),0,VLOOKUP(AC335,N327:S336,5,FALSE))</f>
        <v>0</v>
      </c>
      <c r="AF335" s="419" t="str">
        <f>IF(ISNA(MATCH(AC335,T327:T336,0))," ",VLOOKUP(AC335,T327:Y336,5,FALSE))</f>
        <v xml:space="preserve"> </v>
      </c>
      <c r="AG335" s="419">
        <f>IF(ISNA(MATCH(AC335,L329:L336,0)),0,VLOOKUP(AC335,L329:N336,3,FALSE))</f>
        <v>1.1499999999999999</v>
      </c>
      <c r="AH335" s="419">
        <f>IF(ISNA(MATCH(AC335,R329:R336,0)),0,VLOOKUP(AC335,R329:T336,3,FALSE))</f>
        <v>1.1499999999999999</v>
      </c>
      <c r="AI335" s="419" t="str">
        <f>IF(ISNA(MATCH(AC335,L329:L336,0)),0,VLOOKUP(AC335,L329:P336,4,FALSE))</f>
        <v>FF</v>
      </c>
      <c r="AJ335" s="419" t="str">
        <f>IF(ISNA(MATCH(AC335,R329:R336,0)),0,VLOOKUP(AC335,R329:U336,4,FALSE))</f>
        <v>F</v>
      </c>
      <c r="AK335" s="32">
        <f t="shared" si="285"/>
        <v>8</v>
      </c>
      <c r="AL335" s="32">
        <f t="shared" si="286"/>
        <v>6</v>
      </c>
      <c r="AM335" s="32">
        <f>IF(ISNA(MATCH(AC335,L329:L336,0)),0,VLOOKUP(AC335,L329:W336,AM$1,FALSE))</f>
        <v>1</v>
      </c>
      <c r="AN335" s="146">
        <f>IF(ISNA(MATCH(AC335,R329:R336,0)),0,VLOOKUP(AC335,R329:W336,AN$1,FALSE))</f>
        <v>3</v>
      </c>
      <c r="AP335" s="927"/>
      <c r="AQ335" s="927"/>
    </row>
    <row r="336" spans="1:47" ht="16.2" thickBot="1" x14ac:dyDescent="0.35">
      <c r="A336" s="418">
        <f t="shared" si="287"/>
        <v>298</v>
      </c>
      <c r="B336" s="365" t="str">
        <f>'Event Details'!D$29</f>
        <v>Y</v>
      </c>
      <c r="C336" s="366" t="str">
        <f>'Event Details'!E$29</f>
        <v>Worcester</v>
      </c>
      <c r="D336" s="361"/>
      <c r="E336" s="370"/>
      <c r="F336" s="367" t="str">
        <f>VLOOKUP($B328,IF($H328="F",TeamSheetFemale,TeamSheetMale),$Y336-1,FALSE)</f>
        <v>Y</v>
      </c>
      <c r="G336" s="368" t="str">
        <f>VLOOKUP($B328,IF($H328="F",TeamSheetFemale,TeamSheetMale),$Y336,FALSE)</f>
        <v>Edie Worth</v>
      </c>
      <c r="H336" s="367" t="str">
        <f>VLOOKUP($B328,IF($H328="F",TeamSheetFemale,TeamSheetMale),$Y336+1,FALSE)</f>
        <v>YY</v>
      </c>
      <c r="I336" s="369" t="str">
        <f>VLOOKUP($B328,IF($H328="F",TeamSheetFemale,TeamSheetMale),$Y336+2,FALSE)</f>
        <v>Rosie Groves</v>
      </c>
      <c r="K336" s="346" t="s">
        <v>278</v>
      </c>
      <c r="L336" s="25" t="str">
        <f t="shared" si="280"/>
        <v>F</v>
      </c>
      <c r="M336" s="932" t="s">
        <v>576</v>
      </c>
      <c r="N336" s="932">
        <v>1.1499999999999999</v>
      </c>
      <c r="O336" s="374" t="str">
        <f>IF(LEN($M336)=1,VLOOKUP(LEFT($M336,1),B329:I336,5,FALSE),IF(LEN($M336)=2,VLOOKUP(LEFT($M336,1),B329:I336,7,FALSE),""))</f>
        <v>FF</v>
      </c>
      <c r="P336" s="411" t="str">
        <f>IF(LEN($M336)=1,VLOOKUP(LEFT($M336,1),B329:I336,6,FALSE),IF(LEN($M336)=2,VLOOKUP(LEFT($M336,1),B329:I336,8,FALSE),""))</f>
        <v>Evie Smith</v>
      </c>
      <c r="Q336" s="407" t="s">
        <v>278</v>
      </c>
      <c r="R336" s="523" t="str">
        <f t="shared" si="281"/>
        <v>G</v>
      </c>
      <c r="S336" s="932" t="s">
        <v>820</v>
      </c>
      <c r="T336" s="932">
        <v>1.1499999999999999</v>
      </c>
      <c r="U336" s="374" t="str">
        <f>IF(LEN($S336)=1,VLOOKUP(LEFT($S336,1),B329:I336,5,FALSE),IF(LEN($S336)=2,VLOOKUP(LEFT($S336,1),B329:I336,7,FALSE),""))</f>
        <v>GG</v>
      </c>
      <c r="V336" s="411" t="str">
        <f>IF(LEN($S336)=1,VLOOKUP(LEFT($S336,1),B329:I336,6,FALSE),IF(LEN($S336)=2,VLOOKUP(LEFT($S336,1),B329:I336,8,FALSE),""))</f>
        <v>Abigail Dilworth</v>
      </c>
      <c r="W336" s="418">
        <f t="shared" si="288"/>
        <v>1</v>
      </c>
      <c r="Y336" s="25">
        <v>42</v>
      </c>
      <c r="Z336" s="25" t="str">
        <f t="shared" si="282"/>
        <v>Tam</v>
      </c>
      <c r="AA336" s="523" t="str">
        <f t="shared" si="283"/>
        <v>Royal</v>
      </c>
      <c r="AC336" s="25" t="str">
        <f t="shared" si="284"/>
        <v>Y</v>
      </c>
      <c r="AD336" s="624" t="str">
        <f t="shared" si="284"/>
        <v>Worcester</v>
      </c>
      <c r="AE336" s="624">
        <f>IF(ISNA(MATCH(AC336,N328:N337,0)),0,VLOOKUP(AC336,N328:S337,5,FALSE))</f>
        <v>0</v>
      </c>
      <c r="AF336" s="624" t="str">
        <f t="shared" ref="AF336" si="289">IF(ISNA(MATCH(AC336,T328:T337,0))," ",VLOOKUP(AC336,T328:Y337,5,FALSE))</f>
        <v xml:space="preserve"> </v>
      </c>
      <c r="AG336" s="624">
        <f>IF(ISNA(MATCH(AC336,L329:L336,0)),0,VLOOKUP(AC336,L329:N336,3,FALSE))</f>
        <v>1.3</v>
      </c>
      <c r="AH336" s="624">
        <f>IF(ISNA(MATCH(AC336,R329:R336,0)),0,VLOOKUP(AC336,R329:T336,3,FALSE))</f>
        <v>1.1499999999999999</v>
      </c>
      <c r="AI336" s="624" t="str">
        <f>IF(ISNA(MATCH(AC336,L329:L336,0)),0,VLOOKUP(AC336,L329:P336,4,FALSE))</f>
        <v>YY</v>
      </c>
      <c r="AJ336" s="624" t="str">
        <f>IF(ISNA(MATCH(AC336,R329:R336,0)),0,VLOOKUP(AC336,R329:U336,4,FALSE))</f>
        <v>Y</v>
      </c>
      <c r="AK336" s="116">
        <f t="shared" si="285"/>
        <v>6</v>
      </c>
      <c r="AL336" s="116">
        <f t="shared" si="286"/>
        <v>7.5</v>
      </c>
      <c r="AM336" s="116">
        <f>IF(ISNA(MATCH(AC336,L329:L336,0)),0,VLOOKUP(AC336,L329:W336,AM$1,FALSE))</f>
        <v>3</v>
      </c>
      <c r="AN336" s="523">
        <v>1.5</v>
      </c>
      <c r="AP336" s="932"/>
      <c r="AQ336" s="932"/>
    </row>
    <row r="337" spans="1:47" ht="15" thickBot="1" x14ac:dyDescent="0.35">
      <c r="M337" s="276"/>
      <c r="N337" s="307"/>
      <c r="S337" s="276"/>
      <c r="T337" s="307"/>
      <c r="AP337" s="276"/>
      <c r="AQ337" s="307"/>
    </row>
    <row r="338" spans="1:47" x14ac:dyDescent="0.3">
      <c r="B338" s="400" t="s">
        <v>258</v>
      </c>
      <c r="C338" s="398"/>
      <c r="D338" s="401" t="s">
        <v>165</v>
      </c>
      <c r="E338" s="398"/>
      <c r="F338" s="398"/>
      <c r="G338" s="402" t="s">
        <v>259</v>
      </c>
      <c r="H338" s="403" t="s">
        <v>249</v>
      </c>
      <c r="I338" s="404" t="s">
        <v>168</v>
      </c>
      <c r="K338" s="360"/>
      <c r="L338" s="661"/>
      <c r="M338" s="387" t="s">
        <v>260</v>
      </c>
      <c r="N338" s="387" t="s">
        <v>261</v>
      </c>
      <c r="O338" s="387" t="s">
        <v>262</v>
      </c>
      <c r="P338" s="388" t="s">
        <v>75</v>
      </c>
      <c r="Q338" s="389"/>
      <c r="R338" s="657"/>
      <c r="S338" s="387" t="s">
        <v>260</v>
      </c>
      <c r="T338" s="387" t="s">
        <v>261</v>
      </c>
      <c r="U338" s="387" t="s">
        <v>262</v>
      </c>
      <c r="V338" s="388" t="s">
        <v>75</v>
      </c>
      <c r="W338" s="672" t="s">
        <v>76</v>
      </c>
      <c r="Y338" s="414" t="s">
        <v>263</v>
      </c>
      <c r="Z338" s="656" t="s">
        <v>74</v>
      </c>
      <c r="AA338" s="657" t="s">
        <v>75</v>
      </c>
      <c r="AC338" s="665" t="s">
        <v>71</v>
      </c>
      <c r="AD338" s="657" t="s">
        <v>86</v>
      </c>
      <c r="AE338" s="661" t="s">
        <v>149</v>
      </c>
      <c r="AF338" s="661" t="s">
        <v>94</v>
      </c>
      <c r="AG338" s="661" t="s">
        <v>149</v>
      </c>
      <c r="AH338" s="661" t="s">
        <v>94</v>
      </c>
      <c r="AI338" s="661" t="s">
        <v>149</v>
      </c>
      <c r="AJ338" s="661" t="s">
        <v>94</v>
      </c>
      <c r="AK338" s="1332" t="s">
        <v>149</v>
      </c>
      <c r="AL338" s="661" t="s">
        <v>94</v>
      </c>
      <c r="AM338" s="1406" t="s">
        <v>76</v>
      </c>
      <c r="AN338" s="1407"/>
      <c r="AP338" s="387" t="s">
        <v>260</v>
      </c>
      <c r="AQ338" s="387" t="s">
        <v>261</v>
      </c>
      <c r="AS338" s="1218" t="s">
        <v>165</v>
      </c>
      <c r="AT338" s="1219" t="s">
        <v>79</v>
      </c>
      <c r="AU338" s="1220" t="s">
        <v>80</v>
      </c>
    </row>
    <row r="339" spans="1:47" ht="15" thickBot="1" x14ac:dyDescent="0.35">
      <c r="B339" s="405">
        <v>30</v>
      </c>
      <c r="C339" s="399"/>
      <c r="D339" s="385" t="str">
        <f>VLOOKUP($B339,EventOrder,6,FALSE)</f>
        <v>Long Jump (U18/20) Pit1</v>
      </c>
      <c r="E339" s="399"/>
      <c r="F339" s="385"/>
      <c r="G339" s="386" t="str">
        <f>VLOOKUP($B339,EventOrder,4,FALSE)</f>
        <v>U18 Men</v>
      </c>
      <c r="H339" s="396" t="str">
        <f>IF(MID(G339,5,1)="F","F","M")</f>
        <v>M</v>
      </c>
      <c r="I339" s="397">
        <f>VLOOKUP($B339,EventOrder,2,FALSE)</f>
        <v>1.3</v>
      </c>
      <c r="K339" s="377"/>
      <c r="L339" s="667" t="s">
        <v>149</v>
      </c>
      <c r="M339" s="409" t="s">
        <v>264</v>
      </c>
      <c r="N339" s="409" t="s">
        <v>265</v>
      </c>
      <c r="O339" s="390" t="s">
        <v>266</v>
      </c>
      <c r="P339" s="391"/>
      <c r="Q339" s="392"/>
      <c r="R339" s="659" t="s">
        <v>94</v>
      </c>
      <c r="S339" s="409" t="s">
        <v>264</v>
      </c>
      <c r="T339" s="409" t="s">
        <v>265</v>
      </c>
      <c r="U339" s="390" t="s">
        <v>266</v>
      </c>
      <c r="V339" s="391"/>
      <c r="W339" s="671"/>
      <c r="Y339" s="415" t="s">
        <v>167</v>
      </c>
      <c r="Z339" s="658" t="s">
        <v>149</v>
      </c>
      <c r="AA339" s="659" t="s">
        <v>94</v>
      </c>
      <c r="AC339" s="666"/>
      <c r="AD339" s="668"/>
      <c r="AE339" s="768" t="s">
        <v>75</v>
      </c>
      <c r="AF339" s="768" t="s">
        <v>75</v>
      </c>
      <c r="AG339" s="768" t="s">
        <v>267</v>
      </c>
      <c r="AH339" s="768" t="s">
        <v>267</v>
      </c>
      <c r="AI339" s="768" t="s">
        <v>268</v>
      </c>
      <c r="AJ339" s="768" t="s">
        <v>268</v>
      </c>
      <c r="AK339" s="770" t="s">
        <v>269</v>
      </c>
      <c r="AL339" s="768" t="s">
        <v>269</v>
      </c>
      <c r="AM339" s="667" t="s">
        <v>149</v>
      </c>
      <c r="AN339" s="659" t="s">
        <v>94</v>
      </c>
      <c r="AP339" s="409" t="s">
        <v>264</v>
      </c>
      <c r="AQ339" s="409" t="s">
        <v>265</v>
      </c>
      <c r="AS339" s="1221" t="s">
        <v>270</v>
      </c>
      <c r="AT339" s="1222" t="s">
        <v>270</v>
      </c>
      <c r="AU339" s="1223" t="s">
        <v>270</v>
      </c>
    </row>
    <row r="340" spans="1:47" ht="15.6" x14ac:dyDescent="0.3">
      <c r="A340" s="416">
        <f>(B339*10)+1</f>
        <v>301</v>
      </c>
      <c r="B340" s="362" t="str">
        <f>'Event Details'!D$22</f>
        <v>S</v>
      </c>
      <c r="C340" s="381" t="str">
        <f>'Event Details'!E$22</f>
        <v>BRAT</v>
      </c>
      <c r="D340" s="379"/>
      <c r="E340" s="378"/>
      <c r="F340" s="363" t="str">
        <f>VLOOKUP($B339,IF($H339="F",TeamSheetFemale,TeamSheetMale),$Y340-1,FALSE)</f>
        <v>S</v>
      </c>
      <c r="G340" s="380" t="str">
        <f>VLOOKUP($B339,IF($H339="F",TeamSheetFemale,TeamSheetMale),$Y340,FALSE)</f>
        <v>Saleh Beshir</v>
      </c>
      <c r="H340" s="363">
        <f>VLOOKUP($B339,IF($H339="F",TeamSheetFemale,TeamSheetMale),$Y340+1,FALSE)</f>
        <v>0</v>
      </c>
      <c r="I340" s="364">
        <f>VLOOKUP($B339,IF($H339="F",TeamSheetFemale,TeamSheetMale),$Y340+2,FALSE)</f>
        <v>0</v>
      </c>
      <c r="K340" s="393" t="s">
        <v>271</v>
      </c>
      <c r="L340" s="16" t="str">
        <f t="shared" ref="L340:L347" si="290">LEFT(M340,1)</f>
        <v>D</v>
      </c>
      <c r="M340" s="926" t="s">
        <v>513</v>
      </c>
      <c r="N340" s="926">
        <v>5.54</v>
      </c>
      <c r="O340" s="394" t="str">
        <f>IF(LEN($M340)=1,VLOOKUP(LEFT($M340,1),B340:I347,5,FALSE),IF(LEN($M340)=2,VLOOKUP(LEFT($M340,1),B340:I347,7,FALSE),""))</f>
        <v>DD</v>
      </c>
      <c r="P340" s="395" t="str">
        <f>IF(LEN($M340)=1,VLOOKUP(LEFT($M340,1),B340:I347,6,FALSE),IF(LEN($M340)=2,VLOOKUP(LEFT($M340,1),B340:I347,8,FALSE),""))</f>
        <v>George Wright</v>
      </c>
      <c r="Q340" s="393" t="s">
        <v>271</v>
      </c>
      <c r="R340" s="146" t="str">
        <f t="shared" ref="R340:R347" si="291">LEFT(S340,1)</f>
        <v>D</v>
      </c>
      <c r="S340" s="926" t="s">
        <v>136</v>
      </c>
      <c r="T340" s="926">
        <v>4.8099999999999996</v>
      </c>
      <c r="U340" s="394" t="str">
        <f>IF(LEN($S340)=1,VLOOKUP(LEFT($S340,1),B340:I347,5,FALSE),IF(LEN($S340)=2,VLOOKUP(LEFT($S340,1),B340:I347,7,FALSE),""))</f>
        <v>D</v>
      </c>
      <c r="V340" s="395" t="str">
        <f>IF(LEN($S340)=1,VLOOKUP(LEFT($S340,1),B340:I347,6,FALSE),IF(LEN($S340)=2,VLOOKUP(LEFT($S340,1),B340:I347,8,FALSE),""))</f>
        <v>Will Hovell</v>
      </c>
      <c r="W340" s="417">
        <f>AN$6</f>
        <v>8</v>
      </c>
      <c r="Y340" s="416">
        <v>7</v>
      </c>
      <c r="Z340" s="653" t="str">
        <f t="shared" ref="Z340:Z347" si="292">IF(LEN(M340)&gt;0,VLOOKUP(LEFT(M340,1),ShortName,5,FALSE),0)</f>
        <v>Strat</v>
      </c>
      <c r="AA340" s="138" t="str">
        <f t="shared" ref="AA340:AA347" si="293">IF(LEN(S340)&gt;0,VLOOKUP(LEFT(S340,1),ShortName,5,FALSE),0)</f>
        <v>Strat</v>
      </c>
      <c r="AC340" s="16" t="str">
        <f t="shared" ref="AC340:AD347" si="294">B340</f>
        <v>S</v>
      </c>
      <c r="AD340" s="419" t="str">
        <f t="shared" si="294"/>
        <v>BRAT</v>
      </c>
      <c r="AE340" s="635">
        <f>IF(ISNA(MATCH(AC340,N340:N349,0)),0,VLOOKUP(AC340,N340:S349,5,FALSE))</f>
        <v>0</v>
      </c>
      <c r="AF340" s="635" t="str">
        <f>IF(ISNA(MATCH(AC340,T340:T349,0))," ",VLOOKUP(AC340,T340:Y349,5,FALSE))</f>
        <v xml:space="preserve"> </v>
      </c>
      <c r="AG340" s="635">
        <f>IF(ISNA(MATCH(AC340,L340:L347,0)),0,VLOOKUP(AC340,L340:N347,3,FALSE))</f>
        <v>4.6500000000000004</v>
      </c>
      <c r="AH340" s="635">
        <f>IF(ISNA(MATCH(AC340,R340:R347,0)),0,VLOOKUP(AC340,R340:T347,3,FALSE))</f>
        <v>0</v>
      </c>
      <c r="AI340" s="635" t="str">
        <f>IF(ISNA(MATCH(AC340,L340:L347,0)),0,VLOOKUP(AC340,L340:P347,4,FALSE))</f>
        <v>S</v>
      </c>
      <c r="AJ340" s="635">
        <f>IF(ISNA(MATCH(AC340,R340:R347,0)),0,VLOOKUP(AC340,R340:U347,4,FALSE))</f>
        <v>0</v>
      </c>
      <c r="AK340" s="49">
        <f t="shared" ref="AK340:AK347" si="295">IF(AM340=0,0,AN$6-(AM340-1))</f>
        <v>3</v>
      </c>
      <c r="AL340" s="49">
        <f t="shared" ref="AL340:AL347" si="296">IF(AN340=0,0,AN$6-(AN340-1))</f>
        <v>0</v>
      </c>
      <c r="AM340" s="49">
        <f>IF(ISNA(MATCH(AC340,L340:L347,0)),0,VLOOKUP(AC340,L340:W347,AM$1,FALSE))</f>
        <v>6</v>
      </c>
      <c r="AN340" s="138">
        <f>IF(ISNA(MATCH(AC340,R340:R347,0)),0,VLOOKUP(AC340,R340:W347,AN$1,FALSE))</f>
        <v>0</v>
      </c>
      <c r="AP340" s="926"/>
      <c r="AQ340" s="926"/>
      <c r="AS340" s="32">
        <f>IF(LEN(N340)&gt;0,1,0)</f>
        <v>1</v>
      </c>
      <c r="AT340" s="32">
        <f>IF(AND(AS340=1,H339="M"),1,0)</f>
        <v>1</v>
      </c>
      <c r="AU340" s="32">
        <f>IF(AND(AS340=1,H339="F"),1,0)</f>
        <v>0</v>
      </c>
    </row>
    <row r="341" spans="1:47" ht="15.6" x14ac:dyDescent="0.3">
      <c r="A341" s="417">
        <f>A340+1</f>
        <v>302</v>
      </c>
      <c r="B341" s="362" t="str">
        <f>'Event Details'!D$23</f>
        <v>U</v>
      </c>
      <c r="C341" s="381" t="str">
        <f>'Event Details'!E$23</f>
        <v>Kidder &amp; Stourport</v>
      </c>
      <c r="D341" s="379"/>
      <c r="E341" s="378"/>
      <c r="F341" s="363">
        <f>VLOOKUP($B339,IF($H339="F",TeamSheetFemale,TeamSheetMale),$Y341-1,FALSE)</f>
        <v>0</v>
      </c>
      <c r="G341" s="380">
        <f>VLOOKUP($B339,IF($H339="F",TeamSheetFemale,TeamSheetMale),$Y341,FALSE)</f>
        <v>0</v>
      </c>
      <c r="H341" s="363">
        <f>VLOOKUP($B339,IF($H339="F",TeamSheetFemale,TeamSheetMale),$Y341+1,FALSE)</f>
        <v>0</v>
      </c>
      <c r="I341" s="364">
        <f>VLOOKUP($B339,IF($H339="F",TeamSheetFemale,TeamSheetMale),$Y341+2,FALSE)</f>
        <v>0</v>
      </c>
      <c r="K341" s="341" t="s">
        <v>272</v>
      </c>
      <c r="L341" s="16" t="str">
        <f t="shared" si="290"/>
        <v>R</v>
      </c>
      <c r="M341" s="927" t="s">
        <v>118</v>
      </c>
      <c r="N341" s="927">
        <v>5.08</v>
      </c>
      <c r="O341" s="353" t="str">
        <f>IF(LEN($M341)=1,VLOOKUP(LEFT($M341,1),B340:I347,5,FALSE),IF(LEN($M341)=2,VLOOKUP(LEFT($M341,1),B340:I347,7,FALSE),""))</f>
        <v>R</v>
      </c>
      <c r="P341" s="373" t="str">
        <f>IF(LEN($M341)=1,VLOOKUP(LEFT($M341,1),B340:I347,6,FALSE),IF(LEN($M341)=2,VLOOKUP(LEFT($M341,1),B340:I347,8,FALSE),""))</f>
        <v>Charlie Gercs</v>
      </c>
      <c r="Q341" s="341" t="s">
        <v>272</v>
      </c>
      <c r="R341" s="146" t="str">
        <f t="shared" si="291"/>
        <v/>
      </c>
      <c r="S341" s="927"/>
      <c r="T341" s="927"/>
      <c r="U341" s="353" t="str">
        <f>IF(LEN($S341)=1,VLOOKUP(LEFT($S341,1),B340:I347,5,FALSE),IF(LEN($S341)=2,VLOOKUP(LEFT($S341,1),B340:I347,7,FALSE),""))</f>
        <v/>
      </c>
      <c r="V341" s="373" t="str">
        <f>IF(LEN($S341)=1,VLOOKUP(LEFT($S341,1),B340:I347,6,FALSE),IF(LEN($S341)=2,VLOOKUP(LEFT($S341,1),B340:I347,8,FALSE),""))</f>
        <v/>
      </c>
      <c r="W341" s="417">
        <f>W340-1</f>
        <v>7</v>
      </c>
      <c r="Y341" s="417">
        <v>12</v>
      </c>
      <c r="Z341" s="16" t="str">
        <f t="shared" si="292"/>
        <v>Rugby</v>
      </c>
      <c r="AA341" s="146">
        <f t="shared" si="293"/>
        <v>0</v>
      </c>
      <c r="AC341" s="16" t="str">
        <f t="shared" si="294"/>
        <v>U</v>
      </c>
      <c r="AD341" s="419" t="str">
        <f t="shared" si="294"/>
        <v>Kidder &amp; Stourport</v>
      </c>
      <c r="AE341" s="419">
        <f>IF(ISNA(MATCH(AC341,N340:N349,0)),0,VLOOKUP(AC341,N340:S349,5,FALSE))</f>
        <v>0</v>
      </c>
      <c r="AF341" s="419" t="str">
        <f>IF(ISNA(MATCH(AC341,T340:T349,0))," ",VLOOKUP(AC341,T340:Y349,5,FALSE))</f>
        <v xml:space="preserve"> </v>
      </c>
      <c r="AG341" s="419">
        <f>IF(ISNA(MATCH(AC341,L340:L347,0)),0,VLOOKUP(AC341,L340:N347,3,FALSE))</f>
        <v>0</v>
      </c>
      <c r="AH341" s="419">
        <f>IF(ISNA(MATCH(AC341,R340:R347,0)),0,VLOOKUP(AC341,R340:T347,3,FALSE))</f>
        <v>0</v>
      </c>
      <c r="AI341" s="419">
        <f>IF(ISNA(MATCH(AC341,L340:L347,0)),0,VLOOKUP(AC341,L340:P347,4,FALSE))</f>
        <v>0</v>
      </c>
      <c r="AJ341" s="419">
        <f>IF(ISNA(MATCH(AC341,R340:R347,0)),0,VLOOKUP(AC341,R340:U347,4,FALSE))</f>
        <v>0</v>
      </c>
      <c r="AK341" s="32">
        <f t="shared" si="295"/>
        <v>0</v>
      </c>
      <c r="AL341" s="32">
        <f t="shared" si="296"/>
        <v>0</v>
      </c>
      <c r="AM341" s="32">
        <f>IF(ISNA(MATCH(AC341,L340:L347,0)),0,VLOOKUP(AC341,L340:W347,AM$1,FALSE))</f>
        <v>0</v>
      </c>
      <c r="AN341" s="146">
        <f>IF(ISNA(MATCH(AC341,R340:R347,0)),0,VLOOKUP(AC341,R340:W347,AN$1,FALSE))</f>
        <v>0</v>
      </c>
      <c r="AP341" s="927"/>
      <c r="AQ341" s="927"/>
    </row>
    <row r="342" spans="1:47" ht="15.6" x14ac:dyDescent="0.3">
      <c r="A342" s="417">
        <f t="shared" ref="A342:A347" si="297">A341+1</f>
        <v>303</v>
      </c>
      <c r="B342" s="362" t="str">
        <f>'Event Details'!D$24</f>
        <v>G</v>
      </c>
      <c r="C342" s="381" t="str">
        <f>'Event Details'!E$24</f>
        <v>Royal Sutton</v>
      </c>
      <c r="D342" s="379"/>
      <c r="E342" s="378"/>
      <c r="F342" s="363" t="str">
        <f>VLOOKUP($B339,IF($H339="F",TeamSheetFemale,TeamSheetMale),$Y342-1,FALSE)</f>
        <v>G</v>
      </c>
      <c r="G342" s="380">
        <f>VLOOKUP($B339,IF($H339="F",TeamSheetFemale,TeamSheetMale),$Y342,FALSE)</f>
        <v>0</v>
      </c>
      <c r="H342" s="363" t="str">
        <f>VLOOKUP($B339,IF($H339="F",TeamSheetFemale,TeamSheetMale),$Y342+1,FALSE)</f>
        <v>GG</v>
      </c>
      <c r="I342" s="364">
        <f>VLOOKUP($B339,IF($H339="F",TeamSheetFemale,TeamSheetMale),$Y342+2,FALSE)</f>
        <v>0</v>
      </c>
      <c r="K342" s="341" t="s">
        <v>273</v>
      </c>
      <c r="L342" s="16" t="str">
        <f t="shared" si="290"/>
        <v>S</v>
      </c>
      <c r="M342" s="927" t="s">
        <v>100</v>
      </c>
      <c r="N342" s="927">
        <v>4.6500000000000004</v>
      </c>
      <c r="O342" s="353" t="str">
        <f>IF(LEN($M342)=1,VLOOKUP(LEFT($M342,1),B340:I347,5,FALSE),IF(LEN($M342)=2,VLOOKUP(LEFT($M342,1),B340:I347,7,FALSE),""))</f>
        <v>S</v>
      </c>
      <c r="P342" s="373" t="str">
        <f>IF(LEN($M342)=1,VLOOKUP(LEFT($M342,1),B340:I347,6,FALSE),IF(LEN($M342)=2,VLOOKUP(LEFT($M342,1),B340:I347,8,FALSE),""))</f>
        <v>Saleh Beshir</v>
      </c>
      <c r="Q342" s="341" t="s">
        <v>273</v>
      </c>
      <c r="R342" s="146" t="str">
        <f t="shared" si="291"/>
        <v/>
      </c>
      <c r="S342" s="927"/>
      <c r="T342" s="927"/>
      <c r="U342" s="353" t="str">
        <f>IF(LEN($S342)=1,VLOOKUP(LEFT($S342,1),B340:I347,5,FALSE),IF(LEN($S342)=2,VLOOKUP(LEFT($S342,1),B340:I347,7,FALSE),""))</f>
        <v/>
      </c>
      <c r="V342" s="373" t="str">
        <f>IF(LEN($S342)=1,VLOOKUP(LEFT($S342,1),B340:I347,6,FALSE),IF(LEN($S342)=2,VLOOKUP(LEFT($S342,1),B340:I347,8,FALSE),""))</f>
        <v/>
      </c>
      <c r="W342" s="417">
        <f t="shared" ref="W342:W347" si="298">W341-1</f>
        <v>6</v>
      </c>
      <c r="Y342" s="417">
        <v>17</v>
      </c>
      <c r="Z342" s="16" t="str">
        <f t="shared" si="292"/>
        <v>BRAT</v>
      </c>
      <c r="AA342" s="146">
        <f t="shared" si="293"/>
        <v>0</v>
      </c>
      <c r="AB342" s="32"/>
      <c r="AC342" s="16" t="str">
        <f t="shared" si="294"/>
        <v>G</v>
      </c>
      <c r="AD342" s="419" t="str">
        <f t="shared" si="294"/>
        <v>Royal Sutton</v>
      </c>
      <c r="AE342" s="419">
        <f>IF(ISNA(MATCH(AC342,N340:N349,0)),0,VLOOKUP(AC342,N340:S349,5,FALSE))</f>
        <v>0</v>
      </c>
      <c r="AF342" s="419" t="str">
        <f>IF(ISNA(MATCH(AC342,T340:T349,0))," ",VLOOKUP(AC342,T340:Y349,5,FALSE))</f>
        <v xml:space="preserve"> </v>
      </c>
      <c r="AG342" s="419">
        <f>IF(ISNA(MATCH(AC342,L340:L347,0)),0,VLOOKUP(AC342,L340:N347,3,FALSE))</f>
        <v>0</v>
      </c>
      <c r="AH342" s="419">
        <f>IF(ISNA(MATCH(AC342,R340:R347,0)),0,VLOOKUP(AC342,R340:T347,3,FALSE))</f>
        <v>0</v>
      </c>
      <c r="AI342" s="419">
        <f>IF(ISNA(MATCH(AC342,L340:L347,0)),0,VLOOKUP(AC342,L340:P347,4,FALSE))</f>
        <v>0</v>
      </c>
      <c r="AJ342" s="419">
        <f>IF(ISNA(MATCH(AC342,R340:R347,0)),0,VLOOKUP(AC342,R340:U347,4,FALSE))</f>
        <v>0</v>
      </c>
      <c r="AK342" s="32">
        <f t="shared" si="295"/>
        <v>0</v>
      </c>
      <c r="AL342" s="32">
        <f t="shared" si="296"/>
        <v>0</v>
      </c>
      <c r="AM342" s="32">
        <f>IF(ISNA(MATCH(AC342,L340:L347,0)),0,VLOOKUP(AC342,L340:W347,AM$1,FALSE))</f>
        <v>0</v>
      </c>
      <c r="AN342" s="146">
        <f>IF(ISNA(MATCH(AC342,R340:R347,0)),0,VLOOKUP(AC342,R340:W347,AN$1,FALSE))</f>
        <v>0</v>
      </c>
      <c r="AP342" s="927"/>
      <c r="AQ342" s="927"/>
    </row>
    <row r="343" spans="1:47" ht="15.6" x14ac:dyDescent="0.3">
      <c r="A343" s="417">
        <f t="shared" si="297"/>
        <v>304</v>
      </c>
      <c r="B343" s="362" t="str">
        <f>'Event Details'!D$25</f>
        <v>R</v>
      </c>
      <c r="C343" s="381" t="str">
        <f>'Event Details'!E$25</f>
        <v>Rugby &amp; N'hampton</v>
      </c>
      <c r="D343" s="379"/>
      <c r="E343" s="378"/>
      <c r="F343" s="363" t="str">
        <f>VLOOKUP($B339,IF($H339="F",TeamSheetFemale,TeamSheetMale),$Y343-1,FALSE)</f>
        <v>R</v>
      </c>
      <c r="G343" s="380" t="str">
        <f>VLOOKUP($B339,IF($H339="F",TeamSheetFemale,TeamSheetMale),$Y343,FALSE)</f>
        <v>Charlie Gercs</v>
      </c>
      <c r="H343" s="363" t="str">
        <f>VLOOKUP($B339,IF($H339="F",TeamSheetFemale,TeamSheetMale),$Y343+1,FALSE)</f>
        <v>RR</v>
      </c>
      <c r="I343" s="364">
        <f>VLOOKUP($B339,IF($H339="F",TeamSheetFemale,TeamSheetMale),$Y343+2,FALSE)</f>
        <v>0</v>
      </c>
      <c r="K343" s="341" t="s">
        <v>274</v>
      </c>
      <c r="L343" s="16" t="str">
        <f t="shared" si="290"/>
        <v>F</v>
      </c>
      <c r="M343" s="927" t="s">
        <v>142</v>
      </c>
      <c r="N343" s="927">
        <v>4.1100000000000003</v>
      </c>
      <c r="O343" s="353" t="str">
        <f>IF(LEN($M343)=1,VLOOKUP(LEFT($M343,1),B340:I347,5,FALSE),IF(LEN($M343)=2,VLOOKUP(LEFT($M343,1),B340:I347,7,FALSE),""))</f>
        <v>F</v>
      </c>
      <c r="P343" s="373" t="str">
        <f>IF(LEN($M343)=1,VLOOKUP(LEFT($M343,1),B340:I347,6,FALSE),IF(LEN($M343)=2,VLOOKUP(LEFT($M343,1),B340:I347,8,FALSE),""))</f>
        <v>Oliver Ciszecki</v>
      </c>
      <c r="Q343" s="341" t="s">
        <v>274</v>
      </c>
      <c r="R343" s="146" t="str">
        <f t="shared" si="291"/>
        <v/>
      </c>
      <c r="S343" s="927"/>
      <c r="T343" s="927"/>
      <c r="U343" s="353" t="str">
        <f>IF(LEN($S343)=1,VLOOKUP(LEFT($S343,1),B340:I347,5,FALSE),IF(LEN($S343)=2,VLOOKUP(LEFT($S343,1),B340:I347,7,FALSE),""))</f>
        <v/>
      </c>
      <c r="V343" s="373" t="str">
        <f>IF(LEN($S343)=1,VLOOKUP(LEFT($S343,1),B340:I347,6,FALSE),IF(LEN($S343)=2,VLOOKUP(LEFT($S343,1),B340:I347,8,FALSE),""))</f>
        <v/>
      </c>
      <c r="W343" s="417">
        <f t="shared" si="298"/>
        <v>5</v>
      </c>
      <c r="Y343" s="417">
        <v>22</v>
      </c>
      <c r="Z343" s="16" t="str">
        <f t="shared" si="292"/>
        <v>Tam</v>
      </c>
      <c r="AA343" s="146">
        <f t="shared" si="293"/>
        <v>0</v>
      </c>
      <c r="AB343" s="32"/>
      <c r="AC343" s="16" t="str">
        <f t="shared" si="294"/>
        <v>R</v>
      </c>
      <c r="AD343" s="419" t="str">
        <f t="shared" si="294"/>
        <v>Rugby &amp; N'hampton</v>
      </c>
      <c r="AE343" s="419">
        <f>IF(ISNA(MATCH(AC343,N340:N349,0)),0,VLOOKUP(AC343,N340:S349,5,FALSE))</f>
        <v>0</v>
      </c>
      <c r="AF343" s="419" t="str">
        <f>IF(ISNA(MATCH(AC343,T340:T349,0))," ",VLOOKUP(AC343,T340:Y349,5,FALSE))</f>
        <v xml:space="preserve"> </v>
      </c>
      <c r="AG343" s="419">
        <f>IF(ISNA(MATCH(AC343,L340:L347,0)),0,VLOOKUP(AC343,L340:N347,3,FALSE))</f>
        <v>5.08</v>
      </c>
      <c r="AH343" s="419">
        <f>IF(ISNA(MATCH(AC343,R340:R347,0)),0,VLOOKUP(AC343,R340:T347,3,FALSE))</f>
        <v>0</v>
      </c>
      <c r="AI343" s="419" t="str">
        <f>IF(ISNA(MATCH(AC343,L340:L347,0)),0,VLOOKUP(AC343,L340:P347,4,FALSE))</f>
        <v>R</v>
      </c>
      <c r="AJ343" s="419">
        <f>IF(ISNA(MATCH(AC343,R340:R347,0)),0,VLOOKUP(AC343,R340:U347,4,FALSE))</f>
        <v>0</v>
      </c>
      <c r="AK343" s="32">
        <f t="shared" si="295"/>
        <v>2</v>
      </c>
      <c r="AL343" s="32">
        <f t="shared" si="296"/>
        <v>0</v>
      </c>
      <c r="AM343" s="32">
        <f>IF(ISNA(MATCH(AC343,L340:L347,0)),0,VLOOKUP(AC343,L340:W347,AM$1,FALSE))</f>
        <v>7</v>
      </c>
      <c r="AN343" s="146">
        <f>IF(ISNA(MATCH(AC343,R340:R347,0)),0,VLOOKUP(AC343,R340:W347,AN$1,FALSE))</f>
        <v>0</v>
      </c>
      <c r="AP343" s="927"/>
      <c r="AQ343" s="927"/>
    </row>
    <row r="344" spans="1:47" ht="15.6" x14ac:dyDescent="0.3">
      <c r="A344" s="417">
        <f t="shared" si="297"/>
        <v>305</v>
      </c>
      <c r="B344" s="362" t="str">
        <f>'Event Details'!D$26</f>
        <v>M</v>
      </c>
      <c r="C344" s="381" t="str">
        <f>'Event Details'!E$26</f>
        <v>Solihull &amp; S.Heath</v>
      </c>
      <c r="D344" s="379"/>
      <c r="E344" s="378"/>
      <c r="F344" s="363">
        <f>VLOOKUP($B339,IF($H339="F",TeamSheetFemale,TeamSheetMale),$Y344-1,FALSE)</f>
        <v>0</v>
      </c>
      <c r="G344" s="380">
        <f>VLOOKUP($B339,IF($H339="F",TeamSheetFemale,TeamSheetMale),$Y344,FALSE)</f>
        <v>0</v>
      </c>
      <c r="H344" s="363">
        <f>VLOOKUP($B339,IF($H339="F",TeamSheetFemale,TeamSheetMale),$Y344+1,FALSE)</f>
        <v>0</v>
      </c>
      <c r="I344" s="364">
        <f>VLOOKUP($B339,IF($H339="F",TeamSheetFemale,TeamSheetMale),$Y344+2,FALSE)</f>
        <v>0</v>
      </c>
      <c r="K344" s="341" t="s">
        <v>275</v>
      </c>
      <c r="L344" s="16" t="str">
        <f t="shared" si="290"/>
        <v/>
      </c>
      <c r="M344" s="927"/>
      <c r="N344" s="927"/>
      <c r="O344" s="353" t="str">
        <f>IF(LEN($M344)=1,VLOOKUP(LEFT($M344,1),B340:I347,5,FALSE),IF(LEN($M344)=2,VLOOKUP(LEFT($M344,1),B340:I347,7,FALSE),""))</f>
        <v/>
      </c>
      <c r="P344" s="373" t="str">
        <f>IF(LEN($M344)=1,VLOOKUP(LEFT($M344,1),B340:I347,6,FALSE),IF(LEN($M344)=2,VLOOKUP(LEFT($M344,1),B340:I347,8,FALSE),""))</f>
        <v/>
      </c>
      <c r="Q344" s="341" t="s">
        <v>275</v>
      </c>
      <c r="R344" s="146" t="str">
        <f t="shared" si="291"/>
        <v/>
      </c>
      <c r="S344" s="927"/>
      <c r="T344" s="927"/>
      <c r="U344" s="353" t="str">
        <f>IF(LEN($S344)=1,VLOOKUP(LEFT($S344,1),B340:I347,5,FALSE),IF(LEN($S344)=2,VLOOKUP(LEFT($S344,1),B340:I347,7,FALSE),""))</f>
        <v/>
      </c>
      <c r="V344" s="373" t="str">
        <f>IF(LEN($S344)=1,VLOOKUP(LEFT($S344,1),B340:I347,6,FALSE),IF(LEN($S344)=2,VLOOKUP(LEFT($S344,1),B340:I347,8,FALSE),""))</f>
        <v/>
      </c>
      <c r="W344" s="417">
        <f t="shared" si="298"/>
        <v>4</v>
      </c>
      <c r="Y344" s="417">
        <v>27</v>
      </c>
      <c r="Z344" s="16">
        <f t="shared" si="292"/>
        <v>0</v>
      </c>
      <c r="AA344" s="146">
        <f t="shared" si="293"/>
        <v>0</v>
      </c>
      <c r="AB344" s="32"/>
      <c r="AC344" s="16" t="str">
        <f t="shared" si="294"/>
        <v>M</v>
      </c>
      <c r="AD344" s="419" t="str">
        <f t="shared" si="294"/>
        <v>Solihull &amp; S.Heath</v>
      </c>
      <c r="AE344" s="419">
        <f>IF(ISNA(MATCH(AC344,N340:N349,0)),0,VLOOKUP(AC344,N340:S349,5,FALSE))</f>
        <v>0</v>
      </c>
      <c r="AF344" s="419" t="str">
        <f>IF(ISNA(MATCH(AC344,T340:T349,0))," ",VLOOKUP(AC344,T340:Y349,5,FALSE))</f>
        <v xml:space="preserve"> </v>
      </c>
      <c r="AG344" s="419">
        <f>IF(ISNA(MATCH(AC344,L340:L347,0)),0,VLOOKUP(AC344,L340:N347,3,FALSE))</f>
        <v>0</v>
      </c>
      <c r="AH344" s="419">
        <f>IF(ISNA(MATCH(AC344,R340:R347,0)),0,VLOOKUP(AC344,R340:T347,3,FALSE))</f>
        <v>0</v>
      </c>
      <c r="AI344" s="419">
        <f>IF(ISNA(MATCH(AC344,L340:L347,0)),0,VLOOKUP(AC344,L340:P347,4,FALSE))</f>
        <v>0</v>
      </c>
      <c r="AJ344" s="419">
        <f>IF(ISNA(MATCH(AC344,R340:R347,0)),0,VLOOKUP(AC344,R340:U347,4,FALSE))</f>
        <v>0</v>
      </c>
      <c r="AK344" s="32">
        <f t="shared" si="295"/>
        <v>0</v>
      </c>
      <c r="AL344" s="32">
        <f t="shared" si="296"/>
        <v>0</v>
      </c>
      <c r="AM344" s="32">
        <f>IF(ISNA(MATCH(AC344,L340:L347,0)),0,VLOOKUP(AC344,L340:W347,AM$1,FALSE))</f>
        <v>0</v>
      </c>
      <c r="AN344" s="146">
        <f>IF(ISNA(MATCH(AC344,R340:R347,0)),0,VLOOKUP(AC344,R340:W347,AN$1,FALSE))</f>
        <v>0</v>
      </c>
      <c r="AP344" s="927"/>
      <c r="AQ344" s="927"/>
    </row>
    <row r="345" spans="1:47" ht="15.6" x14ac:dyDescent="0.3">
      <c r="A345" s="417">
        <f t="shared" si="297"/>
        <v>306</v>
      </c>
      <c r="B345" s="362" t="str">
        <f>'Event Details'!D$27</f>
        <v>D</v>
      </c>
      <c r="C345" s="381" t="str">
        <f>'Event Details'!E$27</f>
        <v>Stratford</v>
      </c>
      <c r="D345" s="379"/>
      <c r="E345" s="378"/>
      <c r="F345" s="363" t="str">
        <f>VLOOKUP($B339,IF($H339="F",TeamSheetFemale,TeamSheetMale),$Y345-1,FALSE)</f>
        <v>D</v>
      </c>
      <c r="G345" s="380" t="str">
        <f>VLOOKUP($B339,IF($H339="F",TeamSheetFemale,TeamSheetMale),$Y345,FALSE)</f>
        <v>Will Hovell</v>
      </c>
      <c r="H345" s="363" t="str">
        <f>VLOOKUP($B339,IF($H339="F",TeamSheetFemale,TeamSheetMale),$Y345+1,FALSE)</f>
        <v>DD</v>
      </c>
      <c r="I345" s="364" t="str">
        <f>VLOOKUP($B339,IF($H339="F",TeamSheetFemale,TeamSheetMale),$Y345+2,FALSE)</f>
        <v>George Wright</v>
      </c>
      <c r="K345" s="341" t="s">
        <v>276</v>
      </c>
      <c r="L345" s="16" t="str">
        <f t="shared" si="290"/>
        <v/>
      </c>
      <c r="M345" s="927"/>
      <c r="N345" s="927"/>
      <c r="O345" s="353" t="str">
        <f>IF(LEN($M345)=1,VLOOKUP(LEFT($M345,1),B340:I347,5,FALSE),IF(LEN($M345)=2,VLOOKUP(LEFT($M345,1),B340:I347,7,FALSE),""))</f>
        <v/>
      </c>
      <c r="P345" s="373" t="str">
        <f>IF(LEN($M345)=1,VLOOKUP(LEFT($M345,1),B340:I347,6,FALSE),IF(LEN($M345)=2,VLOOKUP(LEFT($M345,1),B340:I347,8,FALSE),""))</f>
        <v/>
      </c>
      <c r="Q345" s="341" t="s">
        <v>276</v>
      </c>
      <c r="R345" s="146" t="str">
        <f t="shared" si="291"/>
        <v/>
      </c>
      <c r="S345" s="927"/>
      <c r="T345" s="927"/>
      <c r="U345" s="353" t="str">
        <f>IF(LEN($S345)=1,VLOOKUP(LEFT($S345,1),B340:I347,5,FALSE),IF(LEN($S345)=2,VLOOKUP(LEFT($S345,1),B340:I347,7,FALSE),""))</f>
        <v/>
      </c>
      <c r="V345" s="373" t="str">
        <f>IF(LEN($S345)=1,VLOOKUP(LEFT($S345,1),B340:I347,6,FALSE),IF(LEN($S345)=2,VLOOKUP(LEFT($S345,1),B340:I347,8,FALSE),""))</f>
        <v/>
      </c>
      <c r="W345" s="417">
        <f t="shared" si="298"/>
        <v>3</v>
      </c>
      <c r="Y345" s="417">
        <v>32</v>
      </c>
      <c r="Z345" s="16">
        <f t="shared" si="292"/>
        <v>0</v>
      </c>
      <c r="AA345" s="146">
        <f t="shared" si="293"/>
        <v>0</v>
      </c>
      <c r="AB345" s="32"/>
      <c r="AC345" s="16" t="str">
        <f t="shared" si="294"/>
        <v>D</v>
      </c>
      <c r="AD345" s="419" t="str">
        <f t="shared" si="294"/>
        <v>Stratford</v>
      </c>
      <c r="AE345" s="419">
        <f>IF(ISNA(MATCH(AC345,N340:N349,0)),0,VLOOKUP(AC345,N340:S349,5,FALSE))</f>
        <v>0</v>
      </c>
      <c r="AF345" s="419" t="str">
        <f>IF(ISNA(MATCH(AC345,T340:T349,0))," ",VLOOKUP(AC345,T340:Y349,5,FALSE))</f>
        <v xml:space="preserve"> </v>
      </c>
      <c r="AG345" s="419">
        <f>IF(ISNA(MATCH(AC345,L340:L347,0)),0,VLOOKUP(AC345,L340:N347,3,FALSE))</f>
        <v>5.54</v>
      </c>
      <c r="AH345" s="419">
        <f>IF(ISNA(MATCH(AC345,R340:R347,0)),0,VLOOKUP(AC345,R340:T347,3,FALSE))</f>
        <v>4.8099999999999996</v>
      </c>
      <c r="AI345" s="419" t="str">
        <f>IF(ISNA(MATCH(AC345,L340:L347,0)),0,VLOOKUP(AC345,L340:P347,4,FALSE))</f>
        <v>DD</v>
      </c>
      <c r="AJ345" s="419" t="str">
        <f>IF(ISNA(MATCH(AC345,R340:R347,0)),0,VLOOKUP(AC345,R340:U347,4,FALSE))</f>
        <v>D</v>
      </c>
      <c r="AK345" s="32">
        <f t="shared" si="295"/>
        <v>1</v>
      </c>
      <c r="AL345" s="32">
        <f t="shared" si="296"/>
        <v>1</v>
      </c>
      <c r="AM345" s="32">
        <f>IF(ISNA(MATCH(AC345,L340:L347,0)),0,VLOOKUP(AC345,L340:W347,AM$1,FALSE))</f>
        <v>8</v>
      </c>
      <c r="AN345" s="146">
        <f>IF(ISNA(MATCH(AC345,R340:R347,0)),0,VLOOKUP(AC345,R340:W347,AN$1,FALSE))</f>
        <v>8</v>
      </c>
      <c r="AP345" s="927"/>
      <c r="AQ345" s="927"/>
    </row>
    <row r="346" spans="1:47" ht="15.6" x14ac:dyDescent="0.3">
      <c r="A346" s="417">
        <f t="shared" si="297"/>
        <v>307</v>
      </c>
      <c r="B346" s="362" t="str">
        <f>'Event Details'!D$28</f>
        <v>F</v>
      </c>
      <c r="C346" s="381" t="str">
        <f>'Event Details'!E$28</f>
        <v>Tamworth</v>
      </c>
      <c r="D346" s="379"/>
      <c r="E346" s="378"/>
      <c r="F346" s="363" t="str">
        <f>VLOOKUP($B339,IF($H339="F",TeamSheetFemale,TeamSheetMale),$Y346-1,FALSE)</f>
        <v>F</v>
      </c>
      <c r="G346" s="380" t="str">
        <f>VLOOKUP($B339,IF($H339="F",TeamSheetFemale,TeamSheetMale),$Y346,FALSE)</f>
        <v>Oliver Ciszecki</v>
      </c>
      <c r="H346" s="363" t="str">
        <f>VLOOKUP($B339,IF($H339="F",TeamSheetFemale,TeamSheetMale),$Y346+1,FALSE)</f>
        <v>FF</v>
      </c>
      <c r="I346" s="364" t="str">
        <f>VLOOKUP($B339,IF($H339="F",TeamSheetFemale,TeamSheetMale),$Y346+2,FALSE)</f>
        <v>Anthony Tolley</v>
      </c>
      <c r="K346" s="341" t="s">
        <v>277</v>
      </c>
      <c r="L346" s="16" t="str">
        <f t="shared" si="290"/>
        <v/>
      </c>
      <c r="M346" s="927"/>
      <c r="N346" s="927"/>
      <c r="O346" s="353" t="str">
        <f>IF(LEN($M346)=1,VLOOKUP(LEFT($M346,1),B340:I347,5,FALSE),IF(LEN($M346)=2,VLOOKUP(LEFT($M346,1),B340:I347,7,FALSE),""))</f>
        <v/>
      </c>
      <c r="P346" s="373" t="str">
        <f>IF(LEN($M346)=1,VLOOKUP(LEFT($M346,1),B340:I347,6,FALSE),IF(LEN($M346)=2,VLOOKUP(LEFT($M346,1),B340:I347,8,FALSE),""))</f>
        <v/>
      </c>
      <c r="Q346" s="341" t="s">
        <v>277</v>
      </c>
      <c r="R346" s="146" t="str">
        <f t="shared" si="291"/>
        <v/>
      </c>
      <c r="S346" s="927"/>
      <c r="T346" s="927"/>
      <c r="U346" s="353" t="str">
        <f>IF(LEN($S346)=1,VLOOKUP(LEFT($S346,1),B340:I347,5,FALSE),IF(LEN($S346)=2,VLOOKUP(LEFT($S346,1),B340:I347,7,FALSE),""))</f>
        <v/>
      </c>
      <c r="V346" s="373" t="str">
        <f>IF(LEN($S346)=1,VLOOKUP(LEFT($S346,1),B340:I347,6,FALSE),IF(LEN($S346)=2,VLOOKUP(LEFT($S346,1),B340:I347,8,FALSE),""))</f>
        <v/>
      </c>
      <c r="W346" s="417">
        <f t="shared" si="298"/>
        <v>2</v>
      </c>
      <c r="Y346" s="417">
        <v>37</v>
      </c>
      <c r="Z346" s="16">
        <f t="shared" si="292"/>
        <v>0</v>
      </c>
      <c r="AA346" s="146">
        <f t="shared" si="293"/>
        <v>0</v>
      </c>
      <c r="AB346" s="32"/>
      <c r="AC346" s="16" t="str">
        <f t="shared" si="294"/>
        <v>F</v>
      </c>
      <c r="AD346" s="419" t="str">
        <f t="shared" si="294"/>
        <v>Tamworth</v>
      </c>
      <c r="AE346" s="419">
        <f>IF(ISNA(MATCH(AC346,N338:N347,0)),0,VLOOKUP(AC346,N338:S347,5,FALSE))</f>
        <v>0</v>
      </c>
      <c r="AF346" s="419" t="str">
        <f>IF(ISNA(MATCH(AC346,T338:T347,0))," ",VLOOKUP(AC346,T338:Y347,5,FALSE))</f>
        <v xml:space="preserve"> </v>
      </c>
      <c r="AG346" s="419">
        <f>IF(ISNA(MATCH(AC346,L340:L347,0)),0,VLOOKUP(AC346,L340:N347,3,FALSE))</f>
        <v>4.1100000000000003</v>
      </c>
      <c r="AH346" s="419">
        <f>IF(ISNA(MATCH(AC346,R340:R347,0)),0,VLOOKUP(AC346,R340:T347,3,FALSE))</f>
        <v>0</v>
      </c>
      <c r="AI346" s="419" t="str">
        <f>IF(ISNA(MATCH(AC346,L340:L347,0)),0,VLOOKUP(AC346,L340:P347,4,FALSE))</f>
        <v>F</v>
      </c>
      <c r="AJ346" s="419">
        <f>IF(ISNA(MATCH(AC346,R340:R347,0)),0,VLOOKUP(AC346,R340:U347,4,FALSE))</f>
        <v>0</v>
      </c>
      <c r="AK346" s="32">
        <f t="shared" si="295"/>
        <v>4</v>
      </c>
      <c r="AL346" s="32">
        <f t="shared" si="296"/>
        <v>0</v>
      </c>
      <c r="AM346" s="32">
        <f>IF(ISNA(MATCH(AC346,L340:L347,0)),0,VLOOKUP(AC346,L340:W347,AM$1,FALSE))</f>
        <v>5</v>
      </c>
      <c r="AN346" s="146">
        <f>IF(ISNA(MATCH(AC346,R340:R347,0)),0,VLOOKUP(AC346,R340:W347,AN$1,FALSE))</f>
        <v>0</v>
      </c>
      <c r="AP346" s="927"/>
      <c r="AQ346" s="927"/>
    </row>
    <row r="347" spans="1:47" ht="16.2" thickBot="1" x14ac:dyDescent="0.35">
      <c r="A347" s="418">
        <f t="shared" si="297"/>
        <v>308</v>
      </c>
      <c r="B347" s="365" t="str">
        <f>'Event Details'!D$29</f>
        <v>Y</v>
      </c>
      <c r="C347" s="366" t="str">
        <f>'Event Details'!E$29</f>
        <v>Worcester</v>
      </c>
      <c r="D347" s="361"/>
      <c r="E347" s="370"/>
      <c r="F347" s="367">
        <f>VLOOKUP($B339,IF($H339="F",TeamSheetFemale,TeamSheetMale),$Y347-1,FALSE)</f>
        <v>0</v>
      </c>
      <c r="G347" s="368">
        <f>VLOOKUP($B339,IF($H339="F",TeamSheetFemale,TeamSheetMale),$Y347,FALSE)</f>
        <v>0</v>
      </c>
      <c r="H347" s="367">
        <f>VLOOKUP($B339,IF($H339="F",TeamSheetFemale,TeamSheetMale),$Y347+1,FALSE)</f>
        <v>0</v>
      </c>
      <c r="I347" s="369">
        <f>VLOOKUP($B339,IF($H339="F",TeamSheetFemale,TeamSheetMale),$Y347+2,FALSE)</f>
        <v>0</v>
      </c>
      <c r="K347" s="346" t="s">
        <v>278</v>
      </c>
      <c r="L347" s="25" t="str">
        <f t="shared" si="290"/>
        <v/>
      </c>
      <c r="M347" s="932"/>
      <c r="N347" s="932"/>
      <c r="O347" s="375" t="str">
        <f>IF(LEN($M347)=1,VLOOKUP(LEFT($M347,1),B340:I347,5,FALSE),IF(LEN($M347)=2,VLOOKUP(LEFT($M347,1),B340:I347,7,FALSE),""))</f>
        <v/>
      </c>
      <c r="P347" s="376" t="str">
        <f>IF(LEN($M347)=1,VLOOKUP(LEFT($M347,1),B340:I347,6,FALSE),IF(LEN($M347)=2,VLOOKUP(LEFT($M347,1),B340:I347,8,FALSE),""))</f>
        <v/>
      </c>
      <c r="Q347" s="346" t="s">
        <v>278</v>
      </c>
      <c r="R347" s="523" t="str">
        <f t="shared" si="291"/>
        <v/>
      </c>
      <c r="S347" s="932"/>
      <c r="T347" s="932"/>
      <c r="U347" s="375" t="str">
        <f>IF(LEN($S347)=1,VLOOKUP(LEFT($S347,1),B340:I347,5,FALSE),IF(LEN($S347)=2,VLOOKUP(LEFT($S347,1),B340:I347,7,FALSE),""))</f>
        <v/>
      </c>
      <c r="V347" s="376" t="str">
        <f>IF(LEN($S347)=1,VLOOKUP(LEFT($S347,1),B340:I347,6,FALSE),IF(LEN($S347)=2,VLOOKUP(LEFT($S347,1),B340:I347,8,FALSE),""))</f>
        <v/>
      </c>
      <c r="W347" s="418">
        <f t="shared" si="298"/>
        <v>1</v>
      </c>
      <c r="Y347" s="418">
        <v>42</v>
      </c>
      <c r="Z347" s="25">
        <f t="shared" si="292"/>
        <v>0</v>
      </c>
      <c r="AA347" s="523">
        <f t="shared" si="293"/>
        <v>0</v>
      </c>
      <c r="AB347" s="32"/>
      <c r="AC347" s="25" t="str">
        <f t="shared" si="294"/>
        <v>Y</v>
      </c>
      <c r="AD347" s="624" t="str">
        <f t="shared" si="294"/>
        <v>Worcester</v>
      </c>
      <c r="AE347" s="624">
        <f>IF(ISNA(MATCH(AC347,N339:N348,0)),0,VLOOKUP(AC347,N339:S348,5,FALSE))</f>
        <v>0</v>
      </c>
      <c r="AF347" s="624" t="str">
        <f t="shared" ref="AF347" si="299">IF(ISNA(MATCH(AC347,T339:T348,0))," ",VLOOKUP(AC347,T339:Y348,5,FALSE))</f>
        <v xml:space="preserve"> </v>
      </c>
      <c r="AG347" s="624">
        <f>IF(ISNA(MATCH(AC347,L340:L347,0)),0,VLOOKUP(AC347,L340:N347,3,FALSE))</f>
        <v>0</v>
      </c>
      <c r="AH347" s="624">
        <f>IF(ISNA(MATCH(AC347,R340:R347,0)),0,VLOOKUP(AC347,R340:T347,3,FALSE))</f>
        <v>0</v>
      </c>
      <c r="AI347" s="624">
        <f>IF(ISNA(MATCH(AC347,L340:L347,0)),0,VLOOKUP(AC347,L340:P347,4,FALSE))</f>
        <v>0</v>
      </c>
      <c r="AJ347" s="624">
        <f>IF(ISNA(MATCH(AC347,R340:R347,0)),0,VLOOKUP(AC347,R340:U347,4,FALSE))</f>
        <v>0</v>
      </c>
      <c r="AK347" s="116">
        <f t="shared" si="295"/>
        <v>0</v>
      </c>
      <c r="AL347" s="116">
        <f t="shared" si="296"/>
        <v>0</v>
      </c>
      <c r="AM347" s="116">
        <f>IF(ISNA(MATCH(AC347,L340:L347,0)),0,VLOOKUP(AC347,L340:W347,AM$1,FALSE))</f>
        <v>0</v>
      </c>
      <c r="AN347" s="523">
        <f>IF(ISNA(MATCH(AC347,R340:R347,0)),0,VLOOKUP(AC347,R340:W347,AN$1,FALSE))</f>
        <v>0</v>
      </c>
      <c r="AP347" s="932"/>
      <c r="AQ347" s="932"/>
    </row>
    <row r="348" spans="1:47" ht="15" thickBot="1" x14ac:dyDescent="0.35">
      <c r="M348" s="276"/>
      <c r="N348" s="276"/>
      <c r="S348" s="276"/>
      <c r="T348" s="276"/>
      <c r="AP348" s="276"/>
      <c r="AQ348" s="276"/>
    </row>
    <row r="349" spans="1:47" x14ac:dyDescent="0.3">
      <c r="B349" s="400" t="s">
        <v>258</v>
      </c>
      <c r="C349" s="398"/>
      <c r="D349" s="401" t="s">
        <v>165</v>
      </c>
      <c r="E349" s="398"/>
      <c r="F349" s="398"/>
      <c r="G349" s="402" t="s">
        <v>259</v>
      </c>
      <c r="H349" s="403" t="s">
        <v>249</v>
      </c>
      <c r="I349" s="404" t="s">
        <v>168</v>
      </c>
      <c r="K349" s="360"/>
      <c r="L349" s="661"/>
      <c r="M349" s="387" t="s">
        <v>260</v>
      </c>
      <c r="N349" s="387" t="s">
        <v>261</v>
      </c>
      <c r="O349" s="387" t="s">
        <v>262</v>
      </c>
      <c r="P349" s="388" t="s">
        <v>75</v>
      </c>
      <c r="Q349" s="412"/>
      <c r="R349" s="657"/>
      <c r="S349" s="387" t="s">
        <v>260</v>
      </c>
      <c r="T349" s="387" t="s">
        <v>261</v>
      </c>
      <c r="U349" s="387" t="s">
        <v>262</v>
      </c>
      <c r="V349" s="388" t="s">
        <v>75</v>
      </c>
      <c r="W349" s="672" t="s">
        <v>76</v>
      </c>
      <c r="Y349" s="654" t="s">
        <v>263</v>
      </c>
      <c r="Z349" s="656" t="s">
        <v>74</v>
      </c>
      <c r="AA349" s="657" t="s">
        <v>75</v>
      </c>
      <c r="AC349" s="665" t="s">
        <v>71</v>
      </c>
      <c r="AD349" s="657" t="s">
        <v>86</v>
      </c>
      <c r="AE349" s="661" t="s">
        <v>149</v>
      </c>
      <c r="AF349" s="661" t="s">
        <v>94</v>
      </c>
      <c r="AG349" s="661" t="s">
        <v>149</v>
      </c>
      <c r="AH349" s="661" t="s">
        <v>94</v>
      </c>
      <c r="AI349" s="661" t="s">
        <v>149</v>
      </c>
      <c r="AJ349" s="661" t="s">
        <v>94</v>
      </c>
      <c r="AK349" s="1332" t="s">
        <v>149</v>
      </c>
      <c r="AL349" s="661" t="s">
        <v>94</v>
      </c>
      <c r="AM349" s="1406" t="s">
        <v>76</v>
      </c>
      <c r="AN349" s="1407"/>
      <c r="AP349" s="387" t="s">
        <v>260</v>
      </c>
      <c r="AQ349" s="387" t="s">
        <v>261</v>
      </c>
      <c r="AS349" s="1218" t="s">
        <v>165</v>
      </c>
      <c r="AT349" s="1219" t="s">
        <v>79</v>
      </c>
      <c r="AU349" s="1220" t="s">
        <v>80</v>
      </c>
    </row>
    <row r="350" spans="1:47" ht="15" thickBot="1" x14ac:dyDescent="0.35">
      <c r="B350" s="405">
        <v>31</v>
      </c>
      <c r="C350" s="399"/>
      <c r="D350" s="385" t="str">
        <f>VLOOKUP($B350,EventOrder,6,FALSE)</f>
        <v xml:space="preserve">400m (U18/U20) </v>
      </c>
      <c r="E350" s="399"/>
      <c r="F350" s="385"/>
      <c r="G350" s="386" t="str">
        <f>VLOOKUP($B350,EventOrder,4,FALSE)</f>
        <v>U18 Men</v>
      </c>
      <c r="H350" s="396" t="str">
        <f>IF(MID(G350,5,1)="F","F","M")</f>
        <v>M</v>
      </c>
      <c r="I350" s="397">
        <f>VLOOKUP($B350,EventOrder,2,FALSE)</f>
        <v>1.35</v>
      </c>
      <c r="K350" s="372"/>
      <c r="L350" s="667" t="s">
        <v>149</v>
      </c>
      <c r="M350" s="409" t="s">
        <v>264</v>
      </c>
      <c r="N350" s="409" t="s">
        <v>265</v>
      </c>
      <c r="O350" s="409" t="s">
        <v>266</v>
      </c>
      <c r="P350" s="408"/>
      <c r="Q350" s="413"/>
      <c r="R350" s="659" t="s">
        <v>94</v>
      </c>
      <c r="S350" s="409" t="s">
        <v>264</v>
      </c>
      <c r="T350" s="409" t="s">
        <v>265</v>
      </c>
      <c r="U350" s="409" t="s">
        <v>266</v>
      </c>
      <c r="V350" s="408"/>
      <c r="W350" s="671"/>
      <c r="Y350" s="655" t="s">
        <v>167</v>
      </c>
      <c r="Z350" s="658" t="s">
        <v>149</v>
      </c>
      <c r="AA350" s="659" t="s">
        <v>94</v>
      </c>
      <c r="AC350" s="666"/>
      <c r="AD350" s="668"/>
      <c r="AE350" s="768" t="s">
        <v>75</v>
      </c>
      <c r="AF350" s="768" t="s">
        <v>75</v>
      </c>
      <c r="AG350" s="768" t="s">
        <v>267</v>
      </c>
      <c r="AH350" s="768" t="s">
        <v>267</v>
      </c>
      <c r="AI350" s="768" t="s">
        <v>268</v>
      </c>
      <c r="AJ350" s="768" t="s">
        <v>268</v>
      </c>
      <c r="AK350" s="770" t="s">
        <v>269</v>
      </c>
      <c r="AL350" s="768" t="s">
        <v>269</v>
      </c>
      <c r="AM350" s="667" t="s">
        <v>149</v>
      </c>
      <c r="AN350" s="659" t="s">
        <v>94</v>
      </c>
      <c r="AP350" s="409" t="s">
        <v>264</v>
      </c>
      <c r="AQ350" s="409" t="s">
        <v>265</v>
      </c>
      <c r="AS350" s="1221" t="s">
        <v>270</v>
      </c>
      <c r="AT350" s="1222" t="s">
        <v>270</v>
      </c>
      <c r="AU350" s="1223" t="s">
        <v>270</v>
      </c>
    </row>
    <row r="351" spans="1:47" ht="15.6" x14ac:dyDescent="0.3">
      <c r="A351" s="416">
        <f>(B350*10)+1</f>
        <v>311</v>
      </c>
      <c r="B351" s="362" t="str">
        <f>'Event Details'!D$22</f>
        <v>S</v>
      </c>
      <c r="C351" s="381" t="str">
        <f>'Event Details'!E$22</f>
        <v>BRAT</v>
      </c>
      <c r="D351" s="379"/>
      <c r="E351" s="378"/>
      <c r="F351" s="363">
        <f>VLOOKUP($B350,IF($H350="F",TeamSheetFemale,TeamSheetMale),$Y351-1,FALSE)</f>
        <v>0</v>
      </c>
      <c r="G351" s="380">
        <f>VLOOKUP($B350,IF($H350="F",TeamSheetFemale,TeamSheetMale),$Y351,FALSE)</f>
        <v>0</v>
      </c>
      <c r="H351" s="363">
        <f>VLOOKUP($B350,IF($H350="F",TeamSheetFemale,TeamSheetMale),$Y351+1,FALSE)</f>
        <v>0</v>
      </c>
      <c r="I351" s="364">
        <f>VLOOKUP($B350,IF($H350="F",TeamSheetFemale,TeamSheetMale),$Y351+2,FALSE)</f>
        <v>0</v>
      </c>
      <c r="K351" s="393" t="s">
        <v>271</v>
      </c>
      <c r="L351" s="16" t="str">
        <f t="shared" ref="L351:L358" si="300">LEFT(M351,1)</f>
        <v>D</v>
      </c>
      <c r="M351" s="926" t="s">
        <v>136</v>
      </c>
      <c r="N351" s="926">
        <v>51.8</v>
      </c>
      <c r="O351" s="394" t="str">
        <f>IF(LEN($M351)=1,VLOOKUP(LEFT($M351,1),B351:I358,5,FALSE),IF(LEN($M351)=2,VLOOKUP(LEFT($M351,1),B351:I358,7,FALSE),""))</f>
        <v>D</v>
      </c>
      <c r="P351" s="395" t="str">
        <f>IF(LEN($M351)=1,VLOOKUP(LEFT($M351,1),B351:I358,6,FALSE),IF(LEN($M351)=2,VLOOKUP(LEFT($M351,1),B351:I358,8,FALSE),""))</f>
        <v>Tom Stanton</v>
      </c>
      <c r="Q351" s="406" t="s">
        <v>271</v>
      </c>
      <c r="R351" s="146" t="str">
        <f t="shared" ref="R351:R358" si="301">LEFT(S351,1)</f>
        <v>D</v>
      </c>
      <c r="S351" s="926" t="s">
        <v>513</v>
      </c>
      <c r="T351" s="926">
        <v>58.4</v>
      </c>
      <c r="U351" s="394" t="str">
        <f>IF(LEN($S351)=1,VLOOKUP(LEFT($S351,1),B351:I358,5,FALSE),IF(LEN($S351)=2,VLOOKUP(LEFT($S351,1),B351:I358,7,FALSE),""))</f>
        <v>DD</v>
      </c>
      <c r="V351" s="395" t="str">
        <f>IF(LEN($S351)=1,VLOOKUP(LEFT($S351,1),B351:I358,6,FALSE),IF(LEN($S351)=2,VLOOKUP(LEFT($S351,1),B351:I358,8,FALSE),""))</f>
        <v>Toby Thomas</v>
      </c>
      <c r="W351" s="417">
        <f>AN$6</f>
        <v>8</v>
      </c>
      <c r="Y351" s="653">
        <v>7</v>
      </c>
      <c r="Z351" s="653" t="str">
        <f t="shared" ref="Z351:Z358" si="302">IF(LEN(M351)&gt;0,VLOOKUP(LEFT(M351,1),ShortName,5,FALSE),0)</f>
        <v>Strat</v>
      </c>
      <c r="AA351" s="138" t="str">
        <f t="shared" ref="AA351:AA358" si="303">IF(LEN(S351)&gt;0,VLOOKUP(LEFT(S351,1),ShortName,5,FALSE),0)</f>
        <v>Strat</v>
      </c>
      <c r="AC351" s="16" t="str">
        <f t="shared" ref="AC351:AD358" si="304">B351</f>
        <v>S</v>
      </c>
      <c r="AD351" s="419" t="str">
        <f t="shared" si="304"/>
        <v>BRAT</v>
      </c>
      <c r="AE351" s="635">
        <f>IF(ISNA(MATCH(AC351,N351:N360,0)),0,VLOOKUP(AC351,N351:S360,5,FALSE))</f>
        <v>0</v>
      </c>
      <c r="AF351" s="635" t="str">
        <f>IF(ISNA(MATCH(AC351,T351:T360,0))," ",VLOOKUP(AC351,T351:Y360,5,FALSE))</f>
        <v xml:space="preserve"> </v>
      </c>
      <c r="AG351" s="635">
        <f>IF(ISNA(MATCH(AC351,L351:L358,0)),0,VLOOKUP(AC351,L351:N358,3,FALSE))</f>
        <v>0</v>
      </c>
      <c r="AH351" s="635">
        <f>IF(ISNA(MATCH(AC351,R351:R358,0)),0,VLOOKUP(AC351,R351:T358,3,FALSE))</f>
        <v>0</v>
      </c>
      <c r="AI351" s="635">
        <f>IF(ISNA(MATCH(AC351,L351:L358,0)),0,VLOOKUP(AC351,L351:P358,4,FALSE))</f>
        <v>0</v>
      </c>
      <c r="AJ351" s="635">
        <f>IF(ISNA(MATCH(AC351,R351:R358,0)),0,VLOOKUP(AC351,R351:U358,4,FALSE))</f>
        <v>0</v>
      </c>
      <c r="AK351" s="49">
        <f t="shared" ref="AK351:AK358" si="305">IF(AM351=0,0,AN$6-(AM351-1))</f>
        <v>0</v>
      </c>
      <c r="AL351" s="49">
        <f t="shared" ref="AL351:AL358" si="306">IF(AN351=0,0,AN$6-(AN351-1))</f>
        <v>0</v>
      </c>
      <c r="AM351" s="49">
        <f>IF(ISNA(MATCH(AC351,L351:L358,0)),0,VLOOKUP(AC351,L351:W358,AM$1,FALSE))</f>
        <v>0</v>
      </c>
      <c r="AN351" s="138">
        <f>IF(ISNA(MATCH(AC351,R351:R358,0)),0,VLOOKUP(AC351,R351:W358,AN$1,FALSE))</f>
        <v>0</v>
      </c>
      <c r="AP351" s="926"/>
      <c r="AQ351" s="926"/>
      <c r="AS351" s="32">
        <f>IF(LEN(N351)&gt;0,1,0)</f>
        <v>1</v>
      </c>
      <c r="AT351" s="32">
        <f>IF(AND(AS351=1,H350="M"),1,0)</f>
        <v>1</v>
      </c>
      <c r="AU351" s="32">
        <f>IF(AND(AS351=1,H350="F"),1,0)</f>
        <v>0</v>
      </c>
    </row>
    <row r="352" spans="1:47" ht="15.6" x14ac:dyDescent="0.3">
      <c r="A352" s="417">
        <f>A351+1</f>
        <v>312</v>
      </c>
      <c r="B352" s="362" t="str">
        <f>'Event Details'!D$23</f>
        <v>U</v>
      </c>
      <c r="C352" s="381" t="str">
        <f>'Event Details'!E$23</f>
        <v>Kidder &amp; Stourport</v>
      </c>
      <c r="D352" s="379"/>
      <c r="E352" s="378"/>
      <c r="F352" s="363" t="str">
        <f>VLOOKUP($B350,IF($H350="F",TeamSheetFemale,TeamSheetMale),$Y352-1,FALSE)</f>
        <v>U</v>
      </c>
      <c r="G352" s="380" t="str">
        <f>VLOOKUP($B350,IF($H350="F",TeamSheetFemale,TeamSheetMale),$Y352,FALSE)</f>
        <v>Alex Payne</v>
      </c>
      <c r="H352" s="363">
        <f>VLOOKUP($B350,IF($H350="F",TeamSheetFemale,TeamSheetMale),$Y352+1,FALSE)</f>
        <v>0</v>
      </c>
      <c r="I352" s="364">
        <f>VLOOKUP($B350,IF($H350="F",TeamSheetFemale,TeamSheetMale),$Y352+2,FALSE)</f>
        <v>0</v>
      </c>
      <c r="K352" s="341" t="s">
        <v>272</v>
      </c>
      <c r="L352" s="16" t="str">
        <f t="shared" si="300"/>
        <v>Y</v>
      </c>
      <c r="M352" s="927" t="s">
        <v>151</v>
      </c>
      <c r="N352" s="927">
        <v>52.9</v>
      </c>
      <c r="O352" s="354" t="str">
        <f>IF(LEN($M352)=1,VLOOKUP(LEFT($M352,1),B351:I358,5,FALSE),IF(LEN($M352)=2,VLOOKUP(LEFT($M352,1),B351:I358,7,FALSE),""))</f>
        <v>Y</v>
      </c>
      <c r="P352" s="410" t="str">
        <f>IF(LEN($M352)=1,VLOOKUP(LEFT($M352,1),B351:I358,6,FALSE),IF(LEN($M352)=2,VLOOKUP(LEFT($M352,1),B351:I358,8,FALSE),""))</f>
        <v>Santiago Tomayo</v>
      </c>
      <c r="Q352" s="371" t="s">
        <v>272</v>
      </c>
      <c r="R352" s="146" t="str">
        <f t="shared" si="301"/>
        <v/>
      </c>
      <c r="S352" s="927"/>
      <c r="T352" s="927"/>
      <c r="U352" s="354" t="str">
        <f>IF(LEN($S352)=1,VLOOKUP(LEFT($S352,1),B351:I358,5,FALSE),IF(LEN($S352)=2,VLOOKUP(LEFT($S352,1),B351:I358,7,FALSE),""))</f>
        <v/>
      </c>
      <c r="V352" s="410" t="str">
        <f>IF(LEN($S352)=1,VLOOKUP(LEFT($S352,1),B351:I358,6,FALSE),IF(LEN($S352)=2,VLOOKUP(LEFT($S352,1),B351:I358,8,FALSE),""))</f>
        <v/>
      </c>
      <c r="W352" s="417">
        <f>W351-1</f>
        <v>7</v>
      </c>
      <c r="Y352" s="16">
        <v>12</v>
      </c>
      <c r="Z352" s="16" t="str">
        <f t="shared" si="302"/>
        <v>Worc</v>
      </c>
      <c r="AA352" s="146">
        <f t="shared" si="303"/>
        <v>0</v>
      </c>
      <c r="AC352" s="16" t="str">
        <f t="shared" si="304"/>
        <v>U</v>
      </c>
      <c r="AD352" s="419" t="str">
        <f t="shared" si="304"/>
        <v>Kidder &amp; Stourport</v>
      </c>
      <c r="AE352" s="419">
        <f>IF(ISNA(MATCH(AC352,N351:N360,0)),0,VLOOKUP(AC352,N351:S360,5,FALSE))</f>
        <v>0</v>
      </c>
      <c r="AF352" s="419" t="str">
        <f>IF(ISNA(MATCH(AC352,T351:T360,0))," ",VLOOKUP(AC352,T351:Y360,5,FALSE))</f>
        <v xml:space="preserve"> </v>
      </c>
      <c r="AG352" s="419">
        <f>IF(ISNA(MATCH(AC352,L351:L358,0)),0,VLOOKUP(AC352,L351:N358,3,FALSE))</f>
        <v>53.8</v>
      </c>
      <c r="AH352" s="419">
        <f>IF(ISNA(MATCH(AC352,R351:R358,0)),0,VLOOKUP(AC352,R351:T358,3,FALSE))</f>
        <v>0</v>
      </c>
      <c r="AI352" s="419" t="str">
        <f>IF(ISNA(MATCH(AC352,L351:L358,0)),0,VLOOKUP(AC352,L351:P358,4,FALSE))</f>
        <v>U</v>
      </c>
      <c r="AJ352" s="419">
        <f>IF(ISNA(MATCH(AC352,R351:R358,0)),0,VLOOKUP(AC352,R351:U358,4,FALSE))</f>
        <v>0</v>
      </c>
      <c r="AK352" s="32">
        <f t="shared" si="305"/>
        <v>3</v>
      </c>
      <c r="AL352" s="32">
        <f t="shared" si="306"/>
        <v>0</v>
      </c>
      <c r="AM352" s="32">
        <f>IF(ISNA(MATCH(AC352,L351:L358,0)),0,VLOOKUP(AC352,L351:W358,AM$1,FALSE))</f>
        <v>6</v>
      </c>
      <c r="AN352" s="146">
        <f>IF(ISNA(MATCH(AC352,R351:R358,0)),0,VLOOKUP(AC352,R351:W358,AN$1,FALSE))</f>
        <v>0</v>
      </c>
      <c r="AP352" s="927"/>
      <c r="AQ352" s="927"/>
    </row>
    <row r="353" spans="1:47" ht="15.6" x14ac:dyDescent="0.3">
      <c r="A353" s="417">
        <f t="shared" ref="A353:A358" si="307">A352+1</f>
        <v>313</v>
      </c>
      <c r="B353" s="362" t="str">
        <f>'Event Details'!D$24</f>
        <v>G</v>
      </c>
      <c r="C353" s="381" t="str">
        <f>'Event Details'!E$24</f>
        <v>Royal Sutton</v>
      </c>
      <c r="D353" s="379"/>
      <c r="E353" s="378"/>
      <c r="F353" s="363" t="str">
        <f>VLOOKUP($B350,IF($H350="F",TeamSheetFemale,TeamSheetMale),$Y353-1,FALSE)</f>
        <v>G</v>
      </c>
      <c r="G353" s="380">
        <f>VLOOKUP($B350,IF($H350="F",TeamSheetFemale,TeamSheetMale),$Y353,FALSE)</f>
        <v>0</v>
      </c>
      <c r="H353" s="363" t="str">
        <f>VLOOKUP($B350,IF($H350="F",TeamSheetFemale,TeamSheetMale),$Y353+1,FALSE)</f>
        <v>GG</v>
      </c>
      <c r="I353" s="364">
        <f>VLOOKUP($B350,IF($H350="F",TeamSheetFemale,TeamSheetMale),$Y353+2,FALSE)</f>
        <v>0</v>
      </c>
      <c r="K353" s="341" t="s">
        <v>273</v>
      </c>
      <c r="L353" s="16" t="str">
        <f t="shared" si="300"/>
        <v>U</v>
      </c>
      <c r="M353" s="927" t="s">
        <v>130</v>
      </c>
      <c r="N353" s="927">
        <v>53.8</v>
      </c>
      <c r="O353" s="354" t="str">
        <f>IF(LEN($M353)=1,VLOOKUP(LEFT($M353,1),B351:I358,5,FALSE),IF(LEN($M353)=2,VLOOKUP(LEFT($M353,1),B351:I358,7,FALSE),""))</f>
        <v>U</v>
      </c>
      <c r="P353" s="410" t="str">
        <f>IF(LEN($M353)=1,VLOOKUP(LEFT($M353,1),B351:I358,6,FALSE),IF(LEN($M353)=2,VLOOKUP(LEFT($M353,1),B351:I358,8,FALSE),""))</f>
        <v>Alex Payne</v>
      </c>
      <c r="Q353" s="371" t="s">
        <v>273</v>
      </c>
      <c r="R353" s="146" t="str">
        <f t="shared" si="301"/>
        <v/>
      </c>
      <c r="S353" s="927"/>
      <c r="T353" s="927"/>
      <c r="U353" s="354" t="str">
        <f>IF(LEN($S353)=1,VLOOKUP(LEFT($S353,1),B351:I358,5,FALSE),IF(LEN($S353)=2,VLOOKUP(LEFT($S353,1),B351:I358,7,FALSE),""))</f>
        <v/>
      </c>
      <c r="V353" s="410" t="str">
        <f>IF(LEN($S353)=1,VLOOKUP(LEFT($S353,1),B351:I358,6,FALSE),IF(LEN($S353)=2,VLOOKUP(LEFT($S353,1),B351:I358,8,FALSE),""))</f>
        <v/>
      </c>
      <c r="W353" s="417">
        <f t="shared" ref="W353:W358" si="308">W352-1</f>
        <v>6</v>
      </c>
      <c r="Y353" s="16">
        <v>17</v>
      </c>
      <c r="Z353" s="16" t="str">
        <f t="shared" si="302"/>
        <v>K&amp;S</v>
      </c>
      <c r="AA353" s="146">
        <f t="shared" si="303"/>
        <v>0</v>
      </c>
      <c r="AC353" s="16" t="str">
        <f t="shared" si="304"/>
        <v>G</v>
      </c>
      <c r="AD353" s="419" t="str">
        <f t="shared" si="304"/>
        <v>Royal Sutton</v>
      </c>
      <c r="AE353" s="419">
        <f>IF(ISNA(MATCH(AC353,N351:N360,0)),0,VLOOKUP(AC353,N351:S360,5,FALSE))</f>
        <v>0</v>
      </c>
      <c r="AF353" s="419" t="str">
        <f>IF(ISNA(MATCH(AC353,T351:T360,0))," ",VLOOKUP(AC353,T351:Y360,5,FALSE))</f>
        <v xml:space="preserve"> </v>
      </c>
      <c r="AG353" s="419">
        <f>IF(ISNA(MATCH(AC353,L351:L358,0)),0,VLOOKUP(AC353,L351:N358,3,FALSE))</f>
        <v>0</v>
      </c>
      <c r="AH353" s="419">
        <f>IF(ISNA(MATCH(AC353,R351:R358,0)),0,VLOOKUP(AC353,R351:T358,3,FALSE))</f>
        <v>0</v>
      </c>
      <c r="AI353" s="419">
        <f>IF(ISNA(MATCH(AC353,L351:L358,0)),0,VLOOKUP(AC353,L351:P358,4,FALSE))</f>
        <v>0</v>
      </c>
      <c r="AJ353" s="419">
        <f>IF(ISNA(MATCH(AC353,R351:R358,0)),0,VLOOKUP(AC353,R351:U358,4,FALSE))</f>
        <v>0</v>
      </c>
      <c r="AK353" s="32">
        <f t="shared" si="305"/>
        <v>0</v>
      </c>
      <c r="AL353" s="32">
        <f t="shared" si="306"/>
        <v>0</v>
      </c>
      <c r="AM353" s="32">
        <f>IF(ISNA(MATCH(AC353,L351:L358,0)),0,VLOOKUP(AC353,L351:W358,AM$1,FALSE))</f>
        <v>0</v>
      </c>
      <c r="AN353" s="146">
        <f>IF(ISNA(MATCH(AC353,R351:R358,0)),0,VLOOKUP(AC353,R351:W358,AN$1,FALSE))</f>
        <v>0</v>
      </c>
      <c r="AP353" s="927"/>
      <c r="AQ353" s="927"/>
    </row>
    <row r="354" spans="1:47" ht="15.6" x14ac:dyDescent="0.3">
      <c r="A354" s="417">
        <f t="shared" si="307"/>
        <v>314</v>
      </c>
      <c r="B354" s="362" t="str">
        <f>'Event Details'!D$25</f>
        <v>R</v>
      </c>
      <c r="C354" s="381" t="str">
        <f>'Event Details'!E$25</f>
        <v>Rugby &amp; N'hampton</v>
      </c>
      <c r="D354" s="379"/>
      <c r="E354" s="378"/>
      <c r="F354" s="363" t="str">
        <f>VLOOKUP($B350,IF($H350="F",TeamSheetFemale,TeamSheetMale),$Y354-1,FALSE)</f>
        <v>R</v>
      </c>
      <c r="G354" s="380">
        <f>VLOOKUP($B350,IF($H350="F",TeamSheetFemale,TeamSheetMale),$Y354,FALSE)</f>
        <v>0</v>
      </c>
      <c r="H354" s="363" t="str">
        <f>VLOOKUP($B350,IF($H350="F",TeamSheetFemale,TeamSheetMale),$Y354+1,FALSE)</f>
        <v>RR</v>
      </c>
      <c r="I354" s="364">
        <f>VLOOKUP($B350,IF($H350="F",TeamSheetFemale,TeamSheetMale),$Y354+2,FALSE)</f>
        <v>0</v>
      </c>
      <c r="K354" s="341" t="s">
        <v>274</v>
      </c>
      <c r="L354" s="16" t="str">
        <f t="shared" si="300"/>
        <v/>
      </c>
      <c r="M354" s="927"/>
      <c r="N354" s="927"/>
      <c r="O354" s="354" t="str">
        <f>IF(LEN($M354)=1,VLOOKUP(LEFT($M354,1),B351:I358,5,FALSE),IF(LEN($M354)=2,VLOOKUP(LEFT($M354,1),B351:I358,7,FALSE),""))</f>
        <v/>
      </c>
      <c r="P354" s="410" t="str">
        <f>IF(LEN($M354)=1,VLOOKUP(LEFT($M354,1),B351:I358,6,FALSE),IF(LEN($M354)=2,VLOOKUP(LEFT($M354,1),B351:I358,8,FALSE),""))</f>
        <v/>
      </c>
      <c r="Q354" s="371" t="s">
        <v>274</v>
      </c>
      <c r="R354" s="146" t="str">
        <f t="shared" si="301"/>
        <v/>
      </c>
      <c r="S354" s="927"/>
      <c r="T354" s="927"/>
      <c r="U354" s="354" t="str">
        <f>IF(LEN($S354)=1,VLOOKUP(LEFT($S354,1),B351:I358,5,FALSE),IF(LEN($S354)=2,VLOOKUP(LEFT($S354,1),B351:I358,7,FALSE),""))</f>
        <v/>
      </c>
      <c r="V354" s="410" t="str">
        <f>IF(LEN($S354)=1,VLOOKUP(LEFT($S354,1),B351:I358,6,FALSE),IF(LEN($S354)=2,VLOOKUP(LEFT($S354,1),B351:I358,8,FALSE),""))</f>
        <v/>
      </c>
      <c r="W354" s="417">
        <f t="shared" si="308"/>
        <v>5</v>
      </c>
      <c r="Y354" s="16">
        <v>22</v>
      </c>
      <c r="Z354" s="16">
        <f t="shared" si="302"/>
        <v>0</v>
      </c>
      <c r="AA354" s="146">
        <f t="shared" si="303"/>
        <v>0</v>
      </c>
      <c r="AC354" s="16" t="str">
        <f t="shared" si="304"/>
        <v>R</v>
      </c>
      <c r="AD354" s="419" t="str">
        <f t="shared" si="304"/>
        <v>Rugby &amp; N'hampton</v>
      </c>
      <c r="AE354" s="419">
        <f>IF(ISNA(MATCH(AC354,N351:N360,0)),0,VLOOKUP(AC354,N351:S360,5,FALSE))</f>
        <v>0</v>
      </c>
      <c r="AF354" s="419" t="str">
        <f>IF(ISNA(MATCH(AC354,T351:T360,0))," ",VLOOKUP(AC354,T351:Y360,5,FALSE))</f>
        <v xml:space="preserve"> </v>
      </c>
      <c r="AG354" s="419">
        <f>IF(ISNA(MATCH(AC354,L351:L358,0)),0,VLOOKUP(AC354,L351:N358,3,FALSE))</f>
        <v>0</v>
      </c>
      <c r="AH354" s="419">
        <f>IF(ISNA(MATCH(AC354,R351:R358,0)),0,VLOOKUP(AC354,R351:T358,3,FALSE))</f>
        <v>0</v>
      </c>
      <c r="AI354" s="419">
        <f>IF(ISNA(MATCH(AC354,L351:L358,0)),0,VLOOKUP(AC354,L351:P358,4,FALSE))</f>
        <v>0</v>
      </c>
      <c r="AJ354" s="419">
        <f>IF(ISNA(MATCH(AC354,R351:R358,0)),0,VLOOKUP(AC354,R351:U358,4,FALSE))</f>
        <v>0</v>
      </c>
      <c r="AK354" s="32">
        <f t="shared" si="305"/>
        <v>0</v>
      </c>
      <c r="AL354" s="32">
        <f t="shared" si="306"/>
        <v>0</v>
      </c>
      <c r="AM354" s="32">
        <f>IF(ISNA(MATCH(AC354,L351:L358,0)),0,VLOOKUP(AC354,L351:W358,AM$1,FALSE))</f>
        <v>0</v>
      </c>
      <c r="AN354" s="146">
        <f>IF(ISNA(MATCH(AC354,R351:R358,0)),0,VLOOKUP(AC354,R351:W358,AN$1,FALSE))</f>
        <v>0</v>
      </c>
      <c r="AP354" s="927"/>
      <c r="AQ354" s="927"/>
    </row>
    <row r="355" spans="1:47" ht="15.6" x14ac:dyDescent="0.3">
      <c r="A355" s="417">
        <f t="shared" si="307"/>
        <v>315</v>
      </c>
      <c r="B355" s="362" t="str">
        <f>'Event Details'!D$26</f>
        <v>M</v>
      </c>
      <c r="C355" s="381" t="str">
        <f>'Event Details'!E$26</f>
        <v>Solihull &amp; S.Heath</v>
      </c>
      <c r="D355" s="379"/>
      <c r="E355" s="378"/>
      <c r="F355" s="363">
        <f>VLOOKUP($B350,IF($H350="F",TeamSheetFemale,TeamSheetMale),$Y355-1,FALSE)</f>
        <v>0</v>
      </c>
      <c r="G355" s="380">
        <f>VLOOKUP($B350,IF($H350="F",TeamSheetFemale,TeamSheetMale),$Y355,FALSE)</f>
        <v>0</v>
      </c>
      <c r="H355" s="363">
        <f>VLOOKUP($B350,IF($H350="F",TeamSheetFemale,TeamSheetMale),$Y355+1,FALSE)</f>
        <v>0</v>
      </c>
      <c r="I355" s="364">
        <f>VLOOKUP($B350,IF($H350="F",TeamSheetFemale,TeamSheetMale),$Y355+2,FALSE)</f>
        <v>0</v>
      </c>
      <c r="K355" s="341" t="s">
        <v>275</v>
      </c>
      <c r="L355" s="16" t="str">
        <f t="shared" si="300"/>
        <v/>
      </c>
      <c r="M355" s="927"/>
      <c r="N355" s="927"/>
      <c r="O355" s="354" t="str">
        <f>IF(LEN($M355)=1,VLOOKUP(LEFT($M355,1),B351:I358,5,FALSE),IF(LEN($M355)=2,VLOOKUP(LEFT($M355,1),B351:I358,7,FALSE),""))</f>
        <v/>
      </c>
      <c r="P355" s="410" t="str">
        <f>IF(LEN($M355)=1,VLOOKUP(LEFT($M355,1),B351:I358,6,FALSE),IF(LEN($M355)=2,VLOOKUP(LEFT($M355,1),B351:I358,8,FALSE),""))</f>
        <v/>
      </c>
      <c r="Q355" s="371" t="s">
        <v>275</v>
      </c>
      <c r="R355" s="146" t="str">
        <f t="shared" si="301"/>
        <v/>
      </c>
      <c r="S355" s="927"/>
      <c r="T355" s="927"/>
      <c r="U355" s="354" t="str">
        <f>IF(LEN($S355)=1,VLOOKUP(LEFT($S355,1),B351:I358,5,FALSE),IF(LEN($S355)=2,VLOOKUP(LEFT($S355,1),B351:I358,7,FALSE),""))</f>
        <v/>
      </c>
      <c r="V355" s="410" t="str">
        <f>IF(LEN($S355)=1,VLOOKUP(LEFT($S355,1),B351:I358,6,FALSE),IF(LEN($S355)=2,VLOOKUP(LEFT($S355,1),B351:I358,8,FALSE),""))</f>
        <v/>
      </c>
      <c r="W355" s="417">
        <f t="shared" si="308"/>
        <v>4</v>
      </c>
      <c r="Y355" s="16">
        <v>27</v>
      </c>
      <c r="Z355" s="16">
        <f t="shared" si="302"/>
        <v>0</v>
      </c>
      <c r="AA355" s="146">
        <f t="shared" si="303"/>
        <v>0</v>
      </c>
      <c r="AC355" s="16" t="str">
        <f t="shared" si="304"/>
        <v>M</v>
      </c>
      <c r="AD355" s="419" t="str">
        <f t="shared" si="304"/>
        <v>Solihull &amp; S.Heath</v>
      </c>
      <c r="AE355" s="419">
        <f>IF(ISNA(MATCH(AC355,N351:N360,0)),0,VLOOKUP(AC355,N351:S360,5,FALSE))</f>
        <v>0</v>
      </c>
      <c r="AF355" s="419" t="str">
        <f>IF(ISNA(MATCH(AC355,T351:T360,0))," ",VLOOKUP(AC355,T351:Y360,5,FALSE))</f>
        <v xml:space="preserve"> </v>
      </c>
      <c r="AG355" s="419">
        <f>IF(ISNA(MATCH(AC355,L351:L358,0)),0,VLOOKUP(AC355,L351:N358,3,FALSE))</f>
        <v>0</v>
      </c>
      <c r="AH355" s="419">
        <f>IF(ISNA(MATCH(AC355,R351:R358,0)),0,VLOOKUP(AC355,R351:T358,3,FALSE))</f>
        <v>0</v>
      </c>
      <c r="AI355" s="419">
        <f>IF(ISNA(MATCH(AC355,L351:L358,0)),0,VLOOKUP(AC355,L351:P358,4,FALSE))</f>
        <v>0</v>
      </c>
      <c r="AJ355" s="419">
        <f>IF(ISNA(MATCH(AC355,R351:R358,0)),0,VLOOKUP(AC355,R351:U358,4,FALSE))</f>
        <v>0</v>
      </c>
      <c r="AK355" s="32">
        <f t="shared" si="305"/>
        <v>0</v>
      </c>
      <c r="AL355" s="32">
        <f t="shared" si="306"/>
        <v>0</v>
      </c>
      <c r="AM355" s="32">
        <f>IF(ISNA(MATCH(AC355,L351:L358,0)),0,VLOOKUP(AC355,L351:W358,AM$1,FALSE))</f>
        <v>0</v>
      </c>
      <c r="AN355" s="146">
        <f>IF(ISNA(MATCH(AC355,R351:R358,0)),0,VLOOKUP(AC355,R351:W358,AN$1,FALSE))</f>
        <v>0</v>
      </c>
      <c r="AP355" s="927"/>
      <c r="AQ355" s="927"/>
    </row>
    <row r="356" spans="1:47" ht="15.6" x14ac:dyDescent="0.3">
      <c r="A356" s="417">
        <f t="shared" si="307"/>
        <v>316</v>
      </c>
      <c r="B356" s="362" t="str">
        <f>'Event Details'!D$27</f>
        <v>D</v>
      </c>
      <c r="C356" s="381" t="str">
        <f>'Event Details'!E$27</f>
        <v>Stratford</v>
      </c>
      <c r="D356" s="379"/>
      <c r="E356" s="378"/>
      <c r="F356" s="363" t="str">
        <f>VLOOKUP($B350,IF($H350="F",TeamSheetFemale,TeamSheetMale),$Y356-1,FALSE)</f>
        <v>D</v>
      </c>
      <c r="G356" s="380" t="str">
        <f>VLOOKUP($B350,IF($H350="F",TeamSheetFemale,TeamSheetMale),$Y356,FALSE)</f>
        <v>Tom Stanton</v>
      </c>
      <c r="H356" s="363" t="str">
        <f>VLOOKUP($B350,IF($H350="F",TeamSheetFemale,TeamSheetMale),$Y356+1,FALSE)</f>
        <v>DD</v>
      </c>
      <c r="I356" s="364" t="str">
        <f>VLOOKUP($B350,IF($H350="F",TeamSheetFemale,TeamSheetMale),$Y356+2,FALSE)</f>
        <v>Toby Thomas</v>
      </c>
      <c r="K356" s="341" t="s">
        <v>276</v>
      </c>
      <c r="L356" s="16" t="str">
        <f t="shared" si="300"/>
        <v/>
      </c>
      <c r="M356" s="927"/>
      <c r="N356" s="927"/>
      <c r="O356" s="354" t="str">
        <f>IF(LEN($M356)=1,VLOOKUP(LEFT($M356,1),B351:I358,5,FALSE),IF(LEN($M356)=2,VLOOKUP(LEFT($M356,1),B351:I358,7,FALSE),""))</f>
        <v/>
      </c>
      <c r="P356" s="410" t="str">
        <f>IF(LEN($M356)=1,VLOOKUP(LEFT($M356,1),B351:I358,6,FALSE),IF(LEN($M356)=2,VLOOKUP(LEFT($M356,1),B351:I358,8,FALSE),""))</f>
        <v/>
      </c>
      <c r="Q356" s="371" t="s">
        <v>276</v>
      </c>
      <c r="R356" s="146" t="str">
        <f t="shared" si="301"/>
        <v/>
      </c>
      <c r="S356" s="927"/>
      <c r="T356" s="927"/>
      <c r="U356" s="354" t="str">
        <f>IF(LEN($S356)=1,VLOOKUP(LEFT($S356,1),B351:I358,5,FALSE),IF(LEN($S356)=2,VLOOKUP(LEFT($S356,1),B351:I358,7,FALSE),""))</f>
        <v/>
      </c>
      <c r="V356" s="410" t="str">
        <f>IF(LEN($S356)=1,VLOOKUP(LEFT($S356,1),B351:I358,6,FALSE),IF(LEN($S356)=2,VLOOKUP(LEFT($S356,1),B351:I358,8,FALSE),""))</f>
        <v/>
      </c>
      <c r="W356" s="417">
        <f t="shared" si="308"/>
        <v>3</v>
      </c>
      <c r="Y356" s="16">
        <v>32</v>
      </c>
      <c r="Z356" s="16">
        <f t="shared" si="302"/>
        <v>0</v>
      </c>
      <c r="AA356" s="146">
        <f t="shared" si="303"/>
        <v>0</v>
      </c>
      <c r="AC356" s="16" t="str">
        <f t="shared" si="304"/>
        <v>D</v>
      </c>
      <c r="AD356" s="419" t="str">
        <f t="shared" si="304"/>
        <v>Stratford</v>
      </c>
      <c r="AE356" s="419">
        <f>IF(ISNA(MATCH(AC356,N351:N360,0)),0,VLOOKUP(AC356,N351:S360,5,FALSE))</f>
        <v>0</v>
      </c>
      <c r="AF356" s="419" t="str">
        <f>IF(ISNA(MATCH(AC356,T351:T360,0))," ",VLOOKUP(AC356,T351:Y360,5,FALSE))</f>
        <v xml:space="preserve"> </v>
      </c>
      <c r="AG356" s="419">
        <f>IF(ISNA(MATCH(AC356,L351:L358,0)),0,VLOOKUP(AC356,L351:N358,3,FALSE))</f>
        <v>51.8</v>
      </c>
      <c r="AH356" s="419">
        <f>IF(ISNA(MATCH(AC356,R351:R358,0)),0,VLOOKUP(AC356,R351:T358,3,FALSE))</f>
        <v>58.4</v>
      </c>
      <c r="AI356" s="419" t="str">
        <f>IF(ISNA(MATCH(AC356,L351:L358,0)),0,VLOOKUP(AC356,L351:P358,4,FALSE))</f>
        <v>D</v>
      </c>
      <c r="AJ356" s="419" t="str">
        <f>IF(ISNA(MATCH(AC356,R351:R358,0)),0,VLOOKUP(AC356,R351:U358,4,FALSE))</f>
        <v>DD</v>
      </c>
      <c r="AK356" s="32">
        <f t="shared" si="305"/>
        <v>1</v>
      </c>
      <c r="AL356" s="32">
        <f t="shared" si="306"/>
        <v>1</v>
      </c>
      <c r="AM356" s="32">
        <f>IF(ISNA(MATCH(AC356,L351:L358,0)),0,VLOOKUP(AC356,L351:W358,AM$1,FALSE))</f>
        <v>8</v>
      </c>
      <c r="AN356" s="146">
        <f>IF(ISNA(MATCH(AC356,R351:R358,0)),0,VLOOKUP(AC356,R351:W358,AN$1,FALSE))</f>
        <v>8</v>
      </c>
      <c r="AP356" s="927"/>
      <c r="AQ356" s="927"/>
    </row>
    <row r="357" spans="1:47" ht="15.6" x14ac:dyDescent="0.3">
      <c r="A357" s="417">
        <f t="shared" si="307"/>
        <v>317</v>
      </c>
      <c r="B357" s="362" t="str">
        <f>'Event Details'!D$28</f>
        <v>F</v>
      </c>
      <c r="C357" s="381" t="str">
        <f>'Event Details'!E$28</f>
        <v>Tamworth</v>
      </c>
      <c r="D357" s="379"/>
      <c r="E357" s="378"/>
      <c r="F357" s="363">
        <f>VLOOKUP($B350,IF($H350="F",TeamSheetFemale,TeamSheetMale),$Y357-1,FALSE)</f>
        <v>0</v>
      </c>
      <c r="G357" s="380">
        <f>VLOOKUP($B350,IF($H350="F",TeamSheetFemale,TeamSheetMale),$Y357,FALSE)</f>
        <v>0</v>
      </c>
      <c r="H357" s="363">
        <f>VLOOKUP($B350,IF($H350="F",TeamSheetFemale,TeamSheetMale),$Y357+1,FALSE)</f>
        <v>0</v>
      </c>
      <c r="I357" s="364">
        <f>VLOOKUP($B350,IF($H350="F",TeamSheetFemale,TeamSheetMale),$Y357+2,FALSE)</f>
        <v>0</v>
      </c>
      <c r="K357" s="341" t="s">
        <v>277</v>
      </c>
      <c r="L357" s="16" t="str">
        <f t="shared" si="300"/>
        <v/>
      </c>
      <c r="M357" s="927"/>
      <c r="N357" s="927"/>
      <c r="O357" s="354" t="str">
        <f>IF(LEN($M357)=1,VLOOKUP(LEFT($M357,1),B351:I358,5,FALSE),IF(LEN($M357)=2,VLOOKUP(LEFT($M357,1),B351:I358,7,FALSE),""))</f>
        <v/>
      </c>
      <c r="P357" s="410" t="str">
        <f>IF(LEN($M357)=1,VLOOKUP(LEFT($M357,1),B351:I358,6,FALSE),IF(LEN($M357)=2,VLOOKUP(LEFT($M357,1),B351:I358,8,FALSE),""))</f>
        <v/>
      </c>
      <c r="Q357" s="371" t="s">
        <v>277</v>
      </c>
      <c r="R357" s="146" t="str">
        <f t="shared" si="301"/>
        <v/>
      </c>
      <c r="S357" s="927"/>
      <c r="T357" s="927"/>
      <c r="U357" s="354" t="str">
        <f>IF(LEN($S357)=1,VLOOKUP(LEFT($S357,1),B351:I358,5,FALSE),IF(LEN($S357)=2,VLOOKUP(LEFT($S357,1),B351:I358,7,FALSE),""))</f>
        <v/>
      </c>
      <c r="V357" s="410" t="str">
        <f>IF(LEN($S357)=1,VLOOKUP(LEFT($S357,1),B351:I358,6,FALSE),IF(LEN($S357)=2,VLOOKUP(LEFT($S357,1),B351:I358,8,FALSE),""))</f>
        <v/>
      </c>
      <c r="W357" s="417">
        <f t="shared" si="308"/>
        <v>2</v>
      </c>
      <c r="Y357" s="16">
        <v>37</v>
      </c>
      <c r="Z357" s="16">
        <f t="shared" si="302"/>
        <v>0</v>
      </c>
      <c r="AA357" s="146">
        <f t="shared" si="303"/>
        <v>0</v>
      </c>
      <c r="AC357" s="16" t="str">
        <f t="shared" si="304"/>
        <v>F</v>
      </c>
      <c r="AD357" s="419" t="str">
        <f t="shared" si="304"/>
        <v>Tamworth</v>
      </c>
      <c r="AE357" s="419">
        <f>IF(ISNA(MATCH(AC357,N349:N358,0)),0,VLOOKUP(AC357,N349:S358,5,FALSE))</f>
        <v>0</v>
      </c>
      <c r="AF357" s="419" t="str">
        <f>IF(ISNA(MATCH(AC357,T349:T358,0))," ",VLOOKUP(AC357,T349:Y358,5,FALSE))</f>
        <v xml:space="preserve"> </v>
      </c>
      <c r="AG357" s="419">
        <f>IF(ISNA(MATCH(AC357,L351:L358,0)),0,VLOOKUP(AC357,L351:N358,3,FALSE))</f>
        <v>0</v>
      </c>
      <c r="AH357" s="419">
        <f>IF(ISNA(MATCH(AC357,R351:R358,0)),0,VLOOKUP(AC357,R351:T358,3,FALSE))</f>
        <v>0</v>
      </c>
      <c r="AI357" s="419">
        <f>IF(ISNA(MATCH(AC357,L351:L358,0)),0,VLOOKUP(AC357,L351:P358,4,FALSE))</f>
        <v>0</v>
      </c>
      <c r="AJ357" s="419">
        <f>IF(ISNA(MATCH(AC357,R351:R358,0)),0,VLOOKUP(AC357,R351:U358,4,FALSE))</f>
        <v>0</v>
      </c>
      <c r="AK357" s="32">
        <f t="shared" si="305"/>
        <v>0</v>
      </c>
      <c r="AL357" s="32">
        <f t="shared" si="306"/>
        <v>0</v>
      </c>
      <c r="AM357" s="32">
        <f>IF(ISNA(MATCH(AC357,L351:L358,0)),0,VLOOKUP(AC357,L351:W358,AM$1,FALSE))</f>
        <v>0</v>
      </c>
      <c r="AN357" s="146">
        <f>IF(ISNA(MATCH(AC357,R351:R358,0)),0,VLOOKUP(AC357,R351:W358,AN$1,FALSE))</f>
        <v>0</v>
      </c>
      <c r="AP357" s="927"/>
      <c r="AQ357" s="927"/>
    </row>
    <row r="358" spans="1:47" ht="16.2" thickBot="1" x14ac:dyDescent="0.35">
      <c r="A358" s="418">
        <f t="shared" si="307"/>
        <v>318</v>
      </c>
      <c r="B358" s="365" t="str">
        <f>'Event Details'!D$29</f>
        <v>Y</v>
      </c>
      <c r="C358" s="366" t="str">
        <f>'Event Details'!E$29</f>
        <v>Worcester</v>
      </c>
      <c r="D358" s="361"/>
      <c r="E358" s="370"/>
      <c r="F358" s="367" t="str">
        <f>VLOOKUP($B350,IF($H350="F",TeamSheetFemale,TeamSheetMale),$Y358-1,FALSE)</f>
        <v>Y</v>
      </c>
      <c r="G358" s="368" t="str">
        <f>VLOOKUP($B350,IF($H350="F",TeamSheetFemale,TeamSheetMale),$Y358,FALSE)</f>
        <v>Santiago Tomayo</v>
      </c>
      <c r="H358" s="367">
        <f>VLOOKUP($B350,IF($H350="F",TeamSheetFemale,TeamSheetMale),$Y358+1,FALSE)</f>
        <v>0</v>
      </c>
      <c r="I358" s="369">
        <f>VLOOKUP($B350,IF($H350="F",TeamSheetFemale,TeamSheetMale),$Y358+2,FALSE)</f>
        <v>0</v>
      </c>
      <c r="K358" s="346" t="s">
        <v>278</v>
      </c>
      <c r="L358" s="25" t="str">
        <f t="shared" si="300"/>
        <v/>
      </c>
      <c r="M358" s="928"/>
      <c r="N358" s="932"/>
      <c r="O358" s="374" t="str">
        <f>IF(LEN($M358)=1,VLOOKUP(LEFT($M358,1),B351:I358,5,FALSE),IF(LEN($M358)=2,VLOOKUP(LEFT($M358,1),B351:I358,7,FALSE),""))</f>
        <v/>
      </c>
      <c r="P358" s="411" t="str">
        <f>IF(LEN($M358)=1,VLOOKUP(LEFT($M358,1),B351:I358,6,FALSE),IF(LEN($M358)=2,VLOOKUP(LEFT($M358,1),B351:I358,8,FALSE),""))</f>
        <v/>
      </c>
      <c r="Q358" s="407" t="s">
        <v>278</v>
      </c>
      <c r="R358" s="523" t="str">
        <f t="shared" si="301"/>
        <v/>
      </c>
      <c r="S358" s="928"/>
      <c r="T358" s="932"/>
      <c r="U358" s="374" t="str">
        <f>IF(LEN($S358)=1,VLOOKUP(LEFT($S358,1),B351:I358,5,FALSE),IF(LEN($S358)=2,VLOOKUP(LEFT($S358,1),B351:I358,7,FALSE),""))</f>
        <v/>
      </c>
      <c r="V358" s="411" t="str">
        <f>IF(LEN($S358)=1,VLOOKUP(LEFT($S358,1),B351:I358,6,FALSE),IF(LEN($S358)=2,VLOOKUP(LEFT($S358,1),B351:I358,8,FALSE),""))</f>
        <v/>
      </c>
      <c r="W358" s="418">
        <f t="shared" si="308"/>
        <v>1</v>
      </c>
      <c r="Y358" s="25">
        <v>42</v>
      </c>
      <c r="Z358" s="25">
        <f t="shared" si="302"/>
        <v>0</v>
      </c>
      <c r="AA358" s="523">
        <f t="shared" si="303"/>
        <v>0</v>
      </c>
      <c r="AC358" s="25" t="str">
        <f t="shared" si="304"/>
        <v>Y</v>
      </c>
      <c r="AD358" s="624" t="str">
        <f t="shared" si="304"/>
        <v>Worcester</v>
      </c>
      <c r="AE358" s="624">
        <f>IF(ISNA(MATCH(AC358,N350:N359,0)),0,VLOOKUP(AC358,N350:S359,5,FALSE))</f>
        <v>0</v>
      </c>
      <c r="AF358" s="624" t="str">
        <f t="shared" ref="AF358" si="309">IF(ISNA(MATCH(AC358,T350:T359,0))," ",VLOOKUP(AC358,T350:Y359,5,FALSE))</f>
        <v xml:space="preserve"> </v>
      </c>
      <c r="AG358" s="624">
        <f>IF(ISNA(MATCH(AC358,L351:L358,0)),0,VLOOKUP(AC358,L351:N358,3,FALSE))</f>
        <v>52.9</v>
      </c>
      <c r="AH358" s="624">
        <f>IF(ISNA(MATCH(AC358,R351:R358,0)),0,VLOOKUP(AC358,R351:T358,3,FALSE))</f>
        <v>0</v>
      </c>
      <c r="AI358" s="624" t="str">
        <f>IF(ISNA(MATCH(AC358,L351:L358,0)),0,VLOOKUP(AC358,L351:P358,4,FALSE))</f>
        <v>Y</v>
      </c>
      <c r="AJ358" s="624">
        <f>IF(ISNA(MATCH(AC358,R351:R358,0)),0,VLOOKUP(AC358,R351:U358,4,FALSE))</f>
        <v>0</v>
      </c>
      <c r="AK358" s="116">
        <f t="shared" si="305"/>
        <v>2</v>
      </c>
      <c r="AL358" s="116">
        <f t="shared" si="306"/>
        <v>0</v>
      </c>
      <c r="AM358" s="116">
        <f>IF(ISNA(MATCH(AC358,L351:L358,0)),0,VLOOKUP(AC358,L351:W358,AM$1,FALSE))</f>
        <v>7</v>
      </c>
      <c r="AN358" s="523">
        <f>IF(ISNA(MATCH(AC358,R351:R358,0)),0,VLOOKUP(AC358,R351:W358,AN$1,FALSE))</f>
        <v>0</v>
      </c>
      <c r="AP358" s="928"/>
      <c r="AQ358" s="932"/>
    </row>
    <row r="359" spans="1:47" ht="15" thickBot="1" x14ac:dyDescent="0.35">
      <c r="M359" s="276"/>
      <c r="N359" s="307"/>
      <c r="S359" s="276"/>
      <c r="T359" s="307"/>
      <c r="AP359" s="276"/>
      <c r="AQ359" s="307"/>
    </row>
    <row r="360" spans="1:47" x14ac:dyDescent="0.3">
      <c r="B360" s="400" t="s">
        <v>258</v>
      </c>
      <c r="C360" s="398"/>
      <c r="D360" s="401" t="s">
        <v>165</v>
      </c>
      <c r="E360" s="398"/>
      <c r="F360" s="398"/>
      <c r="G360" s="402" t="s">
        <v>259</v>
      </c>
      <c r="H360" s="403" t="s">
        <v>249</v>
      </c>
      <c r="I360" s="404" t="s">
        <v>168</v>
      </c>
      <c r="K360" s="360"/>
      <c r="L360" s="661"/>
      <c r="M360" s="929" t="s">
        <v>260</v>
      </c>
      <c r="N360" s="929" t="s">
        <v>261</v>
      </c>
      <c r="O360" s="387" t="s">
        <v>262</v>
      </c>
      <c r="P360" s="388" t="s">
        <v>75</v>
      </c>
      <c r="Q360" s="389"/>
      <c r="R360" s="657"/>
      <c r="S360" s="929" t="s">
        <v>260</v>
      </c>
      <c r="T360" s="929" t="s">
        <v>261</v>
      </c>
      <c r="U360" s="387" t="s">
        <v>262</v>
      </c>
      <c r="V360" s="388" t="s">
        <v>75</v>
      </c>
      <c r="W360" s="672" t="s">
        <v>76</v>
      </c>
      <c r="Y360" s="414" t="s">
        <v>263</v>
      </c>
      <c r="Z360" s="656" t="s">
        <v>74</v>
      </c>
      <c r="AA360" s="657" t="s">
        <v>75</v>
      </c>
      <c r="AC360" s="665" t="s">
        <v>71</v>
      </c>
      <c r="AD360" s="657" t="s">
        <v>86</v>
      </c>
      <c r="AE360" s="661" t="s">
        <v>149</v>
      </c>
      <c r="AF360" s="661" t="s">
        <v>94</v>
      </c>
      <c r="AG360" s="661" t="s">
        <v>149</v>
      </c>
      <c r="AH360" s="661" t="s">
        <v>94</v>
      </c>
      <c r="AI360" s="661" t="s">
        <v>149</v>
      </c>
      <c r="AJ360" s="661" t="s">
        <v>94</v>
      </c>
      <c r="AK360" s="1332" t="s">
        <v>149</v>
      </c>
      <c r="AL360" s="661" t="s">
        <v>94</v>
      </c>
      <c r="AM360" s="1406" t="s">
        <v>76</v>
      </c>
      <c r="AN360" s="1407"/>
      <c r="AP360" s="929" t="s">
        <v>260</v>
      </c>
      <c r="AQ360" s="929" t="s">
        <v>261</v>
      </c>
      <c r="AS360" s="1218" t="s">
        <v>165</v>
      </c>
      <c r="AT360" s="1219" t="s">
        <v>79</v>
      </c>
      <c r="AU360" s="1220" t="s">
        <v>80</v>
      </c>
    </row>
    <row r="361" spans="1:47" ht="15" thickBot="1" x14ac:dyDescent="0.35">
      <c r="B361" s="405">
        <v>32</v>
      </c>
      <c r="C361" s="399"/>
      <c r="D361" s="385" t="str">
        <f>VLOOKUP($B361,EventOrder,6,FALSE)</f>
        <v xml:space="preserve">600m </v>
      </c>
      <c r="E361" s="399"/>
      <c r="F361" s="385"/>
      <c r="G361" s="386" t="str">
        <f>VLOOKUP($B361,EventOrder,4,FALSE)</f>
        <v>U12 Female</v>
      </c>
      <c r="H361" s="396" t="str">
        <f>IF(MID(G361,5,1)="F","F","M")</f>
        <v>F</v>
      </c>
      <c r="I361" s="397">
        <f>VLOOKUP($B361,EventOrder,2,FALSE)</f>
        <v>1.5</v>
      </c>
      <c r="K361" s="377"/>
      <c r="L361" s="667" t="s">
        <v>149</v>
      </c>
      <c r="M361" s="930" t="s">
        <v>264</v>
      </c>
      <c r="N361" s="930" t="s">
        <v>265</v>
      </c>
      <c r="O361" s="390" t="s">
        <v>266</v>
      </c>
      <c r="P361" s="391"/>
      <c r="Q361" s="392"/>
      <c r="R361" s="659" t="s">
        <v>94</v>
      </c>
      <c r="S361" s="930" t="s">
        <v>264</v>
      </c>
      <c r="T361" s="930" t="s">
        <v>265</v>
      </c>
      <c r="U361" s="390" t="s">
        <v>266</v>
      </c>
      <c r="V361" s="391"/>
      <c r="W361" s="671"/>
      <c r="Y361" s="415" t="s">
        <v>167</v>
      </c>
      <c r="Z361" s="658" t="s">
        <v>149</v>
      </c>
      <c r="AA361" s="659" t="s">
        <v>94</v>
      </c>
      <c r="AC361" s="666"/>
      <c r="AD361" s="668"/>
      <c r="AE361" s="768" t="s">
        <v>75</v>
      </c>
      <c r="AF361" s="768" t="s">
        <v>75</v>
      </c>
      <c r="AG361" s="768" t="s">
        <v>267</v>
      </c>
      <c r="AH361" s="768" t="s">
        <v>267</v>
      </c>
      <c r="AI361" s="768" t="s">
        <v>268</v>
      </c>
      <c r="AJ361" s="768" t="s">
        <v>268</v>
      </c>
      <c r="AK361" s="770" t="s">
        <v>269</v>
      </c>
      <c r="AL361" s="768" t="s">
        <v>269</v>
      </c>
      <c r="AM361" s="667" t="s">
        <v>149</v>
      </c>
      <c r="AN361" s="659" t="s">
        <v>94</v>
      </c>
      <c r="AP361" s="930" t="s">
        <v>264</v>
      </c>
      <c r="AQ361" s="930" t="s">
        <v>265</v>
      </c>
      <c r="AS361" s="1221" t="s">
        <v>270</v>
      </c>
      <c r="AT361" s="1222" t="s">
        <v>270</v>
      </c>
      <c r="AU361" s="1223" t="s">
        <v>270</v>
      </c>
    </row>
    <row r="362" spans="1:47" ht="15.6" x14ac:dyDescent="0.3">
      <c r="A362" s="416">
        <f>(B361*10)+1</f>
        <v>321</v>
      </c>
      <c r="B362" s="362" t="str">
        <f>'Event Details'!D$22</f>
        <v>S</v>
      </c>
      <c r="C362" s="381" t="str">
        <f>'Event Details'!E$22</f>
        <v>BRAT</v>
      </c>
      <c r="D362" s="379"/>
      <c r="E362" s="378"/>
      <c r="F362" s="363" t="str">
        <f>VLOOKUP($B361,IF($H361="F",TeamSheetFemale,TeamSheetMale),$Y362-1,FALSE)</f>
        <v>S</v>
      </c>
      <c r="G362" s="380" t="str">
        <f>VLOOKUP($B361,IF($H361="F",TeamSheetFemale,TeamSheetMale),$Y362,FALSE)</f>
        <v>Beatrix Thompson</v>
      </c>
      <c r="H362" s="363" t="str">
        <f>VLOOKUP($B361,IF($H361="F",TeamSheetFemale,TeamSheetMale),$Y362+1,FALSE)</f>
        <v>SS</v>
      </c>
      <c r="I362" s="364" t="str">
        <f>VLOOKUP($B361,IF($H361="F",TeamSheetFemale,TeamSheetMale),$Y362+2,FALSE)</f>
        <v xml:space="preserve">
Azucena Cereceda</v>
      </c>
      <c r="K362" s="393" t="s">
        <v>271</v>
      </c>
      <c r="L362" s="16" t="str">
        <f t="shared" ref="L362:L369" si="310">LEFT(M362,1)</f>
        <v>U</v>
      </c>
      <c r="M362" s="926" t="s">
        <v>130</v>
      </c>
      <c r="N362" s="926" t="s">
        <v>1046</v>
      </c>
      <c r="O362" s="394" t="str">
        <f>IF(LEN($M362)=1,VLOOKUP(LEFT($M362,1),B362:I369,5,FALSE),IF(LEN($M362)=2,VLOOKUP(LEFT($M362,1),B362:I369,7,FALSE),""))</f>
        <v>U</v>
      </c>
      <c r="P362" s="395" t="str">
        <f>IF(LEN($M362)=1,VLOOKUP(LEFT($M362,1),B362:I369,6,FALSE),IF(LEN($M362)=2,VLOOKUP(LEFT($M362,1),B362:I369,8,FALSE),""))</f>
        <v xml:space="preserve">Alice Thompson </v>
      </c>
      <c r="Q362" s="393" t="s">
        <v>271</v>
      </c>
      <c r="R362" s="146" t="str">
        <f t="shared" ref="R362:R369" si="311">LEFT(S362,1)</f>
        <v>G</v>
      </c>
      <c r="S362" s="926" t="s">
        <v>820</v>
      </c>
      <c r="T362" s="926" t="s">
        <v>1053</v>
      </c>
      <c r="U362" s="394" t="str">
        <f>IF(LEN($S362)=1,VLOOKUP(LEFT($S362,1),B362:I369,5,FALSE),IF(LEN($S362)=2,VLOOKUP(LEFT($S362,1),B362:I369,7,FALSE),""))</f>
        <v>GG</v>
      </c>
      <c r="V362" s="395" t="str">
        <f>IF(LEN($S362)=1,VLOOKUP(LEFT($S362,1),B362:I369,6,FALSE),IF(LEN($S362)=2,VLOOKUP(LEFT($S362,1),B362:I369,8,FALSE),""))</f>
        <v xml:space="preserve">Taylor Upton </v>
      </c>
      <c r="W362" s="417">
        <f>AN$6</f>
        <v>8</v>
      </c>
      <c r="Y362" s="416">
        <v>7</v>
      </c>
      <c r="Z362" s="653" t="str">
        <f t="shared" ref="Z362:Z369" si="312">IF(LEN(M362)&gt;0,VLOOKUP(LEFT(M362,1),ShortName,5,FALSE),0)</f>
        <v>K&amp;S</v>
      </c>
      <c r="AA362" s="138" t="str">
        <f t="shared" ref="AA362:AA369" si="313">IF(LEN(S362)&gt;0,VLOOKUP(LEFT(S362,1),ShortName,5,FALSE),0)</f>
        <v>Royal</v>
      </c>
      <c r="AC362" s="16" t="str">
        <f t="shared" ref="AC362:AD369" si="314">B362</f>
        <v>S</v>
      </c>
      <c r="AD362" s="419" t="str">
        <f t="shared" si="314"/>
        <v>BRAT</v>
      </c>
      <c r="AE362" s="635">
        <f>IF(ISNA(MATCH(AC362,N362:N371,0)),0,VLOOKUP(AC362,N362:S371,5,FALSE))</f>
        <v>0</v>
      </c>
      <c r="AF362" s="635" t="str">
        <f>IF(ISNA(MATCH(AC362,T362:T371,0))," ",VLOOKUP(AC362,T362:Y371,5,FALSE))</f>
        <v xml:space="preserve"> </v>
      </c>
      <c r="AG362" s="635" t="str">
        <f>IF(ISNA(MATCH(AC362,L362:L369,0)),0,VLOOKUP(AC362,L362:N369,3,FALSE))</f>
        <v>2.07.7</v>
      </c>
      <c r="AH362" s="635" t="str">
        <f>IF(ISNA(MATCH(AC362,R362:R369,0)),0,VLOOKUP(AC362,R362:T369,3,FALSE))</f>
        <v>2.08.9</v>
      </c>
      <c r="AI362" s="635" t="str">
        <f>IF(ISNA(MATCH(AC362,L362:L369,0)),0,VLOOKUP(AC362,L362:P369,4,FALSE))</f>
        <v>SS</v>
      </c>
      <c r="AJ362" s="635" t="str">
        <f>IF(ISNA(MATCH(AC362,R362:R369,0)),0,VLOOKUP(AC362,R362:U369,4,FALSE))</f>
        <v>S</v>
      </c>
      <c r="AK362" s="49">
        <f t="shared" ref="AK362:AK369" si="315">IF(AM362=0,0,AN$6-(AM362-1))</f>
        <v>6</v>
      </c>
      <c r="AL362" s="49">
        <f t="shared" ref="AL362:AL369" si="316">IF(AN362=0,0,AN$6-(AN362-1))</f>
        <v>4</v>
      </c>
      <c r="AM362" s="49">
        <f>IF(ISNA(MATCH(AC362,L362:L369,0)),0,VLOOKUP(AC362,L362:W369,AM$1,FALSE))</f>
        <v>3</v>
      </c>
      <c r="AN362" s="138">
        <f>IF(ISNA(MATCH(AC362,R362:R369,0)),0,VLOOKUP(AC362,R362:W369,AN$1,FALSE))</f>
        <v>5</v>
      </c>
      <c r="AP362" s="926"/>
      <c r="AQ362" s="926"/>
      <c r="AS362" s="32">
        <f>IF(LEN(N362)&gt;0,1,0)</f>
        <v>1</v>
      </c>
      <c r="AT362" s="32">
        <f>IF(AND(AS362=1,H361="M"),1,0)</f>
        <v>0</v>
      </c>
      <c r="AU362" s="32">
        <f>IF(AND(AS362=1,H361="F"),1,0)</f>
        <v>1</v>
      </c>
    </row>
    <row r="363" spans="1:47" ht="15.6" x14ac:dyDescent="0.3">
      <c r="A363" s="417">
        <f>A362+1</f>
        <v>322</v>
      </c>
      <c r="B363" s="362" t="str">
        <f>'Event Details'!D$23</f>
        <v>U</v>
      </c>
      <c r="C363" s="381" t="str">
        <f>'Event Details'!E$23</f>
        <v>Kidder &amp; Stourport</v>
      </c>
      <c r="D363" s="379"/>
      <c r="E363" s="378"/>
      <c r="F363" s="363" t="str">
        <f>VLOOKUP($B361,IF($H361="F",TeamSheetFemale,TeamSheetMale),$Y363-1,FALSE)</f>
        <v>U</v>
      </c>
      <c r="G363" s="380" t="str">
        <f>VLOOKUP($B361,IF($H361="F",TeamSheetFemale,TeamSheetMale),$Y363,FALSE)</f>
        <v xml:space="preserve">Alice Thompson </v>
      </c>
      <c r="H363" s="363" t="str">
        <f>VLOOKUP($B361,IF($H361="F",TeamSheetFemale,TeamSheetMale),$Y363+1,FALSE)</f>
        <v>UU</v>
      </c>
      <c r="I363" s="364" t="str">
        <f>VLOOKUP($B361,IF($H361="F",TeamSheetFemale,TeamSheetMale),$Y363+2,FALSE)</f>
        <v xml:space="preserve">Isabelle Evans </v>
      </c>
      <c r="K363" s="341" t="s">
        <v>272</v>
      </c>
      <c r="L363" s="16" t="str">
        <f t="shared" si="310"/>
        <v>G</v>
      </c>
      <c r="M363" s="927" t="s">
        <v>110</v>
      </c>
      <c r="N363" s="927" t="s">
        <v>1047</v>
      </c>
      <c r="O363" s="353" t="str">
        <f>IF(LEN($M363)=1,VLOOKUP(LEFT($M363,1),B362:I369,5,FALSE),IF(LEN($M363)=2,VLOOKUP(LEFT($M363,1),B362:I369,7,FALSE),""))</f>
        <v>G</v>
      </c>
      <c r="P363" s="373" t="str">
        <f>IF(LEN($M363)=1,VLOOKUP(LEFT($M363,1),B362:I369,6,FALSE),IF(LEN($M363)=2,VLOOKUP(LEFT($M363,1),B362:I369,8,FALSE),""))</f>
        <v xml:space="preserve">Indie Upton </v>
      </c>
      <c r="Q363" s="341" t="s">
        <v>272</v>
      </c>
      <c r="R363" s="146" t="str">
        <f t="shared" si="311"/>
        <v>U</v>
      </c>
      <c r="S363" s="927" t="s">
        <v>726</v>
      </c>
      <c r="T363" s="927" t="s">
        <v>1055</v>
      </c>
      <c r="U363" s="353" t="str">
        <f>IF(LEN($S363)=1,VLOOKUP(LEFT($S363,1),B362:I369,5,FALSE),IF(LEN($S363)=2,VLOOKUP(LEFT($S363,1),B362:I369,7,FALSE),""))</f>
        <v>UU</v>
      </c>
      <c r="V363" s="373" t="str">
        <f>IF(LEN($S363)=1,VLOOKUP(LEFT($S363,1),B362:I369,6,FALSE),IF(LEN($S363)=2,VLOOKUP(LEFT($S363,1),B362:I369,8,FALSE),""))</f>
        <v xml:space="preserve">Isabelle Evans </v>
      </c>
      <c r="W363" s="417">
        <f>W362-1</f>
        <v>7</v>
      </c>
      <c r="Y363" s="417">
        <v>12</v>
      </c>
      <c r="Z363" s="16" t="str">
        <f t="shared" si="312"/>
        <v>Royal</v>
      </c>
      <c r="AA363" s="146" t="str">
        <f t="shared" si="313"/>
        <v>K&amp;S</v>
      </c>
      <c r="AC363" s="16" t="str">
        <f t="shared" si="314"/>
        <v>U</v>
      </c>
      <c r="AD363" s="419" t="str">
        <f t="shared" si="314"/>
        <v>Kidder &amp; Stourport</v>
      </c>
      <c r="AE363" s="419">
        <f>IF(ISNA(MATCH(AC363,N362:N371,0)),0,VLOOKUP(AC363,N362:S371,5,FALSE))</f>
        <v>0</v>
      </c>
      <c r="AF363" s="419" t="str">
        <f>IF(ISNA(MATCH(AC363,T362:T371,0))," ",VLOOKUP(AC363,T362:Y371,5,FALSE))</f>
        <v xml:space="preserve"> </v>
      </c>
      <c r="AG363" s="419" t="str">
        <f>IF(ISNA(MATCH(AC363,L362:L369,0)),0,VLOOKUP(AC363,L362:N369,3,FALSE))</f>
        <v>1.48.9</v>
      </c>
      <c r="AH363" s="419" t="str">
        <f>IF(ISNA(MATCH(AC363,R362:R369,0)),0,VLOOKUP(AC363,R362:T369,3,FALSE))</f>
        <v>2.04.2</v>
      </c>
      <c r="AI363" s="419" t="str">
        <f>IF(ISNA(MATCH(AC363,L362:L369,0)),0,VLOOKUP(AC363,L362:P369,4,FALSE))</f>
        <v>U</v>
      </c>
      <c r="AJ363" s="419" t="str">
        <f>IF(ISNA(MATCH(AC363,R362:R369,0)),0,VLOOKUP(AC363,R362:U369,4,FALSE))</f>
        <v>UU</v>
      </c>
      <c r="AK363" s="32">
        <f t="shared" si="315"/>
        <v>1</v>
      </c>
      <c r="AL363" s="32">
        <f t="shared" si="316"/>
        <v>2</v>
      </c>
      <c r="AM363" s="32">
        <f>IF(ISNA(MATCH(AC363,L362:L369,0)),0,VLOOKUP(AC363,L362:W369,AM$1,FALSE))</f>
        <v>8</v>
      </c>
      <c r="AN363" s="146">
        <f>IF(ISNA(MATCH(AC363,R362:R369,0)),0,VLOOKUP(AC363,R362:W369,AN$1,FALSE))</f>
        <v>7</v>
      </c>
      <c r="AP363" s="927"/>
      <c r="AQ363" s="927"/>
    </row>
    <row r="364" spans="1:47" ht="15.6" x14ac:dyDescent="0.3">
      <c r="A364" s="417">
        <f t="shared" ref="A364:A369" si="317">A363+1</f>
        <v>323</v>
      </c>
      <c r="B364" s="362" t="str">
        <f>'Event Details'!D$24</f>
        <v>G</v>
      </c>
      <c r="C364" s="381" t="str">
        <f>'Event Details'!E$24</f>
        <v>Royal Sutton</v>
      </c>
      <c r="D364" s="379"/>
      <c r="E364" s="378"/>
      <c r="F364" s="363" t="str">
        <f>VLOOKUP($B361,IF($H361="F",TeamSheetFemale,TeamSheetMale),$Y364-1,FALSE)</f>
        <v>G</v>
      </c>
      <c r="G364" s="380" t="str">
        <f>VLOOKUP($B361,IF($H361="F",TeamSheetFemale,TeamSheetMale),$Y364,FALSE)</f>
        <v xml:space="preserve">Indie Upton </v>
      </c>
      <c r="H364" s="363" t="str">
        <f>VLOOKUP($B361,IF($H361="F",TeamSheetFemale,TeamSheetMale),$Y364+1,FALSE)</f>
        <v>GG</v>
      </c>
      <c r="I364" s="364" t="str">
        <f>VLOOKUP($B361,IF($H361="F",TeamSheetFemale,TeamSheetMale),$Y364+2,FALSE)</f>
        <v xml:space="preserve">Taylor Upton </v>
      </c>
      <c r="K364" s="341" t="s">
        <v>273</v>
      </c>
      <c r="L364" s="16" t="str">
        <f t="shared" si="310"/>
        <v>R</v>
      </c>
      <c r="M364" s="927" t="s">
        <v>118</v>
      </c>
      <c r="N364" s="927" t="s">
        <v>1048</v>
      </c>
      <c r="O364" s="353" t="str">
        <f>IF(LEN($M364)=1,VLOOKUP(LEFT($M364,1),B362:I369,5,FALSE),IF(LEN($M364)=2,VLOOKUP(LEFT($M364,1),B362:I369,7,FALSE),""))</f>
        <v>R</v>
      </c>
      <c r="P364" s="373" t="str">
        <f>IF(LEN($M364)=1,VLOOKUP(LEFT($M364,1),B362:I369,6,FALSE),IF(LEN($M364)=2,VLOOKUP(LEFT($M364,1),B362:I369,8,FALSE),""))</f>
        <v>Martha Waterson</v>
      </c>
      <c r="Q364" s="341" t="s">
        <v>273</v>
      </c>
      <c r="R364" s="146" t="str">
        <f t="shared" si="311"/>
        <v>F</v>
      </c>
      <c r="S364" s="927" t="s">
        <v>142</v>
      </c>
      <c r="T364" s="927" t="s">
        <v>1049</v>
      </c>
      <c r="U364" s="353" t="str">
        <f>IF(LEN($S364)=1,VLOOKUP(LEFT($S364,1),B362:I369,5,FALSE),IF(LEN($S364)=2,VLOOKUP(LEFT($S364,1),B362:I369,7,FALSE),""))</f>
        <v>F</v>
      </c>
      <c r="V364" s="373" t="str">
        <f>IF(LEN($S364)=1,VLOOKUP(LEFT($S364,1),B362:I369,6,FALSE),IF(LEN($S364)=2,VLOOKUP(LEFT($S364,1),B362:I369,8,FALSE),""))</f>
        <v>Clara Knight-Dutton</v>
      </c>
      <c r="W364" s="417">
        <f t="shared" ref="W364:W369" si="318">W363-1</f>
        <v>6</v>
      </c>
      <c r="Y364" s="417">
        <v>17</v>
      </c>
      <c r="Z364" s="16" t="str">
        <f t="shared" si="312"/>
        <v>Rugby</v>
      </c>
      <c r="AA364" s="146" t="str">
        <f t="shared" si="313"/>
        <v>Tam</v>
      </c>
      <c r="AB364" s="32"/>
      <c r="AC364" s="16" t="str">
        <f t="shared" si="314"/>
        <v>G</v>
      </c>
      <c r="AD364" s="419" t="str">
        <f t="shared" si="314"/>
        <v>Royal Sutton</v>
      </c>
      <c r="AE364" s="419">
        <f>IF(ISNA(MATCH(AC364,N362:N371,0)),0,VLOOKUP(AC364,N362:S371,5,FALSE))</f>
        <v>0</v>
      </c>
      <c r="AF364" s="419" t="str">
        <f>IF(ISNA(MATCH(AC364,T362:T371,0))," ",VLOOKUP(AC364,T362:Y371,5,FALSE))</f>
        <v xml:space="preserve"> </v>
      </c>
      <c r="AG364" s="419" t="str">
        <f>IF(ISNA(MATCH(AC364,L362:L369,0)),0,VLOOKUP(AC364,L362:N369,3,FALSE))</f>
        <v>1.52.4</v>
      </c>
      <c r="AH364" s="419" t="str">
        <f>IF(ISNA(MATCH(AC364,R362:R369,0)),0,VLOOKUP(AC364,R362:T369,3,FALSE))</f>
        <v>1.52.5</v>
      </c>
      <c r="AI364" s="419" t="str">
        <f>IF(ISNA(MATCH(AC364,L362:L369,0)),0,VLOOKUP(AC364,L362:P369,4,FALSE))</f>
        <v>G</v>
      </c>
      <c r="AJ364" s="419" t="str">
        <f>IF(ISNA(MATCH(AC364,R362:R369,0)),0,VLOOKUP(AC364,R362:U369,4,FALSE))</f>
        <v>GG</v>
      </c>
      <c r="AK364" s="32">
        <f t="shared" si="315"/>
        <v>2</v>
      </c>
      <c r="AL364" s="32">
        <f t="shared" si="316"/>
        <v>1</v>
      </c>
      <c r="AM364" s="32">
        <f>IF(ISNA(MATCH(AC364,L362:L369,0)),0,VLOOKUP(AC364,L362:W369,AM$1,FALSE))</f>
        <v>7</v>
      </c>
      <c r="AN364" s="146">
        <f>IF(ISNA(MATCH(AC364,R362:R369,0)),0,VLOOKUP(AC364,R362:W369,AN$1,FALSE))</f>
        <v>8</v>
      </c>
      <c r="AP364" s="927"/>
      <c r="AQ364" s="927"/>
    </row>
    <row r="365" spans="1:47" ht="15.6" x14ac:dyDescent="0.3">
      <c r="A365" s="417">
        <f t="shared" si="317"/>
        <v>324</v>
      </c>
      <c r="B365" s="362" t="str">
        <f>'Event Details'!D$25</f>
        <v>R</v>
      </c>
      <c r="C365" s="381" t="str">
        <f>'Event Details'!E$25</f>
        <v>Rugby &amp; N'hampton</v>
      </c>
      <c r="D365" s="379"/>
      <c r="E365" s="378"/>
      <c r="F365" s="363" t="str">
        <f>VLOOKUP($B361,IF($H361="F",TeamSheetFemale,TeamSheetMale),$Y365-1,FALSE)</f>
        <v>R</v>
      </c>
      <c r="G365" s="380" t="str">
        <f>VLOOKUP($B361,IF($H361="F",TeamSheetFemale,TeamSheetMale),$Y365,FALSE)</f>
        <v>Martha Waterson</v>
      </c>
      <c r="H365" s="363" t="str">
        <f>VLOOKUP($B361,IF($H361="F",TeamSheetFemale,TeamSheetMale),$Y365+1,FALSE)</f>
        <v>RR</v>
      </c>
      <c r="I365" s="364" t="str">
        <f>VLOOKUP($B361,IF($H361="F",TeamSheetFemale,TeamSheetMale),$Y365+2,FALSE)</f>
        <v>Daisy Crook</v>
      </c>
      <c r="K365" s="341" t="s">
        <v>274</v>
      </c>
      <c r="L365" s="16" t="str">
        <f t="shared" si="310"/>
        <v>F</v>
      </c>
      <c r="M365" s="927" t="s">
        <v>576</v>
      </c>
      <c r="N365" s="927" t="s">
        <v>1054</v>
      </c>
      <c r="O365" s="353" t="str">
        <f>IF(LEN($M365)=1,VLOOKUP(LEFT($M365,1),B362:I369,5,FALSE),IF(LEN($M365)=2,VLOOKUP(LEFT($M365,1),B362:I369,7,FALSE),""))</f>
        <v>FF</v>
      </c>
      <c r="P365" s="373" t="str">
        <f>IF(LEN($M365)=1,VLOOKUP(LEFT($M365,1),B362:I369,6,FALSE),IF(LEN($M365)=2,VLOOKUP(LEFT($M365,1),B362:I369,8,FALSE),""))</f>
        <v>Izzy Jaques</v>
      </c>
      <c r="Q365" s="341" t="s">
        <v>274</v>
      </c>
      <c r="R365" s="146" t="str">
        <f t="shared" si="311"/>
        <v>S</v>
      </c>
      <c r="S365" s="927" t="s">
        <v>100</v>
      </c>
      <c r="T365" s="927" t="s">
        <v>1050</v>
      </c>
      <c r="U365" s="353" t="str">
        <f>IF(LEN($S365)=1,VLOOKUP(LEFT($S365,1),B362:I369,5,FALSE),IF(LEN($S365)=2,VLOOKUP(LEFT($S365,1),B362:I369,7,FALSE),""))</f>
        <v>S</v>
      </c>
      <c r="V365" s="373" t="str">
        <f>IF(LEN($S365)=1,VLOOKUP(LEFT($S365,1),B362:I369,6,FALSE),IF(LEN($S365)=2,VLOOKUP(LEFT($S365,1),B362:I369,8,FALSE),""))</f>
        <v>Beatrix Thompson</v>
      </c>
      <c r="W365" s="417">
        <f t="shared" si="318"/>
        <v>5</v>
      </c>
      <c r="Y365" s="417">
        <v>22</v>
      </c>
      <c r="Z365" s="16" t="str">
        <f t="shared" si="312"/>
        <v>Tam</v>
      </c>
      <c r="AA365" s="146" t="str">
        <f t="shared" si="313"/>
        <v>BRAT</v>
      </c>
      <c r="AB365" s="32"/>
      <c r="AC365" s="16" t="str">
        <f t="shared" si="314"/>
        <v>R</v>
      </c>
      <c r="AD365" s="419" t="str">
        <f t="shared" si="314"/>
        <v>Rugby &amp; N'hampton</v>
      </c>
      <c r="AE365" s="419">
        <f>IF(ISNA(MATCH(AC365,N362:N371,0)),0,VLOOKUP(AC365,N362:S371,5,FALSE))</f>
        <v>0</v>
      </c>
      <c r="AF365" s="419" t="str">
        <f>IF(ISNA(MATCH(AC365,T362:T371,0))," ",VLOOKUP(AC365,T362:Y371,5,FALSE))</f>
        <v xml:space="preserve"> </v>
      </c>
      <c r="AG365" s="419" t="str">
        <f>IF(ISNA(MATCH(AC365,L362:L369,0)),0,VLOOKUP(AC365,L362:N369,3,FALSE))</f>
        <v>1.57.9</v>
      </c>
      <c r="AH365" s="419" t="str">
        <f>IF(ISNA(MATCH(AC365,R362:R369,0)),0,VLOOKUP(AC365,R362:T369,3,FALSE))</f>
        <v>2.09.5</v>
      </c>
      <c r="AI365" s="419" t="str">
        <f>IF(ISNA(MATCH(AC365,L362:L369,0)),0,VLOOKUP(AC365,L362:P369,4,FALSE))</f>
        <v>R</v>
      </c>
      <c r="AJ365" s="419" t="str">
        <f>IF(ISNA(MATCH(AC365,R362:R369,0)),0,VLOOKUP(AC365,R362:U369,4,FALSE))</f>
        <v>RR</v>
      </c>
      <c r="AK365" s="32">
        <f t="shared" si="315"/>
        <v>3</v>
      </c>
      <c r="AL365" s="32">
        <f t="shared" si="316"/>
        <v>5</v>
      </c>
      <c r="AM365" s="32">
        <f>IF(ISNA(MATCH(AC365,L362:L369,0)),0,VLOOKUP(AC365,L362:W369,AM$1,FALSE))</f>
        <v>6</v>
      </c>
      <c r="AN365" s="146">
        <f>IF(ISNA(MATCH(AC365,R362:R369,0)),0,VLOOKUP(AC365,R362:W369,AN$1,FALSE))</f>
        <v>4</v>
      </c>
      <c r="AP365" s="927"/>
      <c r="AQ365" s="927"/>
    </row>
    <row r="366" spans="1:47" ht="15.6" x14ac:dyDescent="0.3">
      <c r="A366" s="417">
        <f t="shared" si="317"/>
        <v>325</v>
      </c>
      <c r="B366" s="362" t="str">
        <f>'Event Details'!D$26</f>
        <v>M</v>
      </c>
      <c r="C366" s="381" t="str">
        <f>'Event Details'!E$26</f>
        <v>Solihull &amp; S.Heath</v>
      </c>
      <c r="D366" s="379"/>
      <c r="E366" s="378"/>
      <c r="F366" s="363" t="str">
        <f>VLOOKUP($B361,IF($H361="F",TeamSheetFemale,TeamSheetMale),$Y366-1,FALSE)</f>
        <v>M</v>
      </c>
      <c r="G366" s="380" t="str">
        <f>VLOOKUP($B361,IF($H361="F",TeamSheetFemale,TeamSheetMale),$Y366,FALSE)</f>
        <v>Chloe Brown</v>
      </c>
      <c r="H366" s="363" t="str">
        <f>VLOOKUP($B361,IF($H361="F",TeamSheetFemale,TeamSheetMale),$Y366+1,FALSE)</f>
        <v>MM</v>
      </c>
      <c r="I366" s="364" t="str">
        <f>VLOOKUP($B361,IF($H361="F",TeamSheetFemale,TeamSheetMale),$Y366+2,FALSE)</f>
        <v>Sophie Ross</v>
      </c>
      <c r="K366" s="341" t="s">
        <v>275</v>
      </c>
      <c r="L366" s="16" t="str">
        <f t="shared" si="310"/>
        <v>Y</v>
      </c>
      <c r="M366" s="927" t="s">
        <v>151</v>
      </c>
      <c r="N366" s="927" t="s">
        <v>1000</v>
      </c>
      <c r="O366" s="353" t="str">
        <f>IF(LEN($M366)=1,VLOOKUP(LEFT($M366,1),B362:I369,5,FALSE),IF(LEN($M366)=2,VLOOKUP(LEFT($M366,1),B362:I369,7,FALSE),""))</f>
        <v>Y</v>
      </c>
      <c r="P366" s="373" t="str">
        <f>IF(LEN($M366)=1,VLOOKUP(LEFT($M366,1),B362:I369,6,FALSE),IF(LEN($M366)=2,VLOOKUP(LEFT($M366,1),B362:I369,8,FALSE),""))</f>
        <v>Daisy Lawes</v>
      </c>
      <c r="Q366" s="341" t="s">
        <v>275</v>
      </c>
      <c r="R366" s="146" t="str">
        <f t="shared" si="311"/>
        <v>R</v>
      </c>
      <c r="S366" s="927" t="s">
        <v>819</v>
      </c>
      <c r="T366" s="927" t="s">
        <v>1057</v>
      </c>
      <c r="U366" s="353" t="str">
        <f>IF(LEN($S366)=1,VLOOKUP(LEFT($S366,1),B362:I369,5,FALSE),IF(LEN($S366)=2,VLOOKUP(LEFT($S366,1),B362:I369,7,FALSE),""))</f>
        <v>RR</v>
      </c>
      <c r="V366" s="373" t="str">
        <f>IF(LEN($S366)=1,VLOOKUP(LEFT($S366,1),B362:I369,6,FALSE),IF(LEN($S366)=2,VLOOKUP(LEFT($S366,1),B362:I369,8,FALSE),""))</f>
        <v>Daisy Crook</v>
      </c>
      <c r="W366" s="417">
        <f t="shared" si="318"/>
        <v>4</v>
      </c>
      <c r="Y366" s="417">
        <v>27</v>
      </c>
      <c r="Z366" s="16" t="str">
        <f t="shared" si="312"/>
        <v>Worc</v>
      </c>
      <c r="AA366" s="146" t="str">
        <f t="shared" si="313"/>
        <v>Rugby</v>
      </c>
      <c r="AB366" s="32"/>
      <c r="AC366" s="16" t="str">
        <f t="shared" si="314"/>
        <v>M</v>
      </c>
      <c r="AD366" s="419" t="str">
        <f t="shared" si="314"/>
        <v>Solihull &amp; S.Heath</v>
      </c>
      <c r="AE366" s="419">
        <f>IF(ISNA(MATCH(AC366,N362:N371,0)),0,VLOOKUP(AC366,N362:S371,5,FALSE))</f>
        <v>0</v>
      </c>
      <c r="AF366" s="419" t="str">
        <f>IF(ISNA(MATCH(AC366,T362:T371,0))," ",VLOOKUP(AC366,T362:Y371,5,FALSE))</f>
        <v xml:space="preserve"> </v>
      </c>
      <c r="AG366" s="419" t="str">
        <f>IF(ISNA(MATCH(AC366,L362:L369,0)),0,VLOOKUP(AC366,L362:N369,3,FALSE))</f>
        <v>2.09.9</v>
      </c>
      <c r="AH366" s="419" t="str">
        <f>IF(ISNA(MATCH(AC366,R362:R369,0)),0,VLOOKUP(AC366,R362:T369,3,FALSE))</f>
        <v>2.11.7</v>
      </c>
      <c r="AI366" s="419" t="str">
        <f>IF(ISNA(MATCH(AC366,L362:L369,0)),0,VLOOKUP(AC366,L362:P369,4,FALSE))</f>
        <v>MM</v>
      </c>
      <c r="AJ366" s="419" t="str">
        <f>IF(ISNA(MATCH(AC366,R362:R369,0)),0,VLOOKUP(AC366,R362:U369,4,FALSE))</f>
        <v>M</v>
      </c>
      <c r="AK366" s="32">
        <f t="shared" si="315"/>
        <v>7</v>
      </c>
      <c r="AL366" s="32">
        <f t="shared" si="316"/>
        <v>7</v>
      </c>
      <c r="AM366" s="32">
        <f>IF(ISNA(MATCH(AC366,L362:L369,0)),0,VLOOKUP(AC366,L362:W369,AM$1,FALSE))</f>
        <v>2</v>
      </c>
      <c r="AN366" s="146">
        <f>IF(ISNA(MATCH(AC366,R362:R369,0)),0,VLOOKUP(AC366,R362:W369,AN$1,FALSE))</f>
        <v>2</v>
      </c>
      <c r="AP366" s="927"/>
      <c r="AQ366" s="927"/>
    </row>
    <row r="367" spans="1:47" ht="15.6" x14ac:dyDescent="0.3">
      <c r="A367" s="417">
        <f t="shared" si="317"/>
        <v>326</v>
      </c>
      <c r="B367" s="362" t="str">
        <f>'Event Details'!D$27</f>
        <v>D</v>
      </c>
      <c r="C367" s="381" t="str">
        <f>'Event Details'!E$27</f>
        <v>Stratford</v>
      </c>
      <c r="D367" s="379"/>
      <c r="E367" s="378"/>
      <c r="F367" s="363" t="str">
        <f>VLOOKUP($B361,IF($H361="F",TeamSheetFemale,TeamSheetMale),$Y367-1,FALSE)</f>
        <v>D</v>
      </c>
      <c r="G367" s="380" t="str">
        <f>VLOOKUP($B361,IF($H361="F",TeamSheetFemale,TeamSheetMale),$Y367,FALSE)</f>
        <v>Quinn Lancaster</v>
      </c>
      <c r="H367" s="363" t="str">
        <f>VLOOKUP($B361,IF($H361="F",TeamSheetFemale,TeamSheetMale),$Y367+1,FALSE)</f>
        <v>DD</v>
      </c>
      <c r="I367" s="364" t="str">
        <f>VLOOKUP($B361,IF($H361="F",TeamSheetFemale,TeamSheetMale),$Y367+2,FALSE)</f>
        <v>Florence Castle</v>
      </c>
      <c r="K367" s="341" t="s">
        <v>276</v>
      </c>
      <c r="L367" s="16" t="str">
        <f t="shared" si="310"/>
        <v>S</v>
      </c>
      <c r="M367" s="927" t="s">
        <v>818</v>
      </c>
      <c r="N367" s="927" t="s">
        <v>1056</v>
      </c>
      <c r="O367" s="353" t="str">
        <f>IF(LEN($M367)=1,VLOOKUP(LEFT($M367,1),B362:I369,5,FALSE),IF(LEN($M367)=2,VLOOKUP(LEFT($M367,1),B362:I369,7,FALSE),""))</f>
        <v>SS</v>
      </c>
      <c r="P367" s="373" t="str">
        <f>IF(LEN($M367)=1,VLOOKUP(LEFT($M367,1),B362:I369,6,FALSE),IF(LEN($M367)=2,VLOOKUP(LEFT($M367,1),B362:I369,8,FALSE),""))</f>
        <v xml:space="preserve">
Azucena Cereceda</v>
      </c>
      <c r="Q367" s="341" t="s">
        <v>276</v>
      </c>
      <c r="R367" s="146" t="str">
        <f t="shared" si="311"/>
        <v>D</v>
      </c>
      <c r="S367" s="927" t="s">
        <v>513</v>
      </c>
      <c r="T367" s="927" t="s">
        <v>1059</v>
      </c>
      <c r="U367" s="353" t="str">
        <f>IF(LEN($S367)=1,VLOOKUP(LEFT($S367,1),B362:I369,5,FALSE),IF(LEN($S367)=2,VLOOKUP(LEFT($S367,1),B362:I369,7,FALSE),""))</f>
        <v>DD</v>
      </c>
      <c r="V367" s="373" t="str">
        <f>IF(LEN($S367)=1,VLOOKUP(LEFT($S367,1),B362:I369,6,FALSE),IF(LEN($S367)=2,VLOOKUP(LEFT($S367,1),B362:I369,8,FALSE),""))</f>
        <v>Florence Castle</v>
      </c>
      <c r="W367" s="417">
        <f t="shared" si="318"/>
        <v>3</v>
      </c>
      <c r="Y367" s="417">
        <v>32</v>
      </c>
      <c r="Z367" s="16" t="str">
        <f t="shared" si="312"/>
        <v>BRAT</v>
      </c>
      <c r="AA367" s="146" t="str">
        <f t="shared" si="313"/>
        <v>Strat</v>
      </c>
      <c r="AB367" s="32"/>
      <c r="AC367" s="16" t="str">
        <f t="shared" si="314"/>
        <v>D</v>
      </c>
      <c r="AD367" s="419" t="str">
        <f t="shared" si="314"/>
        <v>Stratford</v>
      </c>
      <c r="AE367" s="419">
        <f>IF(ISNA(MATCH(AC367,N362:N371,0)),0,VLOOKUP(AC367,N362:S371,5,FALSE))</f>
        <v>0</v>
      </c>
      <c r="AF367" s="419" t="str">
        <f>IF(ISNA(MATCH(AC367,T362:T371,0))," ",VLOOKUP(AC367,T362:Y371,5,FALSE))</f>
        <v xml:space="preserve"> </v>
      </c>
      <c r="AG367" s="419" t="str">
        <f>IF(ISNA(MATCH(AC367,L362:L369,0)),0,VLOOKUP(AC367,L362:N369,3,FALSE))</f>
        <v>2.10.3</v>
      </c>
      <c r="AH367" s="419" t="str">
        <f>IF(ISNA(MATCH(AC367,R362:R369,0)),0,VLOOKUP(AC367,R362:T369,3,FALSE))</f>
        <v>2.10.6</v>
      </c>
      <c r="AI367" s="419" t="str">
        <f>IF(ISNA(MATCH(AC367,L362:L369,0)),0,VLOOKUP(AC367,L362:P369,4,FALSE))</f>
        <v>D</v>
      </c>
      <c r="AJ367" s="419" t="str">
        <f>IF(ISNA(MATCH(AC367,R362:R369,0)),0,VLOOKUP(AC367,R362:U369,4,FALSE))</f>
        <v>DD</v>
      </c>
      <c r="AK367" s="32">
        <f t="shared" si="315"/>
        <v>8</v>
      </c>
      <c r="AL367" s="32">
        <f t="shared" si="316"/>
        <v>6</v>
      </c>
      <c r="AM367" s="32">
        <f>IF(ISNA(MATCH(AC367,L362:L369,0)),0,VLOOKUP(AC367,L362:W369,AM$1,FALSE))</f>
        <v>1</v>
      </c>
      <c r="AN367" s="146">
        <f>IF(ISNA(MATCH(AC367,R362:R369,0)),0,VLOOKUP(AC367,R362:W369,AN$1,FALSE))</f>
        <v>3</v>
      </c>
      <c r="AP367" s="927"/>
      <c r="AQ367" s="927"/>
    </row>
    <row r="368" spans="1:47" ht="15.6" x14ac:dyDescent="0.3">
      <c r="A368" s="417">
        <f t="shared" si="317"/>
        <v>327</v>
      </c>
      <c r="B368" s="362" t="str">
        <f>'Event Details'!D$28</f>
        <v>F</v>
      </c>
      <c r="C368" s="381" t="str">
        <f>'Event Details'!E$28</f>
        <v>Tamworth</v>
      </c>
      <c r="D368" s="379"/>
      <c r="E368" s="378"/>
      <c r="F368" s="363" t="str">
        <f>VLOOKUP($B361,IF($H361="F",TeamSheetFemale,TeamSheetMale),$Y368-1,FALSE)</f>
        <v>F</v>
      </c>
      <c r="G368" s="380" t="str">
        <f>VLOOKUP($B361,IF($H361="F",TeamSheetFemale,TeamSheetMale),$Y368,FALSE)</f>
        <v>Clara Knight-Dutton</v>
      </c>
      <c r="H368" s="363" t="str">
        <f>VLOOKUP($B361,IF($H361="F",TeamSheetFemale,TeamSheetMale),$Y368+1,FALSE)</f>
        <v>FF</v>
      </c>
      <c r="I368" s="364" t="str">
        <f>VLOOKUP($B361,IF($H361="F",TeamSheetFemale,TeamSheetMale),$Y368+2,FALSE)</f>
        <v>Izzy Jaques</v>
      </c>
      <c r="K368" s="341" t="s">
        <v>277</v>
      </c>
      <c r="L368" s="16" t="str">
        <f t="shared" si="310"/>
        <v>M</v>
      </c>
      <c r="M368" s="931" t="s">
        <v>821</v>
      </c>
      <c r="N368" s="927" t="s">
        <v>1058</v>
      </c>
      <c r="O368" s="353" t="str">
        <f>IF(LEN($M368)=1,VLOOKUP(LEFT($M368,1),B362:I369,5,FALSE),IF(LEN($M368)=2,VLOOKUP(LEFT($M368,1),B362:I369,7,FALSE),""))</f>
        <v>MM</v>
      </c>
      <c r="P368" s="373" t="str">
        <f>IF(LEN($M368)=1,VLOOKUP(LEFT($M368,1),B362:I369,6,FALSE),IF(LEN($M368)=2,VLOOKUP(LEFT($M368,1),B362:I369,8,FALSE),""))</f>
        <v>Sophie Ross</v>
      </c>
      <c r="Q368" s="341" t="s">
        <v>277</v>
      </c>
      <c r="R368" s="146" t="str">
        <f t="shared" si="311"/>
        <v>M</v>
      </c>
      <c r="S368" s="931" t="s">
        <v>127</v>
      </c>
      <c r="T368" s="927" t="s">
        <v>1052</v>
      </c>
      <c r="U368" s="353" t="str">
        <f>IF(LEN($S368)=1,VLOOKUP(LEFT($S368,1),B362:I369,5,FALSE),IF(LEN($S368)=2,VLOOKUP(LEFT($S368,1),B362:I369,7,FALSE),""))</f>
        <v>M</v>
      </c>
      <c r="V368" s="373" t="str">
        <f>IF(LEN($S368)=1,VLOOKUP(LEFT($S368,1),B362:I369,6,FALSE),IF(LEN($S368)=2,VLOOKUP(LEFT($S368,1),B362:I369,8,FALSE),""))</f>
        <v>Chloe Brown</v>
      </c>
      <c r="W368" s="417">
        <f t="shared" si="318"/>
        <v>2</v>
      </c>
      <c r="Y368" s="417">
        <v>37</v>
      </c>
      <c r="Z368" s="16" t="str">
        <f t="shared" si="312"/>
        <v>Sol</v>
      </c>
      <c r="AA368" s="146" t="str">
        <f t="shared" si="313"/>
        <v>Sol</v>
      </c>
      <c r="AB368" s="32"/>
      <c r="AC368" s="16" t="str">
        <f t="shared" si="314"/>
        <v>F</v>
      </c>
      <c r="AD368" s="419" t="str">
        <f t="shared" si="314"/>
        <v>Tamworth</v>
      </c>
      <c r="AE368" s="419">
        <f>IF(ISNA(MATCH(AC368,N360:N369,0)),0,VLOOKUP(AC368,N360:S369,5,FALSE))</f>
        <v>0</v>
      </c>
      <c r="AF368" s="419" t="str">
        <f>IF(ISNA(MATCH(AC368,T360:T369,0))," ",VLOOKUP(AC368,T360:Y369,5,FALSE))</f>
        <v xml:space="preserve"> </v>
      </c>
      <c r="AG368" s="419" t="str">
        <f>IF(ISNA(MATCH(AC368,L362:L369,0)),0,VLOOKUP(AC368,L362:N369,3,FALSE))</f>
        <v>2.03.3</v>
      </c>
      <c r="AH368" s="419" t="str">
        <f>IF(ISNA(MATCH(AC368,R362:R369,0)),0,VLOOKUP(AC368,R362:T369,3,FALSE))</f>
        <v>2.05.9</v>
      </c>
      <c r="AI368" s="419" t="str">
        <f>IF(ISNA(MATCH(AC368,L362:L369,0)),0,VLOOKUP(AC368,L362:P369,4,FALSE))</f>
        <v>FF</v>
      </c>
      <c r="AJ368" s="419" t="str">
        <f>IF(ISNA(MATCH(AC368,R362:R369,0)),0,VLOOKUP(AC368,R362:U369,4,FALSE))</f>
        <v>F</v>
      </c>
      <c r="AK368" s="32">
        <f t="shared" si="315"/>
        <v>4</v>
      </c>
      <c r="AL368" s="32">
        <f t="shared" si="316"/>
        <v>3</v>
      </c>
      <c r="AM368" s="32">
        <f>IF(ISNA(MATCH(AC368,L362:L369,0)),0,VLOOKUP(AC368,L362:W369,AM$1,FALSE))</f>
        <v>5</v>
      </c>
      <c r="AN368" s="146">
        <f>IF(ISNA(MATCH(AC368,R362:R369,0)),0,VLOOKUP(AC368,R362:W369,AN$1,FALSE))</f>
        <v>6</v>
      </c>
      <c r="AP368" s="931"/>
      <c r="AQ368" s="927"/>
    </row>
    <row r="369" spans="1:47" ht="16.2" thickBot="1" x14ac:dyDescent="0.35">
      <c r="A369" s="418">
        <f t="shared" si="317"/>
        <v>328</v>
      </c>
      <c r="B369" s="365" t="str">
        <f>'Event Details'!D$29</f>
        <v>Y</v>
      </c>
      <c r="C369" s="366" t="str">
        <f>'Event Details'!E$29</f>
        <v>Worcester</v>
      </c>
      <c r="D369" s="361"/>
      <c r="E369" s="370"/>
      <c r="F369" s="367" t="str">
        <f>VLOOKUP($B361,IF($H361="F",TeamSheetFemale,TeamSheetMale),$Y369-1,FALSE)</f>
        <v>Y</v>
      </c>
      <c r="G369" s="368" t="str">
        <f>VLOOKUP($B361,IF($H361="F",TeamSheetFemale,TeamSheetMale),$Y369,FALSE)</f>
        <v>Daisy Lawes</v>
      </c>
      <c r="H369" s="367" t="str">
        <f>VLOOKUP($B361,IF($H361="F",TeamSheetFemale,TeamSheetMale),$Y369+1,FALSE)</f>
        <v>YY</v>
      </c>
      <c r="I369" s="369" t="str">
        <f>VLOOKUP($B361,IF($H361="F",TeamSheetFemale,TeamSheetMale),$Y369+2,FALSE)</f>
        <v>Bethany Gromski</v>
      </c>
      <c r="K369" s="346" t="s">
        <v>278</v>
      </c>
      <c r="L369" s="25" t="str">
        <f t="shared" si="310"/>
        <v>D</v>
      </c>
      <c r="M369" s="928" t="s">
        <v>136</v>
      </c>
      <c r="N369" s="932" t="s">
        <v>1051</v>
      </c>
      <c r="O369" s="375" t="str">
        <f>IF(LEN($M369)=1,VLOOKUP(LEFT($M369,1),B362:I369,5,FALSE),IF(LEN($M369)=2,VLOOKUP(LEFT($M369,1),B362:I369,7,FALSE),""))</f>
        <v>D</v>
      </c>
      <c r="P369" s="376" t="str">
        <f>IF(LEN($M369)=1,VLOOKUP(LEFT($M369,1),B362:I369,6,FALSE),IF(LEN($M369)=2,VLOOKUP(LEFT($M369,1),B362:I369,8,FALSE),""))</f>
        <v>Quinn Lancaster</v>
      </c>
      <c r="Q369" s="346" t="s">
        <v>278</v>
      </c>
      <c r="R369" s="523" t="str">
        <f t="shared" si="311"/>
        <v>Y</v>
      </c>
      <c r="S369" s="928" t="s">
        <v>822</v>
      </c>
      <c r="T369" s="932" t="s">
        <v>1005</v>
      </c>
      <c r="U369" s="375" t="str">
        <f>IF(LEN($S369)=1,VLOOKUP(LEFT($S369,1),B362:I369,5,FALSE),IF(LEN($S369)=2,VLOOKUP(LEFT($S369,1),B362:I369,7,FALSE),""))</f>
        <v>YY</v>
      </c>
      <c r="V369" s="376" t="str">
        <f>IF(LEN($S369)=1,VLOOKUP(LEFT($S369,1),B362:I369,6,FALSE),IF(LEN($S369)=2,VLOOKUP(LEFT($S369,1),B362:I369,8,FALSE),""))</f>
        <v>Bethany Gromski</v>
      </c>
      <c r="W369" s="418">
        <f t="shared" si="318"/>
        <v>1</v>
      </c>
      <c r="Y369" s="418">
        <v>42</v>
      </c>
      <c r="Z369" s="25" t="str">
        <f t="shared" si="312"/>
        <v>Strat</v>
      </c>
      <c r="AA369" s="523" t="str">
        <f t="shared" si="313"/>
        <v>Worc</v>
      </c>
      <c r="AB369" s="32"/>
      <c r="AC369" s="25" t="str">
        <f t="shared" si="314"/>
        <v>Y</v>
      </c>
      <c r="AD369" s="624" t="str">
        <f t="shared" si="314"/>
        <v>Worcester</v>
      </c>
      <c r="AE369" s="624">
        <f>IF(ISNA(MATCH(AC369,N361:N370,0)),0,VLOOKUP(AC369,N361:S370,5,FALSE))</f>
        <v>0</v>
      </c>
      <c r="AF369" s="624" t="str">
        <f t="shared" ref="AF369" si="319">IF(ISNA(MATCH(AC369,T361:T370,0))," ",VLOOKUP(AC369,T361:Y370,5,FALSE))</f>
        <v xml:space="preserve"> </v>
      </c>
      <c r="AG369" s="624" t="str">
        <f>IF(ISNA(MATCH(AC369,L362:L369,0)),0,VLOOKUP(AC369,L362:N369,3,FALSE))</f>
        <v>2.05.7</v>
      </c>
      <c r="AH369" s="624" t="str">
        <f>IF(ISNA(MATCH(AC369,R362:R369,0)),0,VLOOKUP(AC369,R362:T369,3,FALSE))</f>
        <v>2.12.0</v>
      </c>
      <c r="AI369" s="624" t="str">
        <f>IF(ISNA(MATCH(AC369,L362:L369,0)),0,VLOOKUP(AC369,L362:P369,4,FALSE))</f>
        <v>Y</v>
      </c>
      <c r="AJ369" s="624" t="str">
        <f>IF(ISNA(MATCH(AC369,R362:R369,0)),0,VLOOKUP(AC369,R362:U369,4,FALSE))</f>
        <v>YY</v>
      </c>
      <c r="AK369" s="116">
        <f t="shared" si="315"/>
        <v>5</v>
      </c>
      <c r="AL369" s="116">
        <f t="shared" si="316"/>
        <v>8</v>
      </c>
      <c r="AM369" s="116">
        <f>IF(ISNA(MATCH(AC369,L362:L369,0)),0,VLOOKUP(AC369,L362:W369,AM$1,FALSE))</f>
        <v>4</v>
      </c>
      <c r="AN369" s="523">
        <f>IF(ISNA(MATCH(AC369,R362:R369,0)),0,VLOOKUP(AC369,R362:W369,AN$1,FALSE))</f>
        <v>1</v>
      </c>
      <c r="AP369" s="928" t="s">
        <v>148</v>
      </c>
      <c r="AQ369" s="932"/>
    </row>
    <row r="370" spans="1:47" ht="15" thickBot="1" x14ac:dyDescent="0.35">
      <c r="M370" s="276"/>
      <c r="N370" s="307"/>
      <c r="S370" s="276"/>
      <c r="T370" s="307"/>
      <c r="AP370" s="276"/>
      <c r="AQ370" s="307"/>
    </row>
    <row r="371" spans="1:47" x14ac:dyDescent="0.3">
      <c r="B371" s="400" t="s">
        <v>258</v>
      </c>
      <c r="C371" s="398"/>
      <c r="D371" s="401" t="s">
        <v>165</v>
      </c>
      <c r="E371" s="398"/>
      <c r="F371" s="398"/>
      <c r="G371" s="402" t="s">
        <v>259</v>
      </c>
      <c r="H371" s="403" t="s">
        <v>249</v>
      </c>
      <c r="I371" s="404" t="s">
        <v>168</v>
      </c>
      <c r="K371" s="360"/>
      <c r="L371" s="661"/>
      <c r="M371" s="387" t="s">
        <v>260</v>
      </c>
      <c r="N371" s="387" t="s">
        <v>261</v>
      </c>
      <c r="O371" s="387" t="s">
        <v>262</v>
      </c>
      <c r="P371" s="388" t="s">
        <v>75</v>
      </c>
      <c r="Q371" s="412"/>
      <c r="R371" s="657"/>
      <c r="S371" s="387" t="s">
        <v>260</v>
      </c>
      <c r="T371" s="387" t="s">
        <v>261</v>
      </c>
      <c r="U371" s="387" t="s">
        <v>262</v>
      </c>
      <c r="V371" s="388" t="s">
        <v>75</v>
      </c>
      <c r="W371" s="672" t="s">
        <v>76</v>
      </c>
      <c r="Y371" s="654" t="s">
        <v>263</v>
      </c>
      <c r="Z371" s="656" t="s">
        <v>74</v>
      </c>
      <c r="AA371" s="657" t="s">
        <v>75</v>
      </c>
      <c r="AC371" s="665" t="s">
        <v>71</v>
      </c>
      <c r="AD371" s="657" t="s">
        <v>86</v>
      </c>
      <c r="AE371" s="661" t="s">
        <v>149</v>
      </c>
      <c r="AF371" s="661" t="s">
        <v>94</v>
      </c>
      <c r="AG371" s="661" t="s">
        <v>149</v>
      </c>
      <c r="AH371" s="661" t="s">
        <v>94</v>
      </c>
      <c r="AI371" s="661" t="s">
        <v>149</v>
      </c>
      <c r="AJ371" s="661" t="s">
        <v>94</v>
      </c>
      <c r="AK371" s="1332" t="s">
        <v>149</v>
      </c>
      <c r="AL371" s="661" t="s">
        <v>94</v>
      </c>
      <c r="AM371" s="1406" t="s">
        <v>76</v>
      </c>
      <c r="AN371" s="1407"/>
      <c r="AP371" s="387" t="s">
        <v>260</v>
      </c>
      <c r="AQ371" s="387" t="s">
        <v>261</v>
      </c>
      <c r="AS371" s="1218" t="s">
        <v>165</v>
      </c>
      <c r="AT371" s="1219" t="s">
        <v>79</v>
      </c>
      <c r="AU371" s="1220" t="s">
        <v>80</v>
      </c>
    </row>
    <row r="372" spans="1:47" ht="15" thickBot="1" x14ac:dyDescent="0.35">
      <c r="B372" s="405">
        <v>33</v>
      </c>
      <c r="C372" s="399"/>
      <c r="D372" s="385" t="str">
        <f>VLOOKUP($B372,EventOrder,6,FALSE)</f>
        <v xml:space="preserve">400m (U18/U20) </v>
      </c>
      <c r="E372" s="399"/>
      <c r="F372" s="385"/>
      <c r="G372" s="386" t="str">
        <f>VLOOKUP($B372,EventOrder,4,FALSE)</f>
        <v>U18 Female</v>
      </c>
      <c r="H372" s="396" t="str">
        <f>IF(MID(G372,5,1)="F","F","M")</f>
        <v>F</v>
      </c>
      <c r="I372" s="397">
        <f>VLOOKUP($B372,EventOrder,2,FALSE)</f>
        <v>1.3</v>
      </c>
      <c r="K372" s="372"/>
      <c r="L372" s="667" t="s">
        <v>149</v>
      </c>
      <c r="M372" s="409" t="s">
        <v>264</v>
      </c>
      <c r="N372" s="409" t="s">
        <v>265</v>
      </c>
      <c r="O372" s="409" t="s">
        <v>266</v>
      </c>
      <c r="P372" s="408"/>
      <c r="Q372" s="413"/>
      <c r="R372" s="659" t="s">
        <v>94</v>
      </c>
      <c r="S372" s="409" t="s">
        <v>264</v>
      </c>
      <c r="T372" s="409" t="s">
        <v>265</v>
      </c>
      <c r="U372" s="409" t="s">
        <v>266</v>
      </c>
      <c r="V372" s="408"/>
      <c r="W372" s="671"/>
      <c r="Y372" s="655" t="s">
        <v>167</v>
      </c>
      <c r="Z372" s="658" t="s">
        <v>149</v>
      </c>
      <c r="AA372" s="659" t="s">
        <v>94</v>
      </c>
      <c r="AC372" s="666"/>
      <c r="AD372" s="668"/>
      <c r="AE372" s="768" t="s">
        <v>75</v>
      </c>
      <c r="AF372" s="768" t="s">
        <v>75</v>
      </c>
      <c r="AG372" s="768" t="s">
        <v>267</v>
      </c>
      <c r="AH372" s="768" t="s">
        <v>267</v>
      </c>
      <c r="AI372" s="768" t="s">
        <v>268</v>
      </c>
      <c r="AJ372" s="768" t="s">
        <v>268</v>
      </c>
      <c r="AK372" s="770" t="s">
        <v>269</v>
      </c>
      <c r="AL372" s="768" t="s">
        <v>269</v>
      </c>
      <c r="AM372" s="667" t="s">
        <v>149</v>
      </c>
      <c r="AN372" s="659" t="s">
        <v>94</v>
      </c>
      <c r="AP372" s="409" t="s">
        <v>264</v>
      </c>
      <c r="AQ372" s="409" t="s">
        <v>265</v>
      </c>
      <c r="AS372" s="1221" t="s">
        <v>270</v>
      </c>
      <c r="AT372" s="1222" t="s">
        <v>270</v>
      </c>
      <c r="AU372" s="1223" t="s">
        <v>270</v>
      </c>
    </row>
    <row r="373" spans="1:47" ht="15.6" x14ac:dyDescent="0.3">
      <c r="A373" s="416">
        <f>(B372*10)+1</f>
        <v>331</v>
      </c>
      <c r="B373" s="362" t="str">
        <f>'Event Details'!D$22</f>
        <v>S</v>
      </c>
      <c r="C373" s="381" t="str">
        <f>'Event Details'!E$22</f>
        <v>BRAT</v>
      </c>
      <c r="D373" s="379"/>
      <c r="E373" s="378"/>
      <c r="F373" s="363" t="str">
        <f>VLOOKUP($B372,IF($H372="F",TeamSheetFemale,TeamSheetMale),$Y373-1,FALSE)</f>
        <v>S</v>
      </c>
      <c r="G373" s="380" t="str">
        <f>VLOOKUP($B372,IF($H372="F",TeamSheetFemale,TeamSheetMale),$Y373,FALSE)</f>
        <v>Arriella Dalmedo</v>
      </c>
      <c r="H373" s="363">
        <f>VLOOKUP($B372,IF($H372="F",TeamSheetFemale,TeamSheetMale),$Y373+1,FALSE)</f>
        <v>0</v>
      </c>
      <c r="I373" s="364">
        <f>VLOOKUP($B372,IF($H372="F",TeamSheetFemale,TeamSheetMale),$Y373+2,FALSE)</f>
        <v>0</v>
      </c>
      <c r="K373" s="393" t="s">
        <v>271</v>
      </c>
      <c r="L373" s="16" t="str">
        <f t="shared" ref="L373:L380" si="320">LEFT(M373,1)</f>
        <v>D</v>
      </c>
      <c r="M373" s="926" t="s">
        <v>136</v>
      </c>
      <c r="N373" s="926">
        <v>62.7</v>
      </c>
      <c r="O373" s="394" t="str">
        <f>IF(LEN($M373)=1,VLOOKUP(LEFT($M373,1),B373:I380,5,FALSE),IF(LEN($M373)=2,VLOOKUP(LEFT($M373,1),B373:I380,7,FALSE),""))</f>
        <v>D</v>
      </c>
      <c r="P373" s="395" t="str">
        <f>IF(LEN($M373)=1,VLOOKUP(LEFT($M373,1),B373:I380,6,FALSE),IF(LEN($M373)=2,VLOOKUP(LEFT($M373,1),B373:I380,8,FALSE),""))</f>
        <v>Ella Smith</v>
      </c>
      <c r="Q373" s="406" t="s">
        <v>271</v>
      </c>
      <c r="R373" s="146" t="str">
        <f t="shared" ref="R373:R380" si="321">LEFT(S373,1)</f>
        <v>g</v>
      </c>
      <c r="S373" s="926" t="s">
        <v>1101</v>
      </c>
      <c r="T373" s="926">
        <v>69.2</v>
      </c>
      <c r="U373" s="394" t="str">
        <f>IF(LEN($S373)=1,VLOOKUP(LEFT($S373,1),B373:I380,5,FALSE),IF(LEN($S373)=2,VLOOKUP(LEFT($S373,1),B373:I380,7,FALSE),""))</f>
        <v>G</v>
      </c>
      <c r="V373" s="395" t="str">
        <f>IF(LEN($S373)=1,VLOOKUP(LEFT($S373,1),B373:I380,6,FALSE),IF(LEN($S373)=2,VLOOKUP(LEFT($S373,1),B373:I380,8,FALSE),""))</f>
        <v>Lennie Covey</v>
      </c>
      <c r="W373" s="417">
        <f>AN$6</f>
        <v>8</v>
      </c>
      <c r="Y373" s="653">
        <v>7</v>
      </c>
      <c r="Z373" s="653" t="str">
        <f t="shared" ref="Z373:Z380" si="322">IF(LEN(M373)&gt;0,VLOOKUP(LEFT(M373,1),ShortName,5,FALSE),0)</f>
        <v>Strat</v>
      </c>
      <c r="AA373" s="138" t="str">
        <f t="shared" ref="AA373:AA380" si="323">IF(LEN(S373)&gt;0,VLOOKUP(LEFT(S373,1),ShortName,5,FALSE),0)</f>
        <v>Royal</v>
      </c>
      <c r="AC373" s="16" t="str">
        <f t="shared" ref="AC373:AD380" si="324">B373</f>
        <v>S</v>
      </c>
      <c r="AD373" s="419" t="str">
        <f t="shared" si="324"/>
        <v>BRAT</v>
      </c>
      <c r="AE373" s="635">
        <f>IF(ISNA(MATCH(AC373,N373:N382,0)),0,VLOOKUP(AC373,N373:S382,5,FALSE))</f>
        <v>0</v>
      </c>
      <c r="AF373" s="635" t="str">
        <f>IF(ISNA(MATCH(AC373,T373:T382,0))," ",VLOOKUP(AC373,T373:Y382,5,FALSE))</f>
        <v xml:space="preserve"> </v>
      </c>
      <c r="AG373" s="635">
        <f>IF(ISNA(MATCH(AC373,L373:L380,0)),0,VLOOKUP(AC373,L373:N380,3,FALSE))</f>
        <v>72.5</v>
      </c>
      <c r="AH373" s="635">
        <f>IF(ISNA(MATCH(AC373,R373:R380,0)),0,VLOOKUP(AC373,R373:T380,3,FALSE))</f>
        <v>0</v>
      </c>
      <c r="AI373" s="635" t="str">
        <f>IF(ISNA(MATCH(AC373,L373:L380,0)),0,VLOOKUP(AC373,L373:P380,4,FALSE))</f>
        <v>S</v>
      </c>
      <c r="AJ373" s="635">
        <f>IF(ISNA(MATCH(AC373,R373:R380,0)),0,VLOOKUP(AC373,R373:U380,4,FALSE))</f>
        <v>0</v>
      </c>
      <c r="AK373" s="49">
        <f t="shared" ref="AK373:AK380" si="325">IF(AM373=0,0,AN$6-(AM373-1))</f>
        <v>3</v>
      </c>
      <c r="AL373" s="49">
        <f t="shared" ref="AL373:AL380" si="326">IF(AN373=0,0,AN$6-(AN373-1))</f>
        <v>0</v>
      </c>
      <c r="AM373" s="49">
        <f>IF(ISNA(MATCH(AC373,L373:L380,0)),0,VLOOKUP(AC373,L373:W380,AM$1,FALSE))</f>
        <v>6</v>
      </c>
      <c r="AN373" s="138">
        <f>IF(ISNA(MATCH(AC373,R373:R380,0)),0,VLOOKUP(AC373,R373:W380,AN$1,FALSE))</f>
        <v>0</v>
      </c>
      <c r="AP373" s="926"/>
      <c r="AQ373" s="926"/>
      <c r="AS373" s="32">
        <f>IF(LEN(N373)&gt;0,1,0)</f>
        <v>1</v>
      </c>
      <c r="AT373" s="32">
        <f>IF(AND(AS373=1,H372="M"),1,0)</f>
        <v>0</v>
      </c>
      <c r="AU373" s="32">
        <f>IF(AND(AS373=1,H372="F"),1,0)</f>
        <v>1</v>
      </c>
    </row>
    <row r="374" spans="1:47" ht="15.6" x14ac:dyDescent="0.3">
      <c r="A374" s="417">
        <f>A373+1</f>
        <v>332</v>
      </c>
      <c r="B374" s="362" t="str">
        <f>'Event Details'!D$23</f>
        <v>U</v>
      </c>
      <c r="C374" s="381" t="str">
        <f>'Event Details'!E$23</f>
        <v>Kidder &amp; Stourport</v>
      </c>
      <c r="D374" s="379"/>
      <c r="E374" s="378"/>
      <c r="F374" s="363">
        <f>VLOOKUP($B372,IF($H372="F",TeamSheetFemale,TeamSheetMale),$Y374-1,FALSE)</f>
        <v>0</v>
      </c>
      <c r="G374" s="380">
        <f>VLOOKUP($B372,IF($H372="F",TeamSheetFemale,TeamSheetMale),$Y374,FALSE)</f>
        <v>0</v>
      </c>
      <c r="H374" s="363">
        <f>VLOOKUP($B372,IF($H372="F",TeamSheetFemale,TeamSheetMale),$Y374+1,FALSE)</f>
        <v>0</v>
      </c>
      <c r="I374" s="364">
        <f>VLOOKUP($B372,IF($H372="F",TeamSheetFemale,TeamSheetMale),$Y374+2,FALSE)</f>
        <v>0</v>
      </c>
      <c r="K374" s="341" t="s">
        <v>272</v>
      </c>
      <c r="L374" s="16" t="str">
        <f t="shared" si="320"/>
        <v>G</v>
      </c>
      <c r="M374" s="927" t="s">
        <v>820</v>
      </c>
      <c r="N374" s="927">
        <v>65.2</v>
      </c>
      <c r="O374" s="354" t="str">
        <f>IF(LEN($M374)=1,VLOOKUP(LEFT($M374,1),B373:I380,5,FALSE),IF(LEN($M374)=2,VLOOKUP(LEFT($M374,1),B373:I380,7,FALSE),""))</f>
        <v>GG</v>
      </c>
      <c r="P374" s="410">
        <f>IF(LEN($M374)=1,VLOOKUP(LEFT($M374,1),B373:I380,6,FALSE),IF(LEN($M374)=2,VLOOKUP(LEFT($M374,1),B373:I380,8,FALSE),""))</f>
        <v>0</v>
      </c>
      <c r="Q374" s="371" t="s">
        <v>272</v>
      </c>
      <c r="R374" s="146" t="str">
        <f t="shared" si="321"/>
        <v/>
      </c>
      <c r="S374" s="927"/>
      <c r="T374" s="927"/>
      <c r="U374" s="354" t="str">
        <f>IF(LEN($S374)=1,VLOOKUP(LEFT($S374,1),B373:I380,5,FALSE),IF(LEN($S374)=2,VLOOKUP(LEFT($S374,1),B373:I380,7,FALSE),""))</f>
        <v/>
      </c>
      <c r="V374" s="410" t="str">
        <f>IF(LEN($S374)=1,VLOOKUP(LEFT($S374,1),B373:I380,6,FALSE),IF(LEN($S374)=2,VLOOKUP(LEFT($S374,1),B373:I380,8,FALSE),""))</f>
        <v/>
      </c>
      <c r="W374" s="417">
        <f>W373-1</f>
        <v>7</v>
      </c>
      <c r="Y374" s="16">
        <v>12</v>
      </c>
      <c r="Z374" s="16" t="str">
        <f t="shared" si="322"/>
        <v>Royal</v>
      </c>
      <c r="AA374" s="146">
        <f t="shared" si="323"/>
        <v>0</v>
      </c>
      <c r="AC374" s="16" t="str">
        <f t="shared" si="324"/>
        <v>U</v>
      </c>
      <c r="AD374" s="419" t="str">
        <f t="shared" si="324"/>
        <v>Kidder &amp; Stourport</v>
      </c>
      <c r="AE374" s="419">
        <f>IF(ISNA(MATCH(AC374,N373:N382,0)),0,VLOOKUP(AC374,N373:S382,5,FALSE))</f>
        <v>0</v>
      </c>
      <c r="AF374" s="419" t="str">
        <f>IF(ISNA(MATCH(AC374,T373:T382,0))," ",VLOOKUP(AC374,T373:Y382,5,FALSE))</f>
        <v xml:space="preserve"> </v>
      </c>
      <c r="AG374" s="419">
        <f>IF(ISNA(MATCH(AC374,L373:L380,0)),0,VLOOKUP(AC374,L373:N380,3,FALSE))</f>
        <v>0</v>
      </c>
      <c r="AH374" s="419">
        <f>IF(ISNA(MATCH(AC374,R373:R380,0)),0,VLOOKUP(AC374,R373:T380,3,FALSE))</f>
        <v>0</v>
      </c>
      <c r="AI374" s="419">
        <f>IF(ISNA(MATCH(AC374,L373:L380,0)),0,VLOOKUP(AC374,L373:P380,4,FALSE))</f>
        <v>0</v>
      </c>
      <c r="AJ374" s="419">
        <f>IF(ISNA(MATCH(AC374,R373:R380,0)),0,VLOOKUP(AC374,R373:U380,4,FALSE))</f>
        <v>0</v>
      </c>
      <c r="AK374" s="32">
        <f t="shared" si="325"/>
        <v>0</v>
      </c>
      <c r="AL374" s="32">
        <f t="shared" si="326"/>
        <v>0</v>
      </c>
      <c r="AM374" s="32">
        <f>IF(ISNA(MATCH(AC374,L373:L380,0)),0,VLOOKUP(AC374,L373:W380,AM$1,FALSE))</f>
        <v>0</v>
      </c>
      <c r="AN374" s="146">
        <f>IF(ISNA(MATCH(AC374,R373:R380,0)),0,VLOOKUP(AC374,R373:W380,AN$1,FALSE))</f>
        <v>0</v>
      </c>
      <c r="AP374" s="927"/>
      <c r="AQ374" s="927"/>
    </row>
    <row r="375" spans="1:47" ht="15.6" x14ac:dyDescent="0.3">
      <c r="A375" s="417">
        <f t="shared" ref="A375:A380" si="327">A374+1</f>
        <v>333</v>
      </c>
      <c r="B375" s="362" t="str">
        <f>'Event Details'!D$24</f>
        <v>G</v>
      </c>
      <c r="C375" s="381" t="str">
        <f>'Event Details'!E$24</f>
        <v>Royal Sutton</v>
      </c>
      <c r="D375" s="379"/>
      <c r="E375" s="378"/>
      <c r="F375" s="363" t="str">
        <f>VLOOKUP($B372,IF($H372="F",TeamSheetFemale,TeamSheetMale),$Y375-1,FALSE)</f>
        <v>G</v>
      </c>
      <c r="G375" s="380" t="str">
        <f>VLOOKUP($B372,IF($H372="F",TeamSheetFemale,TeamSheetMale),$Y375,FALSE)</f>
        <v>Lennie Covey</v>
      </c>
      <c r="H375" s="363" t="str">
        <f>VLOOKUP($B372,IF($H372="F",TeamSheetFemale,TeamSheetMale),$Y375+1,FALSE)</f>
        <v>GG</v>
      </c>
      <c r="I375" s="364">
        <f>VLOOKUP($B372,IF($H372="F",TeamSheetFemale,TeamSheetMale),$Y375+2,FALSE)</f>
        <v>0</v>
      </c>
      <c r="K375" s="341" t="s">
        <v>273</v>
      </c>
      <c r="L375" s="16" t="str">
        <f t="shared" si="320"/>
        <v>S</v>
      </c>
      <c r="M375" s="927" t="s">
        <v>100</v>
      </c>
      <c r="N375" s="927">
        <v>72.5</v>
      </c>
      <c r="O375" s="354" t="str">
        <f>IF(LEN($M375)=1,VLOOKUP(LEFT($M375,1),B373:I380,5,FALSE),IF(LEN($M375)=2,VLOOKUP(LEFT($M375,1),B373:I380,7,FALSE),""))</f>
        <v>S</v>
      </c>
      <c r="P375" s="410" t="str">
        <f>IF(LEN($M375)=1,VLOOKUP(LEFT($M375,1),B373:I380,6,FALSE),IF(LEN($M375)=2,VLOOKUP(LEFT($M375,1),B373:I380,8,FALSE),""))</f>
        <v>Arriella Dalmedo</v>
      </c>
      <c r="Q375" s="371" t="s">
        <v>273</v>
      </c>
      <c r="R375" s="146" t="str">
        <f t="shared" si="321"/>
        <v/>
      </c>
      <c r="S375" s="927"/>
      <c r="T375" s="927"/>
      <c r="U375" s="354" t="str">
        <f>IF(LEN($S375)=1,VLOOKUP(LEFT($S375,1),B373:I380,5,FALSE),IF(LEN($S375)=2,VLOOKUP(LEFT($S375,1),B373:I380,7,FALSE),""))</f>
        <v/>
      </c>
      <c r="V375" s="410" t="str">
        <f>IF(LEN($S375)=1,VLOOKUP(LEFT($S375,1),B373:I380,6,FALSE),IF(LEN($S375)=2,VLOOKUP(LEFT($S375,1),B373:I380,8,FALSE),""))</f>
        <v/>
      </c>
      <c r="W375" s="417">
        <f t="shared" ref="W375:W380" si="328">W374-1</f>
        <v>6</v>
      </c>
      <c r="Y375" s="16">
        <v>17</v>
      </c>
      <c r="Z375" s="16" t="str">
        <f t="shared" si="322"/>
        <v>BRAT</v>
      </c>
      <c r="AA375" s="146">
        <f t="shared" si="323"/>
        <v>0</v>
      </c>
      <c r="AC375" s="16" t="str">
        <f t="shared" si="324"/>
        <v>G</v>
      </c>
      <c r="AD375" s="419" t="str">
        <f t="shared" si="324"/>
        <v>Royal Sutton</v>
      </c>
      <c r="AE375" s="419">
        <f>IF(ISNA(MATCH(AC375,N373:N382,0)),0,VLOOKUP(AC375,N373:S382,5,FALSE))</f>
        <v>0</v>
      </c>
      <c r="AF375" s="419" t="str">
        <f>IF(ISNA(MATCH(AC375,T373:T382,0))," ",VLOOKUP(AC375,T373:Y382,5,FALSE))</f>
        <v xml:space="preserve"> </v>
      </c>
      <c r="AG375" s="419">
        <f>IF(ISNA(MATCH(AC375,L373:L380,0)),0,VLOOKUP(AC375,L373:N380,3,FALSE))</f>
        <v>65.2</v>
      </c>
      <c r="AH375" s="419">
        <f>IF(ISNA(MATCH(AC375,R373:R380,0)),0,VLOOKUP(AC375,R373:T380,3,FALSE))</f>
        <v>69.2</v>
      </c>
      <c r="AI375" s="419" t="str">
        <f>IF(ISNA(MATCH(AC375,L373:L380,0)),0,VLOOKUP(AC375,L373:P380,4,FALSE))</f>
        <v>GG</v>
      </c>
      <c r="AJ375" s="419" t="str">
        <f>IF(ISNA(MATCH(AC375,R373:R380,0)),0,VLOOKUP(AC375,R373:U380,4,FALSE))</f>
        <v>G</v>
      </c>
      <c r="AK375" s="32">
        <f t="shared" si="325"/>
        <v>2</v>
      </c>
      <c r="AL375" s="32">
        <f t="shared" si="326"/>
        <v>1</v>
      </c>
      <c r="AM375" s="32">
        <f>IF(ISNA(MATCH(AC375,L373:L380,0)),0,VLOOKUP(AC375,L373:W380,AM$1,FALSE))</f>
        <v>7</v>
      </c>
      <c r="AN375" s="146">
        <f>IF(ISNA(MATCH(AC375,R373:R380,0)),0,VLOOKUP(AC375,R373:W380,AN$1,FALSE))</f>
        <v>8</v>
      </c>
      <c r="AP375" s="927"/>
      <c r="AQ375" s="927"/>
    </row>
    <row r="376" spans="1:47" ht="15.6" x14ac:dyDescent="0.3">
      <c r="A376" s="417">
        <f t="shared" si="327"/>
        <v>334</v>
      </c>
      <c r="B376" s="362" t="str">
        <f>'Event Details'!D$25</f>
        <v>R</v>
      </c>
      <c r="C376" s="381" t="str">
        <f>'Event Details'!E$25</f>
        <v>Rugby &amp; N'hampton</v>
      </c>
      <c r="D376" s="379"/>
      <c r="E376" s="378"/>
      <c r="F376" s="363" t="str">
        <f>VLOOKUP($B372,IF($H372="F",TeamSheetFemale,TeamSheetMale),$Y376-1,FALSE)</f>
        <v>R</v>
      </c>
      <c r="G376" s="380">
        <f>VLOOKUP($B372,IF($H372="F",TeamSheetFemale,TeamSheetMale),$Y376,FALSE)</f>
        <v>0</v>
      </c>
      <c r="H376" s="363" t="str">
        <f>VLOOKUP($B372,IF($H372="F",TeamSheetFemale,TeamSheetMale),$Y376+1,FALSE)</f>
        <v>RR</v>
      </c>
      <c r="I376" s="364">
        <f>VLOOKUP($B372,IF($H372="F",TeamSheetFemale,TeamSheetMale),$Y376+2,FALSE)</f>
        <v>0</v>
      </c>
      <c r="K376" s="341" t="s">
        <v>274</v>
      </c>
      <c r="L376" s="16" t="str">
        <f t="shared" si="320"/>
        <v/>
      </c>
      <c r="M376" s="927"/>
      <c r="N376" s="927"/>
      <c r="O376" s="354" t="str">
        <f>IF(LEN($M376)=1,VLOOKUP(LEFT($M376,1),B373:I380,5,FALSE),IF(LEN($M376)=2,VLOOKUP(LEFT($M376,1),B373:I380,7,FALSE),""))</f>
        <v/>
      </c>
      <c r="P376" s="410" t="str">
        <f>IF(LEN($M376)=1,VLOOKUP(LEFT($M376,1),B373:I380,6,FALSE),IF(LEN($M376)=2,VLOOKUP(LEFT($M376,1),B373:I380,8,FALSE),""))</f>
        <v/>
      </c>
      <c r="Q376" s="371" t="s">
        <v>274</v>
      </c>
      <c r="R376" s="146" t="str">
        <f t="shared" si="321"/>
        <v/>
      </c>
      <c r="S376" s="927"/>
      <c r="T376" s="927"/>
      <c r="U376" s="354" t="str">
        <f>IF(LEN($S376)=1,VLOOKUP(LEFT($S376,1),B373:I380,5,FALSE),IF(LEN($S376)=2,VLOOKUP(LEFT($S376,1),B373:I380,7,FALSE),""))</f>
        <v/>
      </c>
      <c r="V376" s="410" t="str">
        <f>IF(LEN($S376)=1,VLOOKUP(LEFT($S376,1),B373:I380,6,FALSE),IF(LEN($S376)=2,VLOOKUP(LEFT($S376,1),B373:I380,8,FALSE),""))</f>
        <v/>
      </c>
      <c r="W376" s="417">
        <f t="shared" si="328"/>
        <v>5</v>
      </c>
      <c r="Y376" s="16">
        <v>22</v>
      </c>
      <c r="Z376" s="16">
        <f t="shared" si="322"/>
        <v>0</v>
      </c>
      <c r="AA376" s="146">
        <f t="shared" si="323"/>
        <v>0</v>
      </c>
      <c r="AC376" s="16" t="str">
        <f t="shared" si="324"/>
        <v>R</v>
      </c>
      <c r="AD376" s="419" t="str">
        <f t="shared" si="324"/>
        <v>Rugby &amp; N'hampton</v>
      </c>
      <c r="AE376" s="419">
        <f>IF(ISNA(MATCH(AC376,N373:N382,0)),0,VLOOKUP(AC376,N373:S382,5,FALSE))</f>
        <v>0</v>
      </c>
      <c r="AF376" s="419" t="str">
        <f>IF(ISNA(MATCH(AC376,T373:T382,0))," ",VLOOKUP(AC376,T373:Y382,5,FALSE))</f>
        <v xml:space="preserve"> </v>
      </c>
      <c r="AG376" s="419">
        <f>IF(ISNA(MATCH(AC376,L373:L380,0)),0,VLOOKUP(AC376,L373:N380,3,FALSE))</f>
        <v>0</v>
      </c>
      <c r="AH376" s="419">
        <f>IF(ISNA(MATCH(AC376,R373:R380,0)),0,VLOOKUP(AC376,R373:T380,3,FALSE))</f>
        <v>0</v>
      </c>
      <c r="AI376" s="419">
        <f>IF(ISNA(MATCH(AC376,L373:L380,0)),0,VLOOKUP(AC376,L373:P380,4,FALSE))</f>
        <v>0</v>
      </c>
      <c r="AJ376" s="419">
        <f>IF(ISNA(MATCH(AC376,R373:R380,0)),0,VLOOKUP(AC376,R373:U380,4,FALSE))</f>
        <v>0</v>
      </c>
      <c r="AK376" s="32">
        <f t="shared" si="325"/>
        <v>0</v>
      </c>
      <c r="AL376" s="32">
        <f t="shared" si="326"/>
        <v>0</v>
      </c>
      <c r="AM376" s="32">
        <f>IF(ISNA(MATCH(AC376,L373:L380,0)),0,VLOOKUP(AC376,L373:W380,AM$1,FALSE))</f>
        <v>0</v>
      </c>
      <c r="AN376" s="146">
        <f>IF(ISNA(MATCH(AC376,R373:R380,0)),0,VLOOKUP(AC376,R373:W380,AN$1,FALSE))</f>
        <v>0</v>
      </c>
      <c r="AP376" s="927"/>
      <c r="AQ376" s="927"/>
    </row>
    <row r="377" spans="1:47" ht="15.6" x14ac:dyDescent="0.3">
      <c r="A377" s="417">
        <f t="shared" si="327"/>
        <v>335</v>
      </c>
      <c r="B377" s="362" t="str">
        <f>'Event Details'!D$26</f>
        <v>M</v>
      </c>
      <c r="C377" s="381" t="str">
        <f>'Event Details'!E$26</f>
        <v>Solihull &amp; S.Heath</v>
      </c>
      <c r="D377" s="379"/>
      <c r="E377" s="378"/>
      <c r="F377" s="363">
        <f>VLOOKUP($B372,IF($H372="F",TeamSheetFemale,TeamSheetMale),$Y377-1,FALSE)</f>
        <v>0</v>
      </c>
      <c r="G377" s="380">
        <f>VLOOKUP($B372,IF($H372="F",TeamSheetFemale,TeamSheetMale),$Y377,FALSE)</f>
        <v>0</v>
      </c>
      <c r="H377" s="363">
        <f>VLOOKUP($B372,IF($H372="F",TeamSheetFemale,TeamSheetMale),$Y377+1,FALSE)</f>
        <v>0</v>
      </c>
      <c r="I377" s="364">
        <f>VLOOKUP($B372,IF($H372="F",TeamSheetFemale,TeamSheetMale),$Y377+2,FALSE)</f>
        <v>0</v>
      </c>
      <c r="K377" s="341" t="s">
        <v>275</v>
      </c>
      <c r="L377" s="16" t="str">
        <f t="shared" si="320"/>
        <v/>
      </c>
      <c r="M377" s="927"/>
      <c r="N377" s="927"/>
      <c r="O377" s="354" t="str">
        <f>IF(LEN($M377)=1,VLOOKUP(LEFT($M377,1),B373:I380,5,FALSE),IF(LEN($M377)=2,VLOOKUP(LEFT($M377,1),B373:I380,7,FALSE),""))</f>
        <v/>
      </c>
      <c r="P377" s="410" t="str">
        <f>IF(LEN($M377)=1,VLOOKUP(LEFT($M377,1),B373:I380,6,FALSE),IF(LEN($M377)=2,VLOOKUP(LEFT($M377,1),B373:I380,8,FALSE),""))</f>
        <v/>
      </c>
      <c r="Q377" s="371" t="s">
        <v>275</v>
      </c>
      <c r="R377" s="146" t="str">
        <f t="shared" si="321"/>
        <v/>
      </c>
      <c r="S377" s="927"/>
      <c r="T377" s="927"/>
      <c r="U377" s="354" t="str">
        <f>IF(LEN($S377)=1,VLOOKUP(LEFT($S377,1),B373:I380,5,FALSE),IF(LEN($S377)=2,VLOOKUP(LEFT($S377,1),B373:I380,7,FALSE),""))</f>
        <v/>
      </c>
      <c r="V377" s="410" t="str">
        <f>IF(LEN($S377)=1,VLOOKUP(LEFT($S377,1),B373:I380,6,FALSE),IF(LEN($S377)=2,VLOOKUP(LEFT($S377,1),B373:I380,8,FALSE),""))</f>
        <v/>
      </c>
      <c r="W377" s="417">
        <f t="shared" si="328"/>
        <v>4</v>
      </c>
      <c r="Y377" s="16">
        <v>27</v>
      </c>
      <c r="Z377" s="16">
        <f t="shared" si="322"/>
        <v>0</v>
      </c>
      <c r="AA377" s="146">
        <f t="shared" si="323"/>
        <v>0</v>
      </c>
      <c r="AC377" s="16" t="str">
        <f t="shared" si="324"/>
        <v>M</v>
      </c>
      <c r="AD377" s="419" t="str">
        <f t="shared" si="324"/>
        <v>Solihull &amp; S.Heath</v>
      </c>
      <c r="AE377" s="419">
        <f>IF(ISNA(MATCH(AC377,N373:N382,0)),0,VLOOKUP(AC377,N373:S382,5,FALSE))</f>
        <v>0</v>
      </c>
      <c r="AF377" s="419" t="str">
        <f>IF(ISNA(MATCH(AC377,T373:T382,0))," ",VLOOKUP(AC377,T373:Y382,5,FALSE))</f>
        <v xml:space="preserve"> </v>
      </c>
      <c r="AG377" s="419">
        <f>IF(ISNA(MATCH(AC377,L373:L380,0)),0,VLOOKUP(AC377,L373:N380,3,FALSE))</f>
        <v>0</v>
      </c>
      <c r="AH377" s="419">
        <f>IF(ISNA(MATCH(AC377,R373:R380,0)),0,VLOOKUP(AC377,R373:T380,3,FALSE))</f>
        <v>0</v>
      </c>
      <c r="AI377" s="419">
        <f>IF(ISNA(MATCH(AC377,L373:L380,0)),0,VLOOKUP(AC377,L373:P380,4,FALSE))</f>
        <v>0</v>
      </c>
      <c r="AJ377" s="419">
        <f>IF(ISNA(MATCH(AC377,R373:R380,0)),0,VLOOKUP(AC377,R373:U380,4,FALSE))</f>
        <v>0</v>
      </c>
      <c r="AK377" s="32">
        <f t="shared" si="325"/>
        <v>0</v>
      </c>
      <c r="AL377" s="32">
        <f t="shared" si="326"/>
        <v>0</v>
      </c>
      <c r="AM377" s="32">
        <f>IF(ISNA(MATCH(AC377,L373:L380,0)),0,VLOOKUP(AC377,L373:W380,AM$1,FALSE))</f>
        <v>0</v>
      </c>
      <c r="AN377" s="146">
        <f>IF(ISNA(MATCH(AC377,R373:R380,0)),0,VLOOKUP(AC377,R373:W380,AN$1,FALSE))</f>
        <v>0</v>
      </c>
      <c r="AP377" s="927"/>
      <c r="AQ377" s="927"/>
    </row>
    <row r="378" spans="1:47" ht="15.6" x14ac:dyDescent="0.3">
      <c r="A378" s="417">
        <f t="shared" si="327"/>
        <v>336</v>
      </c>
      <c r="B378" s="362" t="str">
        <f>'Event Details'!D$27</f>
        <v>D</v>
      </c>
      <c r="C378" s="381" t="str">
        <f>'Event Details'!E$27</f>
        <v>Stratford</v>
      </c>
      <c r="D378" s="379"/>
      <c r="E378" s="378"/>
      <c r="F378" s="363" t="str">
        <f>VLOOKUP($B372,IF($H372="F",TeamSheetFemale,TeamSheetMale),$Y378-1,FALSE)</f>
        <v>D</v>
      </c>
      <c r="G378" s="380" t="str">
        <f>VLOOKUP($B372,IF($H372="F",TeamSheetFemale,TeamSheetMale),$Y378,FALSE)</f>
        <v>Ella Smith</v>
      </c>
      <c r="H378" s="363">
        <f>VLOOKUP($B372,IF($H372="F",TeamSheetFemale,TeamSheetMale),$Y378+1,FALSE)</f>
        <v>0</v>
      </c>
      <c r="I378" s="364">
        <f>VLOOKUP($B372,IF($H372="F",TeamSheetFemale,TeamSheetMale),$Y378+2,FALSE)</f>
        <v>0</v>
      </c>
      <c r="K378" s="341" t="s">
        <v>276</v>
      </c>
      <c r="L378" s="16" t="str">
        <f t="shared" si="320"/>
        <v/>
      </c>
      <c r="M378" s="927"/>
      <c r="N378" s="927"/>
      <c r="O378" s="354" t="str">
        <f>IF(LEN($M378)=1,VLOOKUP(LEFT($M378,1),B373:I380,5,FALSE),IF(LEN($M378)=2,VLOOKUP(LEFT($M378,1),B373:I380,7,FALSE),""))</f>
        <v/>
      </c>
      <c r="P378" s="410" t="str">
        <f>IF(LEN($M378)=1,VLOOKUP(LEFT($M378,1),B373:I380,6,FALSE),IF(LEN($M378)=2,VLOOKUP(LEFT($M378,1),B373:I380,8,FALSE),""))</f>
        <v/>
      </c>
      <c r="Q378" s="371" t="s">
        <v>276</v>
      </c>
      <c r="R378" s="146" t="str">
        <f t="shared" si="321"/>
        <v/>
      </c>
      <c r="S378" s="927"/>
      <c r="T378" s="927"/>
      <c r="U378" s="354" t="str">
        <f>IF(LEN($S378)=1,VLOOKUP(LEFT($S378,1),B373:I380,5,FALSE),IF(LEN($S378)=2,VLOOKUP(LEFT($S378,1),B373:I380,7,FALSE),""))</f>
        <v/>
      </c>
      <c r="V378" s="410" t="str">
        <f>IF(LEN($S378)=1,VLOOKUP(LEFT($S378,1),B373:I380,6,FALSE),IF(LEN($S378)=2,VLOOKUP(LEFT($S378,1),B373:I380,8,FALSE),""))</f>
        <v/>
      </c>
      <c r="W378" s="417">
        <f t="shared" si="328"/>
        <v>3</v>
      </c>
      <c r="Y378" s="16">
        <v>32</v>
      </c>
      <c r="Z378" s="16">
        <f t="shared" si="322"/>
        <v>0</v>
      </c>
      <c r="AA378" s="146">
        <f t="shared" si="323"/>
        <v>0</v>
      </c>
      <c r="AC378" s="16" t="str">
        <f t="shared" si="324"/>
        <v>D</v>
      </c>
      <c r="AD378" s="419" t="str">
        <f t="shared" si="324"/>
        <v>Stratford</v>
      </c>
      <c r="AE378" s="419">
        <f>IF(ISNA(MATCH(AC378,N373:N382,0)),0,VLOOKUP(AC378,N373:S382,5,FALSE))</f>
        <v>0</v>
      </c>
      <c r="AF378" s="419" t="str">
        <f>IF(ISNA(MATCH(AC378,T373:T382,0))," ",VLOOKUP(AC378,T373:Y382,5,FALSE))</f>
        <v xml:space="preserve"> </v>
      </c>
      <c r="AG378" s="419">
        <f>IF(ISNA(MATCH(AC378,L373:L380,0)),0,VLOOKUP(AC378,L373:N380,3,FALSE))</f>
        <v>62.7</v>
      </c>
      <c r="AH378" s="419">
        <f>IF(ISNA(MATCH(AC378,R373:R380,0)),0,VLOOKUP(AC378,R373:T380,3,FALSE))</f>
        <v>0</v>
      </c>
      <c r="AI378" s="419" t="str">
        <f>IF(ISNA(MATCH(AC378,L373:L380,0)),0,VLOOKUP(AC378,L373:P380,4,FALSE))</f>
        <v>D</v>
      </c>
      <c r="AJ378" s="419">
        <f>IF(ISNA(MATCH(AC378,R373:R380,0)),0,VLOOKUP(AC378,R373:U380,4,FALSE))</f>
        <v>0</v>
      </c>
      <c r="AK378" s="32">
        <f t="shared" si="325"/>
        <v>1</v>
      </c>
      <c r="AL378" s="32">
        <f t="shared" si="326"/>
        <v>0</v>
      </c>
      <c r="AM378" s="32">
        <f>IF(ISNA(MATCH(AC378,L373:L380,0)),0,VLOOKUP(AC378,L373:W380,AM$1,FALSE))</f>
        <v>8</v>
      </c>
      <c r="AN378" s="146">
        <f>IF(ISNA(MATCH(AC378,R373:R380,0)),0,VLOOKUP(AC378,R373:W380,AN$1,FALSE))</f>
        <v>0</v>
      </c>
      <c r="AP378" s="927"/>
      <c r="AQ378" s="927"/>
    </row>
    <row r="379" spans="1:47" ht="15.6" x14ac:dyDescent="0.3">
      <c r="A379" s="417">
        <f t="shared" si="327"/>
        <v>337</v>
      </c>
      <c r="B379" s="362" t="str">
        <f>'Event Details'!D$28</f>
        <v>F</v>
      </c>
      <c r="C379" s="381" t="str">
        <f>'Event Details'!E$28</f>
        <v>Tamworth</v>
      </c>
      <c r="D379" s="379"/>
      <c r="E379" s="378"/>
      <c r="F379" s="363">
        <f>VLOOKUP($B372,IF($H372="F",TeamSheetFemale,TeamSheetMale),$Y379-1,FALSE)</f>
        <v>0</v>
      </c>
      <c r="G379" s="380">
        <f>VLOOKUP($B372,IF($H372="F",TeamSheetFemale,TeamSheetMale),$Y379,FALSE)</f>
        <v>0</v>
      </c>
      <c r="H379" s="363">
        <f>VLOOKUP($B372,IF($H372="F",TeamSheetFemale,TeamSheetMale),$Y379+1,FALSE)</f>
        <v>0</v>
      </c>
      <c r="I379" s="364">
        <f>VLOOKUP($B372,IF($H372="F",TeamSheetFemale,TeamSheetMale),$Y379+2,FALSE)</f>
        <v>0</v>
      </c>
      <c r="K379" s="341" t="s">
        <v>277</v>
      </c>
      <c r="L379" s="16" t="str">
        <f t="shared" si="320"/>
        <v/>
      </c>
      <c r="M379" s="931"/>
      <c r="N379" s="927"/>
      <c r="O379" s="354" t="str">
        <f>IF(LEN($M379)=1,VLOOKUP(LEFT($M379,1),B373:I380,5,FALSE),IF(LEN($M379)=2,VLOOKUP(LEFT($M379,1),B373:I380,7,FALSE),""))</f>
        <v/>
      </c>
      <c r="P379" s="410" t="str">
        <f>IF(LEN($M379)=1,VLOOKUP(LEFT($M379,1),B373:I380,6,FALSE),IF(LEN($M379)=2,VLOOKUP(LEFT($M379,1),B373:I380,8,FALSE),""))</f>
        <v/>
      </c>
      <c r="Q379" s="371" t="s">
        <v>277</v>
      </c>
      <c r="R379" s="146" t="str">
        <f t="shared" si="321"/>
        <v/>
      </c>
      <c r="S379" s="931"/>
      <c r="T379" s="927"/>
      <c r="U379" s="354" t="str">
        <f>IF(LEN($S379)=1,VLOOKUP(LEFT($S379,1),B373:I380,5,FALSE),IF(LEN($S379)=2,VLOOKUP(LEFT($S379,1),B373:I380,7,FALSE),""))</f>
        <v/>
      </c>
      <c r="V379" s="410" t="str">
        <f>IF(LEN($S379)=1,VLOOKUP(LEFT($S379,1),B373:I380,6,FALSE),IF(LEN($S379)=2,VLOOKUP(LEFT($S379,1),B373:I380,8,FALSE),""))</f>
        <v/>
      </c>
      <c r="W379" s="417">
        <f t="shared" si="328"/>
        <v>2</v>
      </c>
      <c r="Y379" s="16">
        <v>37</v>
      </c>
      <c r="Z379" s="16">
        <f t="shared" si="322"/>
        <v>0</v>
      </c>
      <c r="AA379" s="146">
        <f t="shared" si="323"/>
        <v>0</v>
      </c>
      <c r="AC379" s="16" t="str">
        <f t="shared" si="324"/>
        <v>F</v>
      </c>
      <c r="AD379" s="419" t="str">
        <f t="shared" si="324"/>
        <v>Tamworth</v>
      </c>
      <c r="AE379" s="419">
        <f>IF(ISNA(MATCH(AC379,N371:N380,0)),0,VLOOKUP(AC379,N371:S380,5,FALSE))</f>
        <v>0</v>
      </c>
      <c r="AF379" s="419" t="str">
        <f>IF(ISNA(MATCH(AC379,T371:T380,0))," ",VLOOKUP(AC379,T371:Y380,5,FALSE))</f>
        <v xml:space="preserve"> </v>
      </c>
      <c r="AG379" s="419">
        <f>IF(ISNA(MATCH(AC379,L373:L380,0)),0,VLOOKUP(AC379,L373:N380,3,FALSE))</f>
        <v>0</v>
      </c>
      <c r="AH379" s="419">
        <f>IF(ISNA(MATCH(AC379,R373:R380,0)),0,VLOOKUP(AC379,R373:T380,3,FALSE))</f>
        <v>0</v>
      </c>
      <c r="AI379" s="419">
        <f>IF(ISNA(MATCH(AC379,L373:L380,0)),0,VLOOKUP(AC379,L373:P380,4,FALSE))</f>
        <v>0</v>
      </c>
      <c r="AJ379" s="419">
        <f>IF(ISNA(MATCH(AC379,R373:R380,0)),0,VLOOKUP(AC379,R373:U380,4,FALSE))</f>
        <v>0</v>
      </c>
      <c r="AK379" s="32">
        <f t="shared" si="325"/>
        <v>0</v>
      </c>
      <c r="AL379" s="32">
        <f t="shared" si="326"/>
        <v>0</v>
      </c>
      <c r="AM379" s="32">
        <f>IF(ISNA(MATCH(AC379,L373:L380,0)),0,VLOOKUP(AC379,L373:W380,AM$1,FALSE))</f>
        <v>0</v>
      </c>
      <c r="AN379" s="146">
        <f>IF(ISNA(MATCH(AC379,R373:R380,0)),0,VLOOKUP(AC379,R373:W380,AN$1,FALSE))</f>
        <v>0</v>
      </c>
      <c r="AP379" s="931"/>
      <c r="AQ379" s="927"/>
    </row>
    <row r="380" spans="1:47" ht="16.2" thickBot="1" x14ac:dyDescent="0.35">
      <c r="A380" s="418">
        <f t="shared" si="327"/>
        <v>338</v>
      </c>
      <c r="B380" s="365" t="str">
        <f>'Event Details'!D$29</f>
        <v>Y</v>
      </c>
      <c r="C380" s="366" t="str">
        <f>'Event Details'!E$29</f>
        <v>Worcester</v>
      </c>
      <c r="D380" s="361"/>
      <c r="E380" s="370"/>
      <c r="F380" s="367">
        <f>VLOOKUP($B372,IF($H372="F",TeamSheetFemale,TeamSheetMale),$Y380-1,FALSE)</f>
        <v>0</v>
      </c>
      <c r="G380" s="368">
        <f>VLOOKUP($B372,IF($H372="F",TeamSheetFemale,TeamSheetMale),$Y380,FALSE)</f>
        <v>0</v>
      </c>
      <c r="H380" s="367">
        <f>VLOOKUP($B372,IF($H372="F",TeamSheetFemale,TeamSheetMale),$Y380+1,FALSE)</f>
        <v>0</v>
      </c>
      <c r="I380" s="369">
        <f>VLOOKUP($B372,IF($H372="F",TeamSheetFemale,TeamSheetMale),$Y380+2,FALSE)</f>
        <v>0</v>
      </c>
      <c r="K380" s="346" t="s">
        <v>278</v>
      </c>
      <c r="L380" s="25" t="str">
        <f t="shared" si="320"/>
        <v/>
      </c>
      <c r="M380" s="928"/>
      <c r="N380" s="932"/>
      <c r="O380" s="374" t="str">
        <f>IF(LEN($M380)=1,VLOOKUP(LEFT($M380,1),B373:I380,5,FALSE),IF(LEN($M380)=2,VLOOKUP(LEFT($M380,1),B373:I380,7,FALSE),""))</f>
        <v/>
      </c>
      <c r="P380" s="411" t="str">
        <f>IF(LEN($M380)=1,VLOOKUP(LEFT($M380,1),B373:I380,6,FALSE),IF(LEN($M380)=2,VLOOKUP(LEFT($M380,1),B373:I380,8,FALSE),""))</f>
        <v/>
      </c>
      <c r="Q380" s="407" t="s">
        <v>278</v>
      </c>
      <c r="R380" s="523" t="str">
        <f t="shared" si="321"/>
        <v/>
      </c>
      <c r="S380" s="928"/>
      <c r="T380" s="932"/>
      <c r="U380" s="374" t="str">
        <f>IF(LEN($S380)=1,VLOOKUP(LEFT($S380,1),B373:I380,5,FALSE),IF(LEN($S380)=2,VLOOKUP(LEFT($S380,1),B373:I380,7,FALSE),""))</f>
        <v/>
      </c>
      <c r="V380" s="411" t="str">
        <f>IF(LEN($S380)=1,VLOOKUP(LEFT($S380,1),B373:I380,6,FALSE),IF(LEN($S380)=2,VLOOKUP(LEFT($S380,1),B373:I380,8,FALSE),""))</f>
        <v/>
      </c>
      <c r="W380" s="418">
        <f t="shared" si="328"/>
        <v>1</v>
      </c>
      <c r="Y380" s="25">
        <v>42</v>
      </c>
      <c r="Z380" s="25">
        <f t="shared" si="322"/>
        <v>0</v>
      </c>
      <c r="AA380" s="523">
        <f t="shared" si="323"/>
        <v>0</v>
      </c>
      <c r="AC380" s="25" t="str">
        <f t="shared" si="324"/>
        <v>Y</v>
      </c>
      <c r="AD380" s="624" t="str">
        <f t="shared" si="324"/>
        <v>Worcester</v>
      </c>
      <c r="AE380" s="624">
        <f>IF(ISNA(MATCH(AC380,N372:N381,0)),0,VLOOKUP(AC380,N372:S381,5,FALSE))</f>
        <v>0</v>
      </c>
      <c r="AF380" s="624" t="str">
        <f t="shared" ref="AF380" si="329">IF(ISNA(MATCH(AC380,T372:T381,0))," ",VLOOKUP(AC380,T372:Y381,5,FALSE))</f>
        <v xml:space="preserve"> </v>
      </c>
      <c r="AG380" s="624">
        <f>IF(ISNA(MATCH(AC380,L373:L380,0)),0,VLOOKUP(AC380,L373:N380,3,FALSE))</f>
        <v>0</v>
      </c>
      <c r="AH380" s="624">
        <f>IF(ISNA(MATCH(AC380,R373:R380,0)),0,VLOOKUP(AC380,R373:T380,3,FALSE))</f>
        <v>0</v>
      </c>
      <c r="AI380" s="624">
        <f>IF(ISNA(MATCH(AC380,L373:L380,0)),0,VLOOKUP(AC380,L373:P380,4,FALSE))</f>
        <v>0</v>
      </c>
      <c r="AJ380" s="624">
        <f>IF(ISNA(MATCH(AC380,R373:R380,0)),0,VLOOKUP(AC380,R373:U380,4,FALSE))</f>
        <v>0</v>
      </c>
      <c r="AK380" s="116">
        <f t="shared" si="325"/>
        <v>0</v>
      </c>
      <c r="AL380" s="116">
        <f t="shared" si="326"/>
        <v>0</v>
      </c>
      <c r="AM380" s="116">
        <f>IF(ISNA(MATCH(AC380,L373:L380,0)),0,VLOOKUP(AC380,L373:W380,AM$1,FALSE))</f>
        <v>0</v>
      </c>
      <c r="AN380" s="523">
        <f>IF(ISNA(MATCH(AC380,R373:R380,0)),0,VLOOKUP(AC380,R373:W380,AN$1,FALSE))</f>
        <v>0</v>
      </c>
      <c r="AP380" s="928"/>
      <c r="AQ380" s="932"/>
    </row>
    <row r="381" spans="1:47" ht="15" thickBot="1" x14ac:dyDescent="0.35">
      <c r="M381" s="276"/>
      <c r="N381" s="307"/>
      <c r="S381" s="276"/>
      <c r="T381" s="307"/>
      <c r="AP381" s="276"/>
      <c r="AQ381" s="307"/>
    </row>
    <row r="382" spans="1:47" x14ac:dyDescent="0.3">
      <c r="B382" s="400" t="s">
        <v>258</v>
      </c>
      <c r="C382" s="398"/>
      <c r="D382" s="401" t="s">
        <v>165</v>
      </c>
      <c r="E382" s="398"/>
      <c r="F382" s="398"/>
      <c r="G382" s="402" t="s">
        <v>259</v>
      </c>
      <c r="H382" s="403" t="s">
        <v>249</v>
      </c>
      <c r="I382" s="404" t="s">
        <v>168</v>
      </c>
      <c r="K382" s="360"/>
      <c r="L382" s="661"/>
      <c r="M382" s="387" t="s">
        <v>260</v>
      </c>
      <c r="N382" s="387" t="s">
        <v>261</v>
      </c>
      <c r="O382" s="387" t="s">
        <v>262</v>
      </c>
      <c r="P382" s="388" t="s">
        <v>75</v>
      </c>
      <c r="Q382" s="389"/>
      <c r="R382" s="657"/>
      <c r="S382" s="387" t="s">
        <v>260</v>
      </c>
      <c r="T382" s="387" t="s">
        <v>261</v>
      </c>
      <c r="U382" s="387" t="s">
        <v>262</v>
      </c>
      <c r="V382" s="388" t="s">
        <v>75</v>
      </c>
      <c r="W382" s="672" t="s">
        <v>76</v>
      </c>
      <c r="Y382" s="414" t="s">
        <v>263</v>
      </c>
      <c r="Z382" s="656" t="s">
        <v>74</v>
      </c>
      <c r="AA382" s="657" t="s">
        <v>75</v>
      </c>
      <c r="AC382" s="665" t="s">
        <v>71</v>
      </c>
      <c r="AD382" s="657" t="s">
        <v>86</v>
      </c>
      <c r="AE382" s="661" t="s">
        <v>149</v>
      </c>
      <c r="AF382" s="661" t="s">
        <v>94</v>
      </c>
      <c r="AG382" s="661" t="s">
        <v>149</v>
      </c>
      <c r="AH382" s="661" t="s">
        <v>94</v>
      </c>
      <c r="AI382" s="661" t="s">
        <v>149</v>
      </c>
      <c r="AJ382" s="661" t="s">
        <v>94</v>
      </c>
      <c r="AK382" s="1332" t="s">
        <v>149</v>
      </c>
      <c r="AL382" s="661" t="s">
        <v>94</v>
      </c>
      <c r="AM382" s="1406" t="s">
        <v>76</v>
      </c>
      <c r="AN382" s="1407"/>
      <c r="AP382" s="387" t="s">
        <v>260</v>
      </c>
      <c r="AQ382" s="387" t="s">
        <v>261</v>
      </c>
      <c r="AS382" s="1218" t="s">
        <v>165</v>
      </c>
      <c r="AT382" s="1219" t="s">
        <v>79</v>
      </c>
      <c r="AU382" s="1220" t="s">
        <v>80</v>
      </c>
    </row>
    <row r="383" spans="1:47" ht="15" thickBot="1" x14ac:dyDescent="0.35">
      <c r="B383" s="405">
        <v>34</v>
      </c>
      <c r="C383" s="399"/>
      <c r="D383" s="385" t="str">
        <f>VLOOKUP($B383,EventOrder,6,FALSE)</f>
        <v xml:space="preserve">600m </v>
      </c>
      <c r="E383" s="399"/>
      <c r="F383" s="385"/>
      <c r="G383" s="386" t="str">
        <f>VLOOKUP($B383,EventOrder,4,FALSE)</f>
        <v>U12 Male</v>
      </c>
      <c r="H383" s="396" t="str">
        <f>IF(MID(G383,5,1)="F","F","M")</f>
        <v>M</v>
      </c>
      <c r="I383" s="397">
        <f>VLOOKUP($B383,EventOrder,2,FALSE)</f>
        <v>2</v>
      </c>
      <c r="K383" s="377"/>
      <c r="L383" s="667" t="s">
        <v>149</v>
      </c>
      <c r="M383" s="409" t="s">
        <v>264</v>
      </c>
      <c r="N383" s="409" t="s">
        <v>265</v>
      </c>
      <c r="O383" s="390" t="s">
        <v>266</v>
      </c>
      <c r="P383" s="391"/>
      <c r="Q383" s="392"/>
      <c r="R383" s="659" t="s">
        <v>94</v>
      </c>
      <c r="S383" s="409" t="s">
        <v>264</v>
      </c>
      <c r="T383" s="409" t="s">
        <v>265</v>
      </c>
      <c r="U383" s="390" t="s">
        <v>266</v>
      </c>
      <c r="V383" s="391"/>
      <c r="W383" s="671"/>
      <c r="Y383" s="415" t="s">
        <v>167</v>
      </c>
      <c r="Z383" s="658" t="s">
        <v>149</v>
      </c>
      <c r="AA383" s="659" t="s">
        <v>94</v>
      </c>
      <c r="AC383" s="666"/>
      <c r="AD383" s="668"/>
      <c r="AE383" s="768" t="s">
        <v>75</v>
      </c>
      <c r="AF383" s="768" t="s">
        <v>75</v>
      </c>
      <c r="AG383" s="768" t="s">
        <v>267</v>
      </c>
      <c r="AH383" s="768" t="s">
        <v>267</v>
      </c>
      <c r="AI383" s="768" t="s">
        <v>268</v>
      </c>
      <c r="AJ383" s="768" t="s">
        <v>268</v>
      </c>
      <c r="AK383" s="770" t="s">
        <v>269</v>
      </c>
      <c r="AL383" s="768" t="s">
        <v>269</v>
      </c>
      <c r="AM383" s="667" t="s">
        <v>149</v>
      </c>
      <c r="AN383" s="659" t="s">
        <v>94</v>
      </c>
      <c r="AP383" s="409" t="s">
        <v>264</v>
      </c>
      <c r="AQ383" s="409" t="s">
        <v>265</v>
      </c>
      <c r="AS383" s="1221" t="s">
        <v>270</v>
      </c>
      <c r="AT383" s="1222" t="s">
        <v>270</v>
      </c>
      <c r="AU383" s="1223" t="s">
        <v>270</v>
      </c>
    </row>
    <row r="384" spans="1:47" ht="15.6" x14ac:dyDescent="0.3">
      <c r="A384" s="416">
        <f>(B383*10)+1</f>
        <v>341</v>
      </c>
      <c r="B384" s="362" t="str">
        <f>'Event Details'!D$22</f>
        <v>S</v>
      </c>
      <c r="C384" s="381" t="str">
        <f>'Event Details'!E$22</f>
        <v>BRAT</v>
      </c>
      <c r="D384" s="379"/>
      <c r="E384" s="378"/>
      <c r="F384" s="363" t="str">
        <f>VLOOKUP($B383,IF($H383="F",TeamSheetFemale,TeamSheetMale),$Y384-1,FALSE)</f>
        <v>S</v>
      </c>
      <c r="G384" s="380" t="str">
        <f>VLOOKUP($B383,IF($H383="F",TeamSheetFemale,TeamSheetMale),$Y384,FALSE)</f>
        <v>Zachary Asanga</v>
      </c>
      <c r="H384" s="363" t="str">
        <f>VLOOKUP($B383,IF($H383="F",TeamSheetFemale,TeamSheetMale),$Y384+1,FALSE)</f>
        <v>SS</v>
      </c>
      <c r="I384" s="364" t="str">
        <f>VLOOKUP($B383,IF($H383="F",TeamSheetFemale,TeamSheetMale),$Y384+2,FALSE)</f>
        <v xml:space="preserve">Logan Pearce </v>
      </c>
      <c r="K384" s="393" t="s">
        <v>271</v>
      </c>
      <c r="L384" s="16" t="str">
        <f t="shared" ref="L384:L391" si="330">LEFT(M384,1)</f>
        <v>S</v>
      </c>
      <c r="M384" s="926" t="s">
        <v>100</v>
      </c>
      <c r="N384" s="926" t="s">
        <v>1060</v>
      </c>
      <c r="O384" s="394" t="str">
        <f>IF(LEN($M384)=1,VLOOKUP(LEFT($M384,1),B384:I391,5,FALSE),IF(LEN($M384)=2,VLOOKUP(LEFT($M384,1),B384:I391,7,FALSE),""))</f>
        <v>S</v>
      </c>
      <c r="P384" s="395" t="str">
        <f>IF(LEN($M384)=1,VLOOKUP(LEFT($M384,1),B384:I391,6,FALSE),IF(LEN($M384)=2,VLOOKUP(LEFT($M384,1),B384:I391,8,FALSE),""))</f>
        <v>Zachary Asanga</v>
      </c>
      <c r="Q384" s="393" t="s">
        <v>271</v>
      </c>
      <c r="R384" s="146" t="str">
        <f t="shared" ref="R384:R391" si="331">LEFT(S384,1)</f>
        <v>S</v>
      </c>
      <c r="S384" s="926" t="s">
        <v>818</v>
      </c>
      <c r="T384" s="926" t="s">
        <v>1067</v>
      </c>
      <c r="U384" s="394" t="str">
        <f>IF(LEN($S384)=1,VLOOKUP(LEFT($S384,1),B384:I391,5,FALSE),IF(LEN($S384)=2,VLOOKUP(LEFT($S384,1),B384:I391,7,FALSE),""))</f>
        <v>SS</v>
      </c>
      <c r="V384" s="395" t="str">
        <f>IF(LEN($S384)=1,VLOOKUP(LEFT($S384,1),B384:I391,6,FALSE),IF(LEN($S384)=2,VLOOKUP(LEFT($S384,1),B384:I391,8,FALSE),""))</f>
        <v xml:space="preserve">Logan Pearce </v>
      </c>
      <c r="W384" s="417">
        <f>AN$6</f>
        <v>8</v>
      </c>
      <c r="Y384" s="416">
        <v>7</v>
      </c>
      <c r="Z384" s="653" t="str">
        <f t="shared" ref="Z384:Z391" si="332">IF(LEN(M384)&gt;0,VLOOKUP(LEFT(M384,1),ShortName,5,FALSE),0)</f>
        <v>BRAT</v>
      </c>
      <c r="AA384" s="138" t="str">
        <f t="shared" ref="AA384:AA391" si="333">IF(LEN(S384)&gt;0,VLOOKUP(LEFT(S384,1),ShortName,5,FALSE),0)</f>
        <v>BRAT</v>
      </c>
      <c r="AC384" s="653" t="str">
        <f t="shared" ref="AC384:AD391" si="334">B384</f>
        <v>S</v>
      </c>
      <c r="AD384" s="635" t="str">
        <f t="shared" si="334"/>
        <v>BRAT</v>
      </c>
      <c r="AE384" s="635">
        <f>IF(ISNA(MATCH(AC384,N384:N393,0)),0,VLOOKUP(AC384,N384:S393,5,FALSE))</f>
        <v>0</v>
      </c>
      <c r="AF384" s="635" t="str">
        <f>IF(ISNA(MATCH(AC384,T384:T393,0))," ",VLOOKUP(AC384,T384:Y393,5,FALSE))</f>
        <v xml:space="preserve"> </v>
      </c>
      <c r="AG384" s="635" t="str">
        <f>IF(ISNA(MATCH(AC384,L384:L391,0)),0,VLOOKUP(AC384,L384:N391,3,FALSE))</f>
        <v>1.47.9</v>
      </c>
      <c r="AH384" s="635" t="str">
        <f>IF(ISNA(MATCH(AC384,R384:R391,0)),0,VLOOKUP(AC384,R384:T391,3,FALSE))</f>
        <v>1.52.2</v>
      </c>
      <c r="AI384" s="635" t="str">
        <f>IF(ISNA(MATCH(AC384,L384:L391,0)),0,VLOOKUP(AC384,L384:P391,4,FALSE))</f>
        <v>S</v>
      </c>
      <c r="AJ384" s="635" t="str">
        <f>IF(ISNA(MATCH(AC384,R384:R391,0)),0,VLOOKUP(AC384,R384:U391,4,FALSE))</f>
        <v>SS</v>
      </c>
      <c r="AK384" s="49">
        <f t="shared" ref="AK384:AK391" si="335">IF(AM384=0,0,AN$6-(AM384-1))</f>
        <v>1</v>
      </c>
      <c r="AL384" s="49">
        <f t="shared" ref="AL384:AL391" si="336">IF(AN384=0,0,AN$6-(AN384-1))</f>
        <v>1</v>
      </c>
      <c r="AM384" s="49">
        <f>IF(ISNA(MATCH(AC384,L384:L391,0)),0,VLOOKUP(AC384,L384:W391,AM$1,FALSE))</f>
        <v>8</v>
      </c>
      <c r="AN384" s="138">
        <f>IF(ISNA(MATCH(AC384,R384:R391,0)),0,VLOOKUP(AC384,R384:W391,AN$1,FALSE))</f>
        <v>8</v>
      </c>
      <c r="AP384" s="926"/>
      <c r="AQ384" s="926"/>
      <c r="AS384" s="32">
        <f>IF(LEN(N384)&gt;0,1,0)</f>
        <v>1</v>
      </c>
      <c r="AT384" s="32">
        <f>IF(AND(AS384=1,H383="M"),1,0)</f>
        <v>1</v>
      </c>
      <c r="AU384" s="32">
        <f>IF(AND(AS384=1,H383="F"),1,0)</f>
        <v>0</v>
      </c>
    </row>
    <row r="385" spans="1:47" ht="15.6" x14ac:dyDescent="0.3">
      <c r="A385" s="417">
        <f>A384+1</f>
        <v>342</v>
      </c>
      <c r="B385" s="362" t="str">
        <f>'Event Details'!D$23</f>
        <v>U</v>
      </c>
      <c r="C385" s="381" t="str">
        <f>'Event Details'!E$23</f>
        <v>Kidder &amp; Stourport</v>
      </c>
      <c r="D385" s="379"/>
      <c r="E385" s="378"/>
      <c r="F385" s="363" t="str">
        <f>VLOOKUP($B383,IF($H383="F",TeamSheetFemale,TeamSheetMale),$Y385-1,FALSE)</f>
        <v>U</v>
      </c>
      <c r="G385" s="380" t="str">
        <f>VLOOKUP($B383,IF($H383="F",TeamSheetFemale,TeamSheetMale),$Y385,FALSE)</f>
        <v>Ted Bates</v>
      </c>
      <c r="H385" s="363" t="str">
        <f>VLOOKUP($B383,IF($H383="F",TeamSheetFemale,TeamSheetMale),$Y385+1,FALSE)</f>
        <v>UU</v>
      </c>
      <c r="I385" s="364" t="str">
        <f>VLOOKUP($B383,IF($H383="F",TeamSheetFemale,TeamSheetMale),$Y385+2,FALSE)</f>
        <v>Alex Velasquez</v>
      </c>
      <c r="K385" s="341" t="s">
        <v>272</v>
      </c>
      <c r="L385" s="16" t="str">
        <f t="shared" si="330"/>
        <v>U</v>
      </c>
      <c r="M385" s="927" t="s">
        <v>130</v>
      </c>
      <c r="N385" s="927" t="s">
        <v>1061</v>
      </c>
      <c r="O385" s="353" t="str">
        <f>IF(LEN($M385)=1,VLOOKUP(LEFT($M385,1),B384:I391,5,FALSE),IF(LEN($M385)=2,VLOOKUP(LEFT($M385,1),B384:I391,7,FALSE),""))</f>
        <v>U</v>
      </c>
      <c r="P385" s="373" t="str">
        <f>IF(LEN($M385)=1,VLOOKUP(LEFT($M385,1),B384:I391,6,FALSE),IF(LEN($M385)=2,VLOOKUP(LEFT($M385,1),B384:I391,8,FALSE),""))</f>
        <v>Ted Bates</v>
      </c>
      <c r="Q385" s="341" t="s">
        <v>272</v>
      </c>
      <c r="R385" s="146" t="str">
        <f t="shared" si="331"/>
        <v>U</v>
      </c>
      <c r="S385" s="927" t="s">
        <v>726</v>
      </c>
      <c r="T385" s="927" t="s">
        <v>1068</v>
      </c>
      <c r="U385" s="353" t="str">
        <f>IF(LEN($S385)=1,VLOOKUP(LEFT($S385,1),B384:I391,5,FALSE),IF(LEN($S385)=2,VLOOKUP(LEFT($S385,1),B384:I391,7,FALSE),""))</f>
        <v>UU</v>
      </c>
      <c r="V385" s="373" t="str">
        <f>IF(LEN($S385)=1,VLOOKUP(LEFT($S385,1),B384:I391,6,FALSE),IF(LEN($S385)=2,VLOOKUP(LEFT($S385,1),B384:I391,8,FALSE),""))</f>
        <v>Alex Velasquez</v>
      </c>
      <c r="W385" s="417">
        <f>W384-1</f>
        <v>7</v>
      </c>
      <c r="Y385" s="417">
        <v>12</v>
      </c>
      <c r="Z385" s="16" t="str">
        <f t="shared" si="332"/>
        <v>K&amp;S</v>
      </c>
      <c r="AA385" s="146" t="str">
        <f t="shared" si="333"/>
        <v>K&amp;S</v>
      </c>
      <c r="AC385" s="16" t="str">
        <f t="shared" si="334"/>
        <v>U</v>
      </c>
      <c r="AD385" s="419" t="str">
        <f t="shared" si="334"/>
        <v>Kidder &amp; Stourport</v>
      </c>
      <c r="AE385" s="419">
        <f>IF(ISNA(MATCH(AC385,N384:N393,0)),0,VLOOKUP(AC385,N384:S393,5,FALSE))</f>
        <v>0</v>
      </c>
      <c r="AF385" s="419" t="str">
        <f>IF(ISNA(MATCH(AC385,T384:T393,0))," ",VLOOKUP(AC385,T384:Y393,5,FALSE))</f>
        <v xml:space="preserve"> </v>
      </c>
      <c r="AG385" s="419" t="str">
        <f>IF(ISNA(MATCH(AC385,L384:L391,0)),0,VLOOKUP(AC385,L384:N391,3,FALSE))</f>
        <v>1.53.0</v>
      </c>
      <c r="AH385" s="419" t="str">
        <f>IF(ISNA(MATCH(AC385,R384:R391,0)),0,VLOOKUP(AC385,R384:T391,3,FALSE))</f>
        <v>1.55.1</v>
      </c>
      <c r="AI385" s="419" t="str">
        <f>IF(ISNA(MATCH(AC385,L384:L391,0)),0,VLOOKUP(AC385,L384:P391,4,FALSE))</f>
        <v>U</v>
      </c>
      <c r="AJ385" s="419" t="str">
        <f>IF(ISNA(MATCH(AC385,R384:R391,0)),0,VLOOKUP(AC385,R384:U391,4,FALSE))</f>
        <v>UU</v>
      </c>
      <c r="AK385" s="32">
        <f t="shared" si="335"/>
        <v>2</v>
      </c>
      <c r="AL385" s="32">
        <f t="shared" si="336"/>
        <v>2</v>
      </c>
      <c r="AM385" s="32">
        <f>IF(ISNA(MATCH(AC385,L384:L391,0)),0,VLOOKUP(AC385,L384:W391,AM$1,FALSE))</f>
        <v>7</v>
      </c>
      <c r="AN385" s="146">
        <f>IF(ISNA(MATCH(AC385,R384:R391,0)),0,VLOOKUP(AC385,R384:W391,AN$1,FALSE))</f>
        <v>7</v>
      </c>
      <c r="AP385" s="927"/>
      <c r="AQ385" s="927"/>
    </row>
    <row r="386" spans="1:47" ht="15.6" x14ac:dyDescent="0.3">
      <c r="A386" s="417">
        <f t="shared" ref="A386:A391" si="337">A385+1</f>
        <v>343</v>
      </c>
      <c r="B386" s="362" t="str">
        <f>'Event Details'!D$24</f>
        <v>G</v>
      </c>
      <c r="C386" s="381" t="str">
        <f>'Event Details'!E$24</f>
        <v>Royal Sutton</v>
      </c>
      <c r="D386" s="379"/>
      <c r="E386" s="378"/>
      <c r="F386" s="363" t="str">
        <f>VLOOKUP($B383,IF($H383="F",TeamSheetFemale,TeamSheetMale),$Y386-1,FALSE)</f>
        <v>G</v>
      </c>
      <c r="G386" s="380" t="str">
        <f>VLOOKUP($B383,IF($H383="F",TeamSheetFemale,TeamSheetMale),$Y386,FALSE)</f>
        <v>Woody Forrester</v>
      </c>
      <c r="H386" s="363" t="str">
        <f>VLOOKUP($B383,IF($H383="F",TeamSheetFemale,TeamSheetMale),$Y386+1,FALSE)</f>
        <v>GG</v>
      </c>
      <c r="I386" s="364" t="str">
        <f>VLOOKUP($B383,IF($H383="F",TeamSheetFemale,TeamSheetMale),$Y386+2,FALSE)</f>
        <v>Edward Taylor</v>
      </c>
      <c r="K386" s="341" t="s">
        <v>273</v>
      </c>
      <c r="L386" s="16" t="str">
        <f t="shared" si="330"/>
        <v>D</v>
      </c>
      <c r="M386" s="927" t="s">
        <v>136</v>
      </c>
      <c r="N386" s="927" t="s">
        <v>1062</v>
      </c>
      <c r="O386" s="353" t="str">
        <f>IF(LEN($M386)=1,VLOOKUP(LEFT($M386,1),B384:I391,5,FALSE),IF(LEN($M386)=2,VLOOKUP(LEFT($M386,1),B384:I391,7,FALSE),""))</f>
        <v>D</v>
      </c>
      <c r="P386" s="373" t="str">
        <f>IF(LEN($M386)=1,VLOOKUP(LEFT($M386,1),B384:I391,6,FALSE),IF(LEN($M386)=2,VLOOKUP(LEFT($M386,1),B384:I391,8,FALSE),""))</f>
        <v>Henry Yates</v>
      </c>
      <c r="Q386" s="341" t="s">
        <v>273</v>
      </c>
      <c r="R386" s="146" t="str">
        <f t="shared" si="331"/>
        <v>R</v>
      </c>
      <c r="S386" s="927" t="s">
        <v>118</v>
      </c>
      <c r="T386" s="927" t="s">
        <v>1012</v>
      </c>
      <c r="U386" s="353" t="str">
        <f>IF(LEN($S386)=1,VLOOKUP(LEFT($S386,1),B384:I391,5,FALSE),IF(LEN($S386)=2,VLOOKUP(LEFT($S386,1),B384:I391,7,FALSE),""))</f>
        <v>R</v>
      </c>
      <c r="V386" s="373" t="str">
        <f>IF(LEN($S386)=1,VLOOKUP(LEFT($S386,1),B384:I391,6,FALSE),IF(LEN($S386)=2,VLOOKUP(LEFT($S386,1),B384:I391,8,FALSE),""))</f>
        <v>Edward Allen</v>
      </c>
      <c r="W386" s="417">
        <f t="shared" ref="W386:W391" si="338">W385-1</f>
        <v>6</v>
      </c>
      <c r="Y386" s="417">
        <v>17</v>
      </c>
      <c r="Z386" s="16" t="str">
        <f t="shared" si="332"/>
        <v>Strat</v>
      </c>
      <c r="AA386" s="146" t="str">
        <f t="shared" si="333"/>
        <v>Rugby</v>
      </c>
      <c r="AB386" s="32"/>
      <c r="AC386" s="16" t="str">
        <f t="shared" si="334"/>
        <v>G</v>
      </c>
      <c r="AD386" s="419" t="str">
        <f t="shared" si="334"/>
        <v>Royal Sutton</v>
      </c>
      <c r="AE386" s="419">
        <f>IF(ISNA(MATCH(AC386,N384:N393,0)),0,VLOOKUP(AC386,N384:S393,5,FALSE))</f>
        <v>0</v>
      </c>
      <c r="AF386" s="419" t="str">
        <f>IF(ISNA(MATCH(AC386,T384:T393,0))," ",VLOOKUP(AC386,T384:Y393,5,FALSE))</f>
        <v xml:space="preserve"> </v>
      </c>
      <c r="AG386" s="419" t="str">
        <f>IF(ISNA(MATCH(AC386,L384:L391,0)),0,VLOOKUP(AC386,L384:N391,3,FALSE))</f>
        <v>1.56.5</v>
      </c>
      <c r="AH386" s="419" t="str">
        <f>IF(ISNA(MATCH(AC386,R384:R391,0)),0,VLOOKUP(AC386,R384:T391,3,FALSE))</f>
        <v>2.08.4</v>
      </c>
      <c r="AI386" s="419" t="str">
        <f>IF(ISNA(MATCH(AC386,L384:L391,0)),0,VLOOKUP(AC386,L384:P391,4,FALSE))</f>
        <v>G</v>
      </c>
      <c r="AJ386" s="419" t="str">
        <f>IF(ISNA(MATCH(AC386,R384:R391,0)),0,VLOOKUP(AC386,R384:U391,4,FALSE))</f>
        <v>GG</v>
      </c>
      <c r="AK386" s="32">
        <f t="shared" si="335"/>
        <v>4</v>
      </c>
      <c r="AL386" s="32">
        <f t="shared" si="336"/>
        <v>5</v>
      </c>
      <c r="AM386" s="32">
        <f>IF(ISNA(MATCH(AC386,L384:L391,0)),0,VLOOKUP(AC386,L384:W391,AM$1,FALSE))</f>
        <v>5</v>
      </c>
      <c r="AN386" s="146">
        <f>IF(ISNA(MATCH(AC386,R384:R391,0)),0,VLOOKUP(AC386,R384:W391,AN$1,FALSE))</f>
        <v>4</v>
      </c>
      <c r="AP386" s="927"/>
      <c r="AQ386" s="927"/>
    </row>
    <row r="387" spans="1:47" ht="15.6" x14ac:dyDescent="0.3">
      <c r="A387" s="417">
        <f t="shared" si="337"/>
        <v>344</v>
      </c>
      <c r="B387" s="362" t="str">
        <f>'Event Details'!D$25</f>
        <v>R</v>
      </c>
      <c r="C387" s="381" t="str">
        <f>'Event Details'!E$25</f>
        <v>Rugby &amp; N'hampton</v>
      </c>
      <c r="D387" s="379"/>
      <c r="E387" s="378"/>
      <c r="F387" s="363" t="str">
        <f>VLOOKUP($B383,IF($H383="F",TeamSheetFemale,TeamSheetMale),$Y387-1,FALSE)</f>
        <v>R</v>
      </c>
      <c r="G387" s="380" t="str">
        <f>VLOOKUP($B383,IF($H383="F",TeamSheetFemale,TeamSheetMale),$Y387,FALSE)</f>
        <v>Edward Allen</v>
      </c>
      <c r="H387" s="363" t="str">
        <f>VLOOKUP($B383,IF($H383="F",TeamSheetFemale,TeamSheetMale),$Y387+1,FALSE)</f>
        <v>RR</v>
      </c>
      <c r="I387" s="364" t="str">
        <f>VLOOKUP($B383,IF($H383="F",TeamSheetFemale,TeamSheetMale),$Y387+2,FALSE)</f>
        <v>Joshua Jardine</v>
      </c>
      <c r="K387" s="341" t="s">
        <v>274</v>
      </c>
      <c r="L387" s="16" t="str">
        <f t="shared" si="330"/>
        <v>G</v>
      </c>
      <c r="M387" s="927" t="s">
        <v>110</v>
      </c>
      <c r="N387" s="927" t="s">
        <v>1063</v>
      </c>
      <c r="O387" s="353" t="str">
        <f>IF(LEN($M387)=1,VLOOKUP(LEFT($M387,1),B384:I391,5,FALSE),IF(LEN($M387)=2,VLOOKUP(LEFT($M387,1),B384:I391,7,FALSE),""))</f>
        <v>G</v>
      </c>
      <c r="P387" s="373" t="str">
        <f>IF(LEN($M387)=1,VLOOKUP(LEFT($M387,1),B384:I391,6,FALSE),IF(LEN($M387)=2,VLOOKUP(LEFT($M387,1),B384:I391,8,FALSE),""))</f>
        <v>Woody Forrester</v>
      </c>
      <c r="Q387" s="341" t="s">
        <v>274</v>
      </c>
      <c r="R387" s="146" t="str">
        <f t="shared" si="331"/>
        <v>M</v>
      </c>
      <c r="S387" s="927" t="s">
        <v>127</v>
      </c>
      <c r="T387" s="927" t="s">
        <v>1065</v>
      </c>
      <c r="U387" s="353" t="str">
        <f>IF(LEN($S387)=1,VLOOKUP(LEFT($S387,1),B384:I391,5,FALSE),IF(LEN($S387)=2,VLOOKUP(LEFT($S387,1),B384:I391,7,FALSE),""))</f>
        <v>M</v>
      </c>
      <c r="V387" s="373" t="str">
        <f>IF(LEN($S387)=1,VLOOKUP(LEFT($S387,1),B384:I391,6,FALSE),IF(LEN($S387)=2,VLOOKUP(LEFT($S387,1),B384:I391,8,FALSE),""))</f>
        <v>Edison Hughes</v>
      </c>
      <c r="W387" s="417">
        <f t="shared" si="338"/>
        <v>5</v>
      </c>
      <c r="Y387" s="417">
        <v>22</v>
      </c>
      <c r="Z387" s="16" t="str">
        <f t="shared" si="332"/>
        <v>Royal</v>
      </c>
      <c r="AA387" s="146" t="str">
        <f t="shared" si="333"/>
        <v>Sol</v>
      </c>
      <c r="AB387" s="32"/>
      <c r="AC387" s="16" t="str">
        <f t="shared" si="334"/>
        <v>R</v>
      </c>
      <c r="AD387" s="419" t="str">
        <f t="shared" si="334"/>
        <v>Rugby &amp; N'hampton</v>
      </c>
      <c r="AE387" s="419">
        <f>IF(ISNA(MATCH(AC387,N384:N393,0)),0,VLOOKUP(AC387,N384:S393,5,FALSE))</f>
        <v>0</v>
      </c>
      <c r="AF387" s="419" t="str">
        <f>IF(ISNA(MATCH(AC387,T384:T393,0))," ",VLOOKUP(AC387,T384:Y393,5,FALSE))</f>
        <v xml:space="preserve"> </v>
      </c>
      <c r="AG387" s="419" t="str">
        <f>IF(ISNA(MATCH(AC387,L384:L391,0)),0,VLOOKUP(AC387,L384:N391,3,FALSE))</f>
        <v>1.57.2</v>
      </c>
      <c r="AH387" s="419" t="str">
        <f>IF(ISNA(MATCH(AC387,R384:R391,0)),0,VLOOKUP(AC387,R384:T391,3,FALSE))</f>
        <v>2.02.0</v>
      </c>
      <c r="AI387" s="419" t="str">
        <f>IF(ISNA(MATCH(AC387,L384:L391,0)),0,VLOOKUP(AC387,L384:P391,4,FALSE))</f>
        <v>RR</v>
      </c>
      <c r="AJ387" s="419" t="str">
        <f>IF(ISNA(MATCH(AC387,R384:R391,0)),0,VLOOKUP(AC387,R384:U391,4,FALSE))</f>
        <v>R</v>
      </c>
      <c r="AK387" s="32">
        <f t="shared" si="335"/>
        <v>5</v>
      </c>
      <c r="AL387" s="32">
        <f t="shared" si="336"/>
        <v>3</v>
      </c>
      <c r="AM387" s="32">
        <f>IF(ISNA(MATCH(AC387,L384:L391,0)),0,VLOOKUP(AC387,L384:W391,AM$1,FALSE))</f>
        <v>4</v>
      </c>
      <c r="AN387" s="146">
        <f>IF(ISNA(MATCH(AC387,R384:R391,0)),0,VLOOKUP(AC387,R384:W391,AN$1,FALSE))</f>
        <v>6</v>
      </c>
      <c r="AP387" s="927"/>
      <c r="AQ387" s="927"/>
    </row>
    <row r="388" spans="1:47" ht="15.6" x14ac:dyDescent="0.3">
      <c r="A388" s="417">
        <f t="shared" si="337"/>
        <v>345</v>
      </c>
      <c r="B388" s="362" t="str">
        <f>'Event Details'!D$26</f>
        <v>M</v>
      </c>
      <c r="C388" s="381" t="str">
        <f>'Event Details'!E$26</f>
        <v>Solihull &amp; S.Heath</v>
      </c>
      <c r="D388" s="379"/>
      <c r="E388" s="378"/>
      <c r="F388" s="363" t="str">
        <f>VLOOKUP($B383,IF($H383="F",TeamSheetFemale,TeamSheetMale),$Y388-1,FALSE)</f>
        <v>M</v>
      </c>
      <c r="G388" s="380" t="str">
        <f>VLOOKUP($B383,IF($H383="F",TeamSheetFemale,TeamSheetMale),$Y388,FALSE)</f>
        <v>Edison Hughes</v>
      </c>
      <c r="H388" s="363" t="str">
        <f>VLOOKUP($B383,IF($H383="F",TeamSheetFemale,TeamSheetMale),$Y388+1,FALSE)</f>
        <v>MM</v>
      </c>
      <c r="I388" s="364" t="str">
        <f>VLOOKUP($B383,IF($H383="F",TeamSheetFemale,TeamSheetMale),$Y388+2,FALSE)</f>
        <v>Kai Gudmunsen</v>
      </c>
      <c r="K388" s="341" t="s">
        <v>275</v>
      </c>
      <c r="L388" s="16" t="str">
        <f t="shared" si="330"/>
        <v>R</v>
      </c>
      <c r="M388" s="927" t="s">
        <v>819</v>
      </c>
      <c r="N388" s="927" t="s">
        <v>1069</v>
      </c>
      <c r="O388" s="353" t="str">
        <f>IF(LEN($M388)=1,VLOOKUP(LEFT($M388,1),B384:I391,5,FALSE),IF(LEN($M388)=2,VLOOKUP(LEFT($M388,1),B384:I391,7,FALSE),""))</f>
        <v>RR</v>
      </c>
      <c r="P388" s="373" t="str">
        <f>IF(LEN($M388)=1,VLOOKUP(LEFT($M388,1),B384:I391,6,FALSE),IF(LEN($M388)=2,VLOOKUP(LEFT($M388,1),B384:I391,8,FALSE),""))</f>
        <v>Joshua Jardine</v>
      </c>
      <c r="Q388" s="341" t="s">
        <v>275</v>
      </c>
      <c r="R388" s="146" t="str">
        <f t="shared" si="331"/>
        <v>G</v>
      </c>
      <c r="S388" s="927" t="s">
        <v>820</v>
      </c>
      <c r="T388" s="927" t="s">
        <v>1071</v>
      </c>
      <c r="U388" s="353" t="str">
        <f>IF(LEN($S388)=1,VLOOKUP(LEFT($S388,1),B384:I391,5,FALSE),IF(LEN($S388)=2,VLOOKUP(LEFT($S388,1),B384:I391,7,FALSE),""))</f>
        <v>GG</v>
      </c>
      <c r="V388" s="373" t="str">
        <f>IF(LEN($S388)=1,VLOOKUP(LEFT($S388,1),B384:I391,6,FALSE),IF(LEN($S388)=2,VLOOKUP(LEFT($S388,1),B384:I391,8,FALSE),""))</f>
        <v>Edward Taylor</v>
      </c>
      <c r="W388" s="417">
        <f t="shared" si="338"/>
        <v>4</v>
      </c>
      <c r="Y388" s="417">
        <v>27</v>
      </c>
      <c r="Z388" s="16" t="str">
        <f t="shared" si="332"/>
        <v>Rugby</v>
      </c>
      <c r="AA388" s="146" t="str">
        <f t="shared" si="333"/>
        <v>Royal</v>
      </c>
      <c r="AB388" s="32"/>
      <c r="AC388" s="16" t="str">
        <f t="shared" si="334"/>
        <v>M</v>
      </c>
      <c r="AD388" s="419" t="str">
        <f t="shared" si="334"/>
        <v>Solihull &amp; S.Heath</v>
      </c>
      <c r="AE388" s="419">
        <f>IF(ISNA(MATCH(AC388,N384:N393,0)),0,VLOOKUP(AC388,N384:S393,5,FALSE))</f>
        <v>0</v>
      </c>
      <c r="AF388" s="419" t="str">
        <f>IF(ISNA(MATCH(AC388,T384:T393,0))," ",VLOOKUP(AC388,T384:Y393,5,FALSE))</f>
        <v xml:space="preserve"> </v>
      </c>
      <c r="AG388" s="419" t="str">
        <f>IF(ISNA(MATCH(AC388,L384:L391,0)),0,VLOOKUP(AC388,L384:N391,3,FALSE))</f>
        <v>2.00.5</v>
      </c>
      <c r="AH388" s="419" t="str">
        <f>IF(ISNA(MATCH(AC388,R384:R391,0)),0,VLOOKUP(AC388,R384:T391,3,FALSE))</f>
        <v>2.04.0</v>
      </c>
      <c r="AI388" s="419" t="str">
        <f>IF(ISNA(MATCH(AC388,L384:L391,0)),0,VLOOKUP(AC388,L384:P391,4,FALSE))</f>
        <v>MM</v>
      </c>
      <c r="AJ388" s="419" t="str">
        <f>IF(ISNA(MATCH(AC388,R384:R391,0)),0,VLOOKUP(AC388,R384:U391,4,FALSE))</f>
        <v>M</v>
      </c>
      <c r="AK388" s="32">
        <f t="shared" si="335"/>
        <v>6</v>
      </c>
      <c r="AL388" s="32">
        <f t="shared" si="336"/>
        <v>4</v>
      </c>
      <c r="AM388" s="32">
        <f>IF(ISNA(MATCH(AC388,L384:L391,0)),0,VLOOKUP(AC388,L384:W391,AM$1,FALSE))</f>
        <v>3</v>
      </c>
      <c r="AN388" s="146">
        <f>IF(ISNA(MATCH(AC388,R384:R391,0)),0,VLOOKUP(AC388,R384:W391,AN$1,FALSE))</f>
        <v>5</v>
      </c>
      <c r="AP388" s="927"/>
      <c r="AQ388" s="927"/>
    </row>
    <row r="389" spans="1:47" ht="15.6" x14ac:dyDescent="0.3">
      <c r="A389" s="417">
        <f t="shared" si="337"/>
        <v>346</v>
      </c>
      <c r="B389" s="362" t="str">
        <f>'Event Details'!D$27</f>
        <v>D</v>
      </c>
      <c r="C389" s="381" t="str">
        <f>'Event Details'!E$27</f>
        <v>Stratford</v>
      </c>
      <c r="D389" s="379"/>
      <c r="E389" s="378"/>
      <c r="F389" s="363" t="str">
        <f>VLOOKUP($B383,IF($H383="F",TeamSheetFemale,TeamSheetMale),$Y389-1,FALSE)</f>
        <v>D</v>
      </c>
      <c r="G389" s="380" t="str">
        <f>VLOOKUP($B383,IF($H383="F",TeamSheetFemale,TeamSheetMale),$Y389,FALSE)</f>
        <v>Henry Yates</v>
      </c>
      <c r="H389" s="363" t="str">
        <f>VLOOKUP($B383,IF($H383="F",TeamSheetFemale,TeamSheetMale),$Y389+1,FALSE)</f>
        <v>DD</v>
      </c>
      <c r="I389" s="364" t="str">
        <f>VLOOKUP($B383,IF($H383="F",TeamSheetFemale,TeamSheetMale),$Y389+2,FALSE)</f>
        <v>Jacob Thomas</v>
      </c>
      <c r="K389" s="341" t="s">
        <v>276</v>
      </c>
      <c r="L389" s="16" t="str">
        <f t="shared" si="330"/>
        <v>M</v>
      </c>
      <c r="M389" s="927" t="s">
        <v>821</v>
      </c>
      <c r="N389" s="927" t="s">
        <v>1070</v>
      </c>
      <c r="O389" s="353" t="str">
        <f>IF(LEN($M389)=1,VLOOKUP(LEFT($M389,1),B384:I391,5,FALSE),IF(LEN($M389)=2,VLOOKUP(LEFT($M389,1),B384:I391,7,FALSE),""))</f>
        <v>MM</v>
      </c>
      <c r="P389" s="373" t="str">
        <f>IF(LEN($M389)=1,VLOOKUP(LEFT($M389,1),B384:I391,6,FALSE),IF(LEN($M389)=2,VLOOKUP(LEFT($M389,1),B384:I391,8,FALSE),""))</f>
        <v>Kai Gudmunsen</v>
      </c>
      <c r="Q389" s="341" t="s">
        <v>276</v>
      </c>
      <c r="R389" s="146" t="str">
        <f t="shared" si="331"/>
        <v>Y</v>
      </c>
      <c r="S389" s="927" t="s">
        <v>822</v>
      </c>
      <c r="T389" s="927" t="s">
        <v>1072</v>
      </c>
      <c r="U389" s="353" t="str">
        <f>IF(LEN($S389)=1,VLOOKUP(LEFT($S389,1),B384:I391,5,FALSE),IF(LEN($S389)=2,VLOOKUP(LEFT($S389,1),B384:I391,7,FALSE),""))</f>
        <v>YY</v>
      </c>
      <c r="V389" s="373" t="str">
        <f>IF(LEN($S389)=1,VLOOKUP(LEFT($S389,1),B384:I391,6,FALSE),IF(LEN($S389)=2,VLOOKUP(LEFT($S389,1),B384:I391,8,FALSE),""))</f>
        <v>Felix Whakahau</v>
      </c>
      <c r="W389" s="417">
        <f t="shared" si="338"/>
        <v>3</v>
      </c>
      <c r="Y389" s="417">
        <v>32</v>
      </c>
      <c r="Z389" s="16" t="str">
        <f t="shared" si="332"/>
        <v>Sol</v>
      </c>
      <c r="AA389" s="146" t="str">
        <f t="shared" si="333"/>
        <v>Worc</v>
      </c>
      <c r="AB389" s="32"/>
      <c r="AC389" s="16" t="str">
        <f t="shared" si="334"/>
        <v>D</v>
      </c>
      <c r="AD389" s="419" t="str">
        <f t="shared" si="334"/>
        <v>Stratford</v>
      </c>
      <c r="AE389" s="419">
        <f>IF(ISNA(MATCH(AC389,N384:N393,0)),0,VLOOKUP(AC389,N384:S393,5,FALSE))</f>
        <v>0</v>
      </c>
      <c r="AF389" s="419" t="str">
        <f>IF(ISNA(MATCH(AC389,T384:T393,0))," ",VLOOKUP(AC389,T384:Y393,5,FALSE))</f>
        <v xml:space="preserve"> </v>
      </c>
      <c r="AG389" s="419" t="str">
        <f>IF(ISNA(MATCH(AC389,L384:L391,0)),0,VLOOKUP(AC389,L384:N391,3,FALSE))</f>
        <v>1.55.7</v>
      </c>
      <c r="AH389" s="419" t="str">
        <f>IF(ISNA(MATCH(AC389,R384:R391,0)),0,VLOOKUP(AC389,R384:T391,3,FALSE))</f>
        <v>2.11.7</v>
      </c>
      <c r="AI389" s="419" t="str">
        <f>IF(ISNA(MATCH(AC389,L384:L391,0)),0,VLOOKUP(AC389,L384:P391,4,FALSE))</f>
        <v>D</v>
      </c>
      <c r="AJ389" s="419" t="str">
        <f>IF(ISNA(MATCH(AC389,R384:R391,0)),0,VLOOKUP(AC389,R384:U391,4,FALSE))</f>
        <v>DD</v>
      </c>
      <c r="AK389" s="32">
        <f t="shared" si="335"/>
        <v>3</v>
      </c>
      <c r="AL389" s="32">
        <f t="shared" si="336"/>
        <v>7</v>
      </c>
      <c r="AM389" s="32">
        <f>IF(ISNA(MATCH(AC389,L384:L391,0)),0,VLOOKUP(AC389,L384:W391,AM$1,FALSE))</f>
        <v>6</v>
      </c>
      <c r="AN389" s="146">
        <f>IF(ISNA(MATCH(AC389,R384:R391,0)),0,VLOOKUP(AC389,R384:W391,AN$1,FALSE))</f>
        <v>2</v>
      </c>
      <c r="AP389" s="927"/>
      <c r="AQ389" s="927"/>
    </row>
    <row r="390" spans="1:47" ht="15.6" x14ac:dyDescent="0.3">
      <c r="A390" s="417">
        <f t="shared" si="337"/>
        <v>347</v>
      </c>
      <c r="B390" s="362" t="str">
        <f>'Event Details'!D$28</f>
        <v>F</v>
      </c>
      <c r="C390" s="381" t="str">
        <f>'Event Details'!E$28</f>
        <v>Tamworth</v>
      </c>
      <c r="D390" s="379"/>
      <c r="E390" s="378"/>
      <c r="F390" s="363" t="str">
        <f>VLOOKUP($B383,IF($H383="F",TeamSheetFemale,TeamSheetMale),$Y390-1,FALSE)</f>
        <v>F</v>
      </c>
      <c r="G390" s="380" t="str">
        <f>VLOOKUP($B383,IF($H383="F",TeamSheetFemale,TeamSheetMale),$Y390,FALSE)</f>
        <v>Lucas Beggs</v>
      </c>
      <c r="H390" s="363" t="str">
        <f>VLOOKUP($B383,IF($H383="F",TeamSheetFemale,TeamSheetMale),$Y390+1,FALSE)</f>
        <v>FF</v>
      </c>
      <c r="I390" s="364">
        <f>VLOOKUP($B383,IF($H383="F",TeamSheetFemale,TeamSheetMale),$Y390+2,FALSE)</f>
        <v>0</v>
      </c>
      <c r="K390" s="341" t="s">
        <v>277</v>
      </c>
      <c r="L390" s="16" t="str">
        <f t="shared" si="330"/>
        <v>Y</v>
      </c>
      <c r="M390" s="927" t="s">
        <v>151</v>
      </c>
      <c r="N390" s="927" t="s">
        <v>1064</v>
      </c>
      <c r="O390" s="353" t="str">
        <f>IF(LEN($M390)=1,VLOOKUP(LEFT($M390,1),B384:I391,5,FALSE),IF(LEN($M390)=2,VLOOKUP(LEFT($M390,1),B384:I391,7,FALSE),""))</f>
        <v>Y</v>
      </c>
      <c r="P390" s="373" t="str">
        <f>IF(LEN($M390)=1,VLOOKUP(LEFT($M390,1),B384:I391,6,FALSE),IF(LEN($M390)=2,VLOOKUP(LEFT($M390,1),B384:I391,8,FALSE),""))</f>
        <v>Elliot Oldham</v>
      </c>
      <c r="Q390" s="341" t="s">
        <v>277</v>
      </c>
      <c r="R390" s="146" t="str">
        <f t="shared" si="331"/>
        <v>D</v>
      </c>
      <c r="S390" s="927" t="s">
        <v>513</v>
      </c>
      <c r="T390" s="927" t="s">
        <v>1052</v>
      </c>
      <c r="U390" s="353" t="str">
        <f>IF(LEN($S390)=1,VLOOKUP(LEFT($S390,1),B384:I391,5,FALSE),IF(LEN($S390)=2,VLOOKUP(LEFT($S390,1),B384:I391,7,FALSE),""))</f>
        <v>DD</v>
      </c>
      <c r="V390" s="373" t="str">
        <f>IF(LEN($S390)=1,VLOOKUP(LEFT($S390,1),B384:I391,6,FALSE),IF(LEN($S390)=2,VLOOKUP(LEFT($S390,1),B384:I391,8,FALSE),""))</f>
        <v>Jacob Thomas</v>
      </c>
      <c r="W390" s="417">
        <f t="shared" si="338"/>
        <v>2</v>
      </c>
      <c r="Y390" s="417">
        <v>37</v>
      </c>
      <c r="Z390" s="16" t="str">
        <f t="shared" si="332"/>
        <v>Worc</v>
      </c>
      <c r="AA390" s="146" t="str">
        <f t="shared" si="333"/>
        <v>Strat</v>
      </c>
      <c r="AB390" s="32"/>
      <c r="AC390" s="16" t="str">
        <f t="shared" si="334"/>
        <v>F</v>
      </c>
      <c r="AD390" s="419" t="str">
        <f t="shared" si="334"/>
        <v>Tamworth</v>
      </c>
      <c r="AE390" s="419">
        <f>IF(ISNA(MATCH(AC390,N382:N391,0)),0,VLOOKUP(AC390,N382:S391,5,FALSE))</f>
        <v>0</v>
      </c>
      <c r="AF390" s="419" t="str">
        <f>IF(ISNA(MATCH(AC390,T382:T391,0))," ",VLOOKUP(AC390,T382:Y391,5,FALSE))</f>
        <v xml:space="preserve"> </v>
      </c>
      <c r="AG390" s="419" t="str">
        <f>IF(ISNA(MATCH(AC390,L384:L391,0)),0,VLOOKUP(AC390,L384:N391,3,FALSE))</f>
        <v>2.10.1</v>
      </c>
      <c r="AH390" s="419">
        <f>IF(ISNA(MATCH(AC390,R384:R391,0)),0,VLOOKUP(AC390,R384:T391,3,FALSE))</f>
        <v>0</v>
      </c>
      <c r="AI390" s="419" t="str">
        <f>IF(ISNA(MATCH(AC390,L384:L391,0)),0,VLOOKUP(AC390,L384:P391,4,FALSE))</f>
        <v>F</v>
      </c>
      <c r="AJ390" s="419">
        <f>IF(ISNA(MATCH(AC390,R384:R391,0)),0,VLOOKUP(AC390,R384:U391,4,FALSE))</f>
        <v>0</v>
      </c>
      <c r="AK390" s="32">
        <f t="shared" si="335"/>
        <v>8</v>
      </c>
      <c r="AL390" s="32">
        <f t="shared" si="336"/>
        <v>0</v>
      </c>
      <c r="AM390" s="32">
        <f>IF(ISNA(MATCH(AC390,L384:L391,0)),0,VLOOKUP(AC390,L384:W391,AM$1,FALSE))</f>
        <v>1</v>
      </c>
      <c r="AN390" s="146">
        <f>IF(ISNA(MATCH(AC390,R384:R391,0)),0,VLOOKUP(AC390,R384:W391,AN$1,FALSE))</f>
        <v>0</v>
      </c>
      <c r="AP390" s="927"/>
      <c r="AQ390" s="927"/>
    </row>
    <row r="391" spans="1:47" ht="16.2" thickBot="1" x14ac:dyDescent="0.35">
      <c r="A391" s="418">
        <f t="shared" si="337"/>
        <v>348</v>
      </c>
      <c r="B391" s="365" t="str">
        <f>'Event Details'!D$29</f>
        <v>Y</v>
      </c>
      <c r="C391" s="366" t="str">
        <f>'Event Details'!E$29</f>
        <v>Worcester</v>
      </c>
      <c r="D391" s="361"/>
      <c r="E391" s="370"/>
      <c r="F391" s="367" t="str">
        <f>VLOOKUP($B383,IF($H383="F",TeamSheetFemale,TeamSheetMale),$Y391-1,FALSE)</f>
        <v>Y</v>
      </c>
      <c r="G391" s="368" t="str">
        <f>VLOOKUP($B383,IF($H383="F",TeamSheetFemale,TeamSheetMale),$Y391,FALSE)</f>
        <v>Elliot Oldham</v>
      </c>
      <c r="H391" s="367" t="str">
        <f>VLOOKUP($B383,IF($H383="F",TeamSheetFemale,TeamSheetMale),$Y391+1,FALSE)</f>
        <v>YY</v>
      </c>
      <c r="I391" s="369" t="str">
        <f>VLOOKUP($B383,IF($H383="F",TeamSheetFemale,TeamSheetMale),$Y391+2,FALSE)</f>
        <v>Felix Whakahau</v>
      </c>
      <c r="K391" s="346" t="s">
        <v>278</v>
      </c>
      <c r="L391" s="25" t="str">
        <f t="shared" si="330"/>
        <v>F</v>
      </c>
      <c r="M391" s="932" t="s">
        <v>142</v>
      </c>
      <c r="N391" s="932" t="s">
        <v>1066</v>
      </c>
      <c r="O391" s="375" t="str">
        <f>IF(LEN($M391)=1,VLOOKUP(LEFT($M391,1),B384:I391,5,FALSE),IF(LEN($M391)=2,VLOOKUP(LEFT($M391,1),B384:I391,7,FALSE),""))</f>
        <v>F</v>
      </c>
      <c r="P391" s="376" t="str">
        <f>IF(LEN($M391)=1,VLOOKUP(LEFT($M391,1),B384:I391,6,FALSE),IF(LEN($M391)=2,VLOOKUP(LEFT($M391,1),B384:I391,8,FALSE),""))</f>
        <v>Lucas Beggs</v>
      </c>
      <c r="Q391" s="346" t="s">
        <v>278</v>
      </c>
      <c r="R391" s="523" t="str">
        <f t="shared" si="331"/>
        <v/>
      </c>
      <c r="S391" s="932"/>
      <c r="T391" s="932"/>
      <c r="U391" s="375" t="str">
        <f>IF(LEN($S391)=1,VLOOKUP(LEFT($S391,1),B384:I391,5,FALSE),IF(LEN($S391)=2,VLOOKUP(LEFT($S391,1),B384:I391,7,FALSE),""))</f>
        <v/>
      </c>
      <c r="V391" s="376" t="str">
        <f>IF(LEN($S391)=1,VLOOKUP(LEFT($S391,1),B384:I391,6,FALSE),IF(LEN($S391)=2,VLOOKUP(LEFT($S391,1),B384:I391,8,FALSE),""))</f>
        <v/>
      </c>
      <c r="W391" s="418">
        <f t="shared" si="338"/>
        <v>1</v>
      </c>
      <c r="Y391" s="418">
        <v>42</v>
      </c>
      <c r="Z391" s="25" t="str">
        <f t="shared" si="332"/>
        <v>Tam</v>
      </c>
      <c r="AA391" s="523">
        <f t="shared" si="333"/>
        <v>0</v>
      </c>
      <c r="AB391" s="32"/>
      <c r="AC391" s="25" t="str">
        <f t="shared" si="334"/>
        <v>Y</v>
      </c>
      <c r="AD391" s="624" t="str">
        <f t="shared" si="334"/>
        <v>Worcester</v>
      </c>
      <c r="AE391" s="624">
        <f>IF(ISNA(MATCH(AC391,N383:N392,0)),0,VLOOKUP(AC391,N383:S392,5,FALSE))</f>
        <v>0</v>
      </c>
      <c r="AF391" s="624" t="str">
        <f t="shared" ref="AF391" si="339">IF(ISNA(MATCH(AC391,T383:T392,0))," ",VLOOKUP(AC391,T383:Y392,5,FALSE))</f>
        <v xml:space="preserve"> </v>
      </c>
      <c r="AG391" s="624" t="str">
        <f>IF(ISNA(MATCH(AC391,L384:L391,0)),0,VLOOKUP(AC391,L384:N391,3,FALSE))</f>
        <v>2.02.5</v>
      </c>
      <c r="AH391" s="624" t="str">
        <f>IF(ISNA(MATCH(AC391,R384:R391,0)),0,VLOOKUP(AC391,R384:T391,3,FALSE))</f>
        <v>2.10.9</v>
      </c>
      <c r="AI391" s="624" t="str">
        <f>IF(ISNA(MATCH(AC391,L384:L391,0)),0,VLOOKUP(AC391,L384:P391,4,FALSE))</f>
        <v>Y</v>
      </c>
      <c r="AJ391" s="624" t="str">
        <f>IF(ISNA(MATCH(AC391,R384:R391,0)),0,VLOOKUP(AC391,R384:U391,4,FALSE))</f>
        <v>YY</v>
      </c>
      <c r="AK391" s="116">
        <f t="shared" si="335"/>
        <v>7</v>
      </c>
      <c r="AL391" s="116">
        <f t="shared" si="336"/>
        <v>6</v>
      </c>
      <c r="AM391" s="116">
        <f>IF(ISNA(MATCH(AC391,L384:L391,0)),0,VLOOKUP(AC391,L384:W391,AM$1,FALSE))</f>
        <v>2</v>
      </c>
      <c r="AN391" s="523">
        <f>IF(ISNA(MATCH(AC391,R384:R391,0)),0,VLOOKUP(AC391,R384:W391,AN$1,FALSE))</f>
        <v>3</v>
      </c>
      <c r="AP391" s="932"/>
      <c r="AQ391" s="932"/>
    </row>
    <row r="392" spans="1:47" ht="15" thickBot="1" x14ac:dyDescent="0.35">
      <c r="M392" s="276"/>
      <c r="N392" s="307"/>
      <c r="S392" s="276"/>
      <c r="T392" s="307"/>
      <c r="AP392" s="276"/>
      <c r="AQ392" s="307"/>
    </row>
    <row r="393" spans="1:47" x14ac:dyDescent="0.3">
      <c r="B393" s="400" t="s">
        <v>258</v>
      </c>
      <c r="C393" s="398"/>
      <c r="D393" s="401" t="s">
        <v>165</v>
      </c>
      <c r="E393" s="398"/>
      <c r="F393" s="398"/>
      <c r="G393" s="402" t="s">
        <v>259</v>
      </c>
      <c r="H393" s="403" t="s">
        <v>249</v>
      </c>
      <c r="I393" s="404" t="s">
        <v>168</v>
      </c>
      <c r="K393" s="360"/>
      <c r="L393" s="661"/>
      <c r="M393" s="387" t="s">
        <v>260</v>
      </c>
      <c r="N393" s="387" t="s">
        <v>261</v>
      </c>
      <c r="O393" s="387" t="s">
        <v>262</v>
      </c>
      <c r="P393" s="388" t="s">
        <v>75</v>
      </c>
      <c r="Q393" s="412"/>
      <c r="R393" s="657"/>
      <c r="S393" s="387" t="s">
        <v>260</v>
      </c>
      <c r="T393" s="387" t="s">
        <v>261</v>
      </c>
      <c r="U393" s="387" t="s">
        <v>262</v>
      </c>
      <c r="V393" s="388" t="s">
        <v>75</v>
      </c>
      <c r="W393" s="672" t="s">
        <v>76</v>
      </c>
      <c r="Y393" s="654" t="s">
        <v>263</v>
      </c>
      <c r="Z393" s="656" t="s">
        <v>74</v>
      </c>
      <c r="AA393" s="657" t="s">
        <v>75</v>
      </c>
      <c r="AC393" s="665" t="s">
        <v>71</v>
      </c>
      <c r="AD393" s="657" t="s">
        <v>86</v>
      </c>
      <c r="AE393" s="661" t="s">
        <v>149</v>
      </c>
      <c r="AF393" s="661" t="s">
        <v>94</v>
      </c>
      <c r="AG393" s="661" t="s">
        <v>149</v>
      </c>
      <c r="AH393" s="661" t="s">
        <v>94</v>
      </c>
      <c r="AI393" s="661" t="s">
        <v>149</v>
      </c>
      <c r="AJ393" s="661" t="s">
        <v>94</v>
      </c>
      <c r="AK393" s="1332" t="s">
        <v>149</v>
      </c>
      <c r="AL393" s="661" t="s">
        <v>94</v>
      </c>
      <c r="AM393" s="1406" t="s">
        <v>76</v>
      </c>
      <c r="AN393" s="1407"/>
      <c r="AP393" s="387" t="s">
        <v>260</v>
      </c>
      <c r="AQ393" s="387" t="s">
        <v>261</v>
      </c>
      <c r="AS393" s="1218" t="s">
        <v>165</v>
      </c>
      <c r="AT393" s="1219" t="s">
        <v>79</v>
      </c>
      <c r="AU393" s="1220" t="s">
        <v>80</v>
      </c>
    </row>
    <row r="394" spans="1:47" ht="15" thickBot="1" x14ac:dyDescent="0.35">
      <c r="B394" s="405">
        <v>35</v>
      </c>
      <c r="C394" s="399"/>
      <c r="D394" s="385" t="str">
        <f>VLOOKUP($B394,EventOrder,6,FALSE)</f>
        <v xml:space="preserve">Shot (U18) </v>
      </c>
      <c r="E394" s="399"/>
      <c r="F394" s="385"/>
      <c r="G394" s="386" t="str">
        <f>VLOOKUP($B394,EventOrder,4,FALSE)</f>
        <v>U18 Female</v>
      </c>
      <c r="H394" s="396" t="str">
        <f>IF(MID(G394,5,1)="F","F","M")</f>
        <v>F</v>
      </c>
      <c r="I394" s="397">
        <f>VLOOKUP($B394,EventOrder,2,FALSE)</f>
        <v>1.5</v>
      </c>
      <c r="K394" s="372"/>
      <c r="L394" s="667" t="s">
        <v>149</v>
      </c>
      <c r="M394" s="409" t="s">
        <v>264</v>
      </c>
      <c r="N394" s="409" t="s">
        <v>265</v>
      </c>
      <c r="O394" s="409" t="s">
        <v>266</v>
      </c>
      <c r="P394" s="408"/>
      <c r="Q394" s="413"/>
      <c r="R394" s="659" t="s">
        <v>94</v>
      </c>
      <c r="S394" s="409" t="s">
        <v>264</v>
      </c>
      <c r="T394" s="409" t="s">
        <v>265</v>
      </c>
      <c r="U394" s="409" t="s">
        <v>266</v>
      </c>
      <c r="V394" s="408"/>
      <c r="W394" s="671"/>
      <c r="Y394" s="655" t="s">
        <v>167</v>
      </c>
      <c r="Z394" s="658" t="s">
        <v>149</v>
      </c>
      <c r="AA394" s="659" t="s">
        <v>94</v>
      </c>
      <c r="AC394" s="666"/>
      <c r="AD394" s="668"/>
      <c r="AE394" s="768" t="s">
        <v>75</v>
      </c>
      <c r="AF394" s="768" t="s">
        <v>75</v>
      </c>
      <c r="AG394" s="768" t="s">
        <v>267</v>
      </c>
      <c r="AH394" s="768" t="s">
        <v>267</v>
      </c>
      <c r="AI394" s="768" t="s">
        <v>268</v>
      </c>
      <c r="AJ394" s="768" t="s">
        <v>268</v>
      </c>
      <c r="AK394" s="770" t="s">
        <v>269</v>
      </c>
      <c r="AL394" s="768" t="s">
        <v>269</v>
      </c>
      <c r="AM394" s="667" t="s">
        <v>149</v>
      </c>
      <c r="AN394" s="659" t="s">
        <v>94</v>
      </c>
      <c r="AP394" s="409" t="s">
        <v>264</v>
      </c>
      <c r="AQ394" s="409" t="s">
        <v>265</v>
      </c>
      <c r="AS394" s="1221" t="s">
        <v>270</v>
      </c>
      <c r="AT394" s="1222" t="s">
        <v>270</v>
      </c>
      <c r="AU394" s="1223" t="s">
        <v>270</v>
      </c>
    </row>
    <row r="395" spans="1:47" ht="15.6" x14ac:dyDescent="0.3">
      <c r="A395" s="416">
        <f>(B394*10)+1</f>
        <v>351</v>
      </c>
      <c r="B395" s="362" t="str">
        <f>'Event Details'!D$22</f>
        <v>S</v>
      </c>
      <c r="C395" s="381" t="str">
        <f>'Event Details'!E$22</f>
        <v>BRAT</v>
      </c>
      <c r="D395" s="379"/>
      <c r="E395" s="378"/>
      <c r="F395" s="363" t="str">
        <f>VLOOKUP($B394,IF($H394="F",TeamSheetFemale,TeamSheetMale),$Y395-1,FALSE)</f>
        <v>S</v>
      </c>
      <c r="G395" s="380" t="str">
        <f>VLOOKUP($B394,IF($H394="F",TeamSheetFemale,TeamSheetMale),$Y395,FALSE)</f>
        <v xml:space="preserve">Hephzibah Emmanuel Kokoh </v>
      </c>
      <c r="H395" s="363" t="str">
        <f>VLOOKUP($B394,IF($H394="F",TeamSheetFemale,TeamSheetMale),$Y395+1,FALSE)</f>
        <v>SS</v>
      </c>
      <c r="I395" s="364" t="str">
        <f>VLOOKUP($B394,IF($H394="F",TeamSheetFemale,TeamSheetMale),$Y395+2,FALSE)</f>
        <v xml:space="preserve">Daniella Anozie </v>
      </c>
      <c r="K395" s="393" t="s">
        <v>271</v>
      </c>
      <c r="L395" s="16" t="str">
        <f t="shared" ref="L395:L402" si="340">LEFT(M395,1)</f>
        <v>U</v>
      </c>
      <c r="M395" s="926" t="s">
        <v>130</v>
      </c>
      <c r="N395" s="926">
        <v>10.130000000000001</v>
      </c>
      <c r="O395" s="394" t="str">
        <f>IF(LEN($M395)=1,VLOOKUP(LEFT($M395,1),B395:I402,5,FALSE),IF(LEN($M395)=2,VLOOKUP(LEFT($M395,1),B395:I402,7,FALSE),""))</f>
        <v>U</v>
      </c>
      <c r="P395" s="395" t="str">
        <f>IF(LEN($M395)=1,VLOOKUP(LEFT($M395,1),B395:I402,6,FALSE),IF(LEN($M395)=2,VLOOKUP(LEFT($M395,1),B395:I402,8,FALSE),""))</f>
        <v>Emma Ross</v>
      </c>
      <c r="Q395" s="406" t="s">
        <v>271</v>
      </c>
      <c r="R395" s="146" t="str">
        <f t="shared" ref="R395:R402" si="341">LEFT(S395,1)</f>
        <v>U</v>
      </c>
      <c r="S395" s="926" t="s">
        <v>726</v>
      </c>
      <c r="T395" s="926">
        <v>7.74</v>
      </c>
      <c r="U395" s="394" t="str">
        <f>IF(LEN($S395)=1,VLOOKUP(LEFT($S395,1),B395:I402,5,FALSE),IF(LEN($S395)=2,VLOOKUP(LEFT($S395,1),B395:I402,7,FALSE),""))</f>
        <v>UU</v>
      </c>
      <c r="V395" s="395" t="str">
        <f>IF(LEN($S395)=1,VLOOKUP(LEFT($S395,1),B395:I402,6,FALSE),IF(LEN($S395)=2,VLOOKUP(LEFT($S395,1),B395:I402,8,FALSE),""))</f>
        <v>Jessika Shelley</v>
      </c>
      <c r="W395" s="417">
        <f>AN$6</f>
        <v>8</v>
      </c>
      <c r="Y395" s="653">
        <v>7</v>
      </c>
      <c r="Z395" s="653" t="str">
        <f t="shared" ref="Z395:Z402" si="342">IF(LEN(M395)&gt;0,VLOOKUP(LEFT(M395,1),ShortName,5,FALSE),0)</f>
        <v>K&amp;S</v>
      </c>
      <c r="AA395" s="138" t="str">
        <f t="shared" ref="AA395:AA402" si="343">IF(LEN(S395)&gt;0,VLOOKUP(LEFT(S395,1),ShortName,5,FALSE),0)</f>
        <v>K&amp;S</v>
      </c>
      <c r="AC395" s="16" t="str">
        <f t="shared" ref="AC395:AD402" si="344">B395</f>
        <v>S</v>
      </c>
      <c r="AD395" s="419" t="str">
        <f t="shared" si="344"/>
        <v>BRAT</v>
      </c>
      <c r="AE395" s="635">
        <f>IF(ISNA(MATCH(AC395,N395:N404,0)),0,VLOOKUP(AC395,N395:S404,5,FALSE))</f>
        <v>0</v>
      </c>
      <c r="AF395" s="635" t="str">
        <f>IF(ISNA(MATCH(AC395,T395:T404,0))," ",VLOOKUP(AC395,T395:Y404,5,FALSE))</f>
        <v xml:space="preserve"> </v>
      </c>
      <c r="AG395" s="635">
        <f>IF(ISNA(MATCH(AC395,L395:L402,0)),0,VLOOKUP(AC395,L395:N402,3,FALSE))</f>
        <v>9.0500000000000007</v>
      </c>
      <c r="AH395" s="635">
        <f>IF(ISNA(MATCH(AC395,R395:R402,0)),0,VLOOKUP(AC395,R395:T402,3,FALSE))</f>
        <v>7.23</v>
      </c>
      <c r="AI395" s="635" t="str">
        <f>IF(ISNA(MATCH(AC395,L395:L402,0)),0,VLOOKUP(AC395,L395:P402,4,FALSE))</f>
        <v>S</v>
      </c>
      <c r="AJ395" s="635" t="str">
        <f>IF(ISNA(MATCH(AC395,R395:R402,0)),0,VLOOKUP(AC395,R395:U402,4,FALSE))</f>
        <v>SS</v>
      </c>
      <c r="AK395" s="49">
        <f t="shared" ref="AK395:AK402" si="345">IF(AM395=0,0,AN$6-(AM395-1))</f>
        <v>3</v>
      </c>
      <c r="AL395" s="49">
        <f t="shared" ref="AL395:AL402" si="346">IF(AN395=0,0,AN$6-(AN395-1))</f>
        <v>2</v>
      </c>
      <c r="AM395" s="49">
        <f>IF(ISNA(MATCH(AC395,L395:L402,0)),0,VLOOKUP(AC395,L395:W402,AM$1,FALSE))</f>
        <v>6</v>
      </c>
      <c r="AN395" s="138">
        <f>IF(ISNA(MATCH(AC395,R395:R402,0)),0,VLOOKUP(AC395,R395:W402,AN$1,FALSE))</f>
        <v>7</v>
      </c>
      <c r="AP395" s="926"/>
      <c r="AQ395" s="926"/>
      <c r="AS395" s="32">
        <f>IF(LEN(N395)&gt;0,1,0)</f>
        <v>1</v>
      </c>
      <c r="AT395" s="32">
        <f>IF(AND(AS395=1,H394="M"),1,0)</f>
        <v>0</v>
      </c>
      <c r="AU395" s="32">
        <f>IF(AND(AS395=1,H394="F"),1,0)</f>
        <v>1</v>
      </c>
    </row>
    <row r="396" spans="1:47" ht="15.6" x14ac:dyDescent="0.3">
      <c r="A396" s="417">
        <f>A395+1</f>
        <v>352</v>
      </c>
      <c r="B396" s="362" t="str">
        <f>'Event Details'!D$23</f>
        <v>U</v>
      </c>
      <c r="C396" s="381" t="str">
        <f>'Event Details'!E$23</f>
        <v>Kidder &amp; Stourport</v>
      </c>
      <c r="D396" s="379"/>
      <c r="E396" s="378"/>
      <c r="F396" s="363" t="str">
        <f>VLOOKUP($B394,IF($H394="F",TeamSheetFemale,TeamSheetMale),$Y396-1,FALSE)</f>
        <v>U</v>
      </c>
      <c r="G396" s="380" t="str">
        <f>VLOOKUP($B394,IF($H394="F",TeamSheetFemale,TeamSheetMale),$Y396,FALSE)</f>
        <v>Emma Ross</v>
      </c>
      <c r="H396" s="363" t="str">
        <f>VLOOKUP($B394,IF($H394="F",TeamSheetFemale,TeamSheetMale),$Y396+1,FALSE)</f>
        <v>UU</v>
      </c>
      <c r="I396" s="364" t="str">
        <f>VLOOKUP($B394,IF($H394="F",TeamSheetFemale,TeamSheetMale),$Y396+2,FALSE)</f>
        <v>Jessika Shelley</v>
      </c>
      <c r="K396" s="341" t="s">
        <v>272</v>
      </c>
      <c r="L396" s="16" t="str">
        <f t="shared" si="340"/>
        <v>R</v>
      </c>
      <c r="M396" s="927" t="s">
        <v>118</v>
      </c>
      <c r="N396" s="927">
        <v>9.33</v>
      </c>
      <c r="O396" s="354" t="str">
        <f>IF(LEN($M396)=1,VLOOKUP(LEFT($M396,1),B395:I402,5,FALSE),IF(LEN($M396)=2,VLOOKUP(LEFT($M396,1),B395:I402,7,FALSE),""))</f>
        <v>R</v>
      </c>
      <c r="P396" s="410" t="str">
        <f>IF(LEN($M396)=1,VLOOKUP(LEFT($M396,1),B395:I402,6,FALSE),IF(LEN($M396)=2,VLOOKUP(LEFT($M396,1),B395:I402,8,FALSE),""))</f>
        <v>Grace O'Malley</v>
      </c>
      <c r="Q396" s="371" t="s">
        <v>272</v>
      </c>
      <c r="R396" s="146" t="str">
        <f t="shared" si="341"/>
        <v>S</v>
      </c>
      <c r="S396" s="927" t="s">
        <v>818</v>
      </c>
      <c r="T396" s="927">
        <v>7.23</v>
      </c>
      <c r="U396" s="354" t="str">
        <f>IF(LEN($S396)=1,VLOOKUP(LEFT($S396,1),B395:I402,5,FALSE),IF(LEN($S396)=2,VLOOKUP(LEFT($S396,1),B395:I402,7,FALSE),""))</f>
        <v>SS</v>
      </c>
      <c r="V396" s="410" t="str">
        <f>IF(LEN($S396)=1,VLOOKUP(LEFT($S396,1),B395:I402,6,FALSE),IF(LEN($S396)=2,VLOOKUP(LEFT($S396,1),B395:I402,8,FALSE),""))</f>
        <v xml:space="preserve">Daniella Anozie </v>
      </c>
      <c r="W396" s="417">
        <f>W395-1</f>
        <v>7</v>
      </c>
      <c r="Y396" s="16">
        <v>12</v>
      </c>
      <c r="Z396" s="16" t="str">
        <f t="shared" si="342"/>
        <v>Rugby</v>
      </c>
      <c r="AA396" s="146" t="str">
        <f t="shared" si="343"/>
        <v>BRAT</v>
      </c>
      <c r="AC396" s="16" t="str">
        <f t="shared" si="344"/>
        <v>U</v>
      </c>
      <c r="AD396" s="419" t="str">
        <f t="shared" si="344"/>
        <v>Kidder &amp; Stourport</v>
      </c>
      <c r="AE396" s="419">
        <f>IF(ISNA(MATCH(AC396,N395:N404,0)),0,VLOOKUP(AC396,N395:S404,5,FALSE))</f>
        <v>0</v>
      </c>
      <c r="AF396" s="419" t="str">
        <f>IF(ISNA(MATCH(AC396,T395:T404,0))," ",VLOOKUP(AC396,T395:Y404,5,FALSE))</f>
        <v xml:space="preserve"> </v>
      </c>
      <c r="AG396" s="419">
        <f>IF(ISNA(MATCH(AC396,L395:L402,0)),0,VLOOKUP(AC396,L395:N402,3,FALSE))</f>
        <v>10.130000000000001</v>
      </c>
      <c r="AH396" s="419">
        <f>IF(ISNA(MATCH(AC396,R395:R402,0)),0,VLOOKUP(AC396,R395:T402,3,FALSE))</f>
        <v>7.74</v>
      </c>
      <c r="AI396" s="419" t="str">
        <f>IF(ISNA(MATCH(AC396,L395:L402,0)),0,VLOOKUP(AC396,L395:P402,4,FALSE))</f>
        <v>U</v>
      </c>
      <c r="AJ396" s="419" t="str">
        <f>IF(ISNA(MATCH(AC396,R395:R402,0)),0,VLOOKUP(AC396,R395:U402,4,FALSE))</f>
        <v>UU</v>
      </c>
      <c r="AK396" s="32">
        <f t="shared" si="345"/>
        <v>1</v>
      </c>
      <c r="AL396" s="32">
        <f t="shared" si="346"/>
        <v>1</v>
      </c>
      <c r="AM396" s="32">
        <f>IF(ISNA(MATCH(AC396,L395:L402,0)),0,VLOOKUP(AC396,L395:W402,AM$1,FALSE))</f>
        <v>8</v>
      </c>
      <c r="AN396" s="146">
        <f>IF(ISNA(MATCH(AC396,R395:R402,0)),0,VLOOKUP(AC396,R395:W402,AN$1,FALSE))</f>
        <v>8</v>
      </c>
      <c r="AP396" s="927"/>
      <c r="AQ396" s="927"/>
    </row>
    <row r="397" spans="1:47" ht="15.6" x14ac:dyDescent="0.3">
      <c r="A397" s="417">
        <f t="shared" ref="A397:A402" si="347">A396+1</f>
        <v>353</v>
      </c>
      <c r="B397" s="362" t="str">
        <f>'Event Details'!D$24</f>
        <v>G</v>
      </c>
      <c r="C397" s="381" t="str">
        <f>'Event Details'!E$24</f>
        <v>Royal Sutton</v>
      </c>
      <c r="D397" s="379"/>
      <c r="E397" s="378"/>
      <c r="F397" s="363" t="str">
        <f>VLOOKUP($B394,IF($H394="F",TeamSheetFemale,TeamSheetMale),$Y397-1,FALSE)</f>
        <v>G</v>
      </c>
      <c r="G397" s="380">
        <f>VLOOKUP($B394,IF($H394="F",TeamSheetFemale,TeamSheetMale),$Y397,FALSE)</f>
        <v>0</v>
      </c>
      <c r="H397" s="363" t="str">
        <f>VLOOKUP($B394,IF($H394="F",TeamSheetFemale,TeamSheetMale),$Y397+1,FALSE)</f>
        <v>GG</v>
      </c>
      <c r="I397" s="364">
        <f>VLOOKUP($B394,IF($H394="F",TeamSheetFemale,TeamSheetMale),$Y397+2,FALSE)</f>
        <v>0</v>
      </c>
      <c r="K397" s="341" t="s">
        <v>273</v>
      </c>
      <c r="L397" s="16" t="str">
        <f t="shared" si="340"/>
        <v>S</v>
      </c>
      <c r="M397" s="927" t="s">
        <v>100</v>
      </c>
      <c r="N397" s="927">
        <v>9.0500000000000007</v>
      </c>
      <c r="O397" s="354" t="str">
        <f>IF(LEN($M397)=1,VLOOKUP(LEFT($M397,1),B395:I402,5,FALSE),IF(LEN($M397)=2,VLOOKUP(LEFT($M397,1),B395:I402,7,FALSE),""))</f>
        <v>S</v>
      </c>
      <c r="P397" s="410" t="str">
        <f>IF(LEN($M397)=1,VLOOKUP(LEFT($M397,1),B395:I402,6,FALSE),IF(LEN($M397)=2,VLOOKUP(LEFT($M397,1),B395:I402,8,FALSE),""))</f>
        <v xml:space="preserve">Hephzibah Emmanuel Kokoh </v>
      </c>
      <c r="Q397" s="371" t="s">
        <v>273</v>
      </c>
      <c r="R397" s="146" t="str">
        <f t="shared" si="341"/>
        <v/>
      </c>
      <c r="S397" s="927"/>
      <c r="T397" s="927"/>
      <c r="U397" s="354" t="str">
        <f>IF(LEN($S397)=1,VLOOKUP(LEFT($S397,1),B395:I402,5,FALSE),IF(LEN($S397)=2,VLOOKUP(LEFT($S397,1),B395:I402,7,FALSE),""))</f>
        <v/>
      </c>
      <c r="V397" s="410" t="str">
        <f>IF(LEN($S397)=1,VLOOKUP(LEFT($S397,1),B395:I402,6,FALSE),IF(LEN($S397)=2,VLOOKUP(LEFT($S397,1),B395:I402,8,FALSE),""))</f>
        <v/>
      </c>
      <c r="W397" s="417">
        <f t="shared" ref="W397:W402" si="348">W396-1</f>
        <v>6</v>
      </c>
      <c r="Y397" s="16">
        <v>17</v>
      </c>
      <c r="Z397" s="16" t="str">
        <f t="shared" si="342"/>
        <v>BRAT</v>
      </c>
      <c r="AA397" s="146">
        <f t="shared" si="343"/>
        <v>0</v>
      </c>
      <c r="AC397" s="16" t="str">
        <f t="shared" si="344"/>
        <v>G</v>
      </c>
      <c r="AD397" s="419" t="str">
        <f t="shared" si="344"/>
        <v>Royal Sutton</v>
      </c>
      <c r="AE397" s="419">
        <f>IF(ISNA(MATCH(AC397,N395:N404,0)),0,VLOOKUP(AC397,N395:S404,5,FALSE))</f>
        <v>0</v>
      </c>
      <c r="AF397" s="419" t="str">
        <f>IF(ISNA(MATCH(AC397,T395:T404,0))," ",VLOOKUP(AC397,T395:Y404,5,FALSE))</f>
        <v xml:space="preserve"> </v>
      </c>
      <c r="AG397" s="419">
        <f>IF(ISNA(MATCH(AC397,L395:L402,0)),0,VLOOKUP(AC397,L395:N402,3,FALSE))</f>
        <v>0</v>
      </c>
      <c r="AH397" s="419">
        <f>IF(ISNA(MATCH(AC397,R395:R402,0)),0,VLOOKUP(AC397,R395:T402,3,FALSE))</f>
        <v>0</v>
      </c>
      <c r="AI397" s="419">
        <f>IF(ISNA(MATCH(AC397,L395:L402,0)),0,VLOOKUP(AC397,L395:P402,4,FALSE))</f>
        <v>0</v>
      </c>
      <c r="AJ397" s="419">
        <f>IF(ISNA(MATCH(AC397,R395:R402,0)),0,VLOOKUP(AC397,R395:U402,4,FALSE))</f>
        <v>0</v>
      </c>
      <c r="AK397" s="32">
        <f t="shared" si="345"/>
        <v>0</v>
      </c>
      <c r="AL397" s="32">
        <f t="shared" si="346"/>
        <v>0</v>
      </c>
      <c r="AM397" s="32">
        <f>IF(ISNA(MATCH(AC397,L395:L402,0)),0,VLOOKUP(AC397,L395:W402,AM$1,FALSE))</f>
        <v>0</v>
      </c>
      <c r="AN397" s="146">
        <f>IF(ISNA(MATCH(AC397,R395:R402,0)),0,VLOOKUP(AC397,R395:W402,AN$1,FALSE))</f>
        <v>0</v>
      </c>
      <c r="AP397" s="927"/>
      <c r="AQ397" s="927"/>
    </row>
    <row r="398" spans="1:47" ht="15.6" x14ac:dyDescent="0.3">
      <c r="A398" s="417">
        <f t="shared" si="347"/>
        <v>354</v>
      </c>
      <c r="B398" s="362" t="str">
        <f>'Event Details'!D$25</f>
        <v>R</v>
      </c>
      <c r="C398" s="381" t="str">
        <f>'Event Details'!E$25</f>
        <v>Rugby &amp; N'hampton</v>
      </c>
      <c r="D398" s="379"/>
      <c r="E398" s="378"/>
      <c r="F398" s="363" t="str">
        <f>VLOOKUP($B394,IF($H394="F",TeamSheetFemale,TeamSheetMale),$Y398-1,FALSE)</f>
        <v>R</v>
      </c>
      <c r="G398" s="380" t="str">
        <f>VLOOKUP($B394,IF($H394="F",TeamSheetFemale,TeamSheetMale),$Y398,FALSE)</f>
        <v>Grace O'Malley</v>
      </c>
      <c r="H398" s="363" t="str">
        <f>VLOOKUP($B394,IF($H394="F",TeamSheetFemale,TeamSheetMale),$Y398+1,FALSE)</f>
        <v>RR</v>
      </c>
      <c r="I398" s="364" t="str">
        <f>VLOOKUP($B394,IF($H394="F",TeamSheetFemale,TeamSheetMale),$Y398+2,FALSE)</f>
        <v>Chelsea Adams</v>
      </c>
      <c r="K398" s="341" t="s">
        <v>274</v>
      </c>
      <c r="L398" s="16" t="str">
        <f t="shared" si="340"/>
        <v>M</v>
      </c>
      <c r="M398" s="927" t="s">
        <v>127</v>
      </c>
      <c r="N398" s="927">
        <v>6.94</v>
      </c>
      <c r="O398" s="354" t="str">
        <f>IF(LEN($M398)=1,VLOOKUP(LEFT($M398,1),B395:I402,5,FALSE),IF(LEN($M398)=2,VLOOKUP(LEFT($M398,1),B395:I402,7,FALSE),""))</f>
        <v>M</v>
      </c>
      <c r="P398" s="410" t="str">
        <f>IF(LEN($M398)=1,VLOOKUP(LEFT($M398,1),B395:I402,6,FALSE),IF(LEN($M398)=2,VLOOKUP(LEFT($M398,1),B395:I402,8,FALSE),""))</f>
        <v>Maia Collett</v>
      </c>
      <c r="Q398" s="371" t="s">
        <v>274</v>
      </c>
      <c r="R398" s="146" t="str">
        <f t="shared" si="341"/>
        <v/>
      </c>
      <c r="S398" s="927"/>
      <c r="T398" s="927"/>
      <c r="U398" s="354" t="str">
        <f>IF(LEN($S398)=1,VLOOKUP(LEFT($S398,1),B395:I402,5,FALSE),IF(LEN($S398)=2,VLOOKUP(LEFT($S398,1),B395:I402,7,FALSE),""))</f>
        <v/>
      </c>
      <c r="V398" s="410" t="str">
        <f>IF(LEN($S398)=1,VLOOKUP(LEFT($S398,1),B395:I402,6,FALSE),IF(LEN($S398)=2,VLOOKUP(LEFT($S398,1),B395:I402,8,FALSE),""))</f>
        <v/>
      </c>
      <c r="W398" s="417">
        <f t="shared" si="348"/>
        <v>5</v>
      </c>
      <c r="Y398" s="16">
        <v>22</v>
      </c>
      <c r="Z398" s="16" t="str">
        <f t="shared" si="342"/>
        <v>Sol</v>
      </c>
      <c r="AA398" s="146">
        <f t="shared" si="343"/>
        <v>0</v>
      </c>
      <c r="AC398" s="16" t="str">
        <f t="shared" si="344"/>
        <v>R</v>
      </c>
      <c r="AD398" s="419" t="str">
        <f t="shared" si="344"/>
        <v>Rugby &amp; N'hampton</v>
      </c>
      <c r="AE398" s="419">
        <f>IF(ISNA(MATCH(AC398,N395:N404,0)),0,VLOOKUP(AC398,N395:S404,5,FALSE))</f>
        <v>0</v>
      </c>
      <c r="AF398" s="419" t="str">
        <f>IF(ISNA(MATCH(AC398,T395:T404,0))," ",VLOOKUP(AC398,T395:Y404,5,FALSE))</f>
        <v xml:space="preserve"> </v>
      </c>
      <c r="AG398" s="419">
        <f>IF(ISNA(MATCH(AC398,L395:L402,0)),0,VLOOKUP(AC398,L395:N402,3,FALSE))</f>
        <v>9.33</v>
      </c>
      <c r="AH398" s="419">
        <f>IF(ISNA(MATCH(AC398,R395:R402,0)),0,VLOOKUP(AC398,R395:T402,3,FALSE))</f>
        <v>0</v>
      </c>
      <c r="AI398" s="419" t="str">
        <f>IF(ISNA(MATCH(AC398,L395:L402,0)),0,VLOOKUP(AC398,L395:P402,4,FALSE))</f>
        <v>R</v>
      </c>
      <c r="AJ398" s="419">
        <f>IF(ISNA(MATCH(AC398,R395:R402,0)),0,VLOOKUP(AC398,R395:U402,4,FALSE))</f>
        <v>0</v>
      </c>
      <c r="AK398" s="32">
        <f t="shared" si="345"/>
        <v>2</v>
      </c>
      <c r="AL398" s="32">
        <f t="shared" si="346"/>
        <v>0</v>
      </c>
      <c r="AM398" s="32">
        <f>IF(ISNA(MATCH(AC398,L395:L402,0)),0,VLOOKUP(AC398,L395:W402,AM$1,FALSE))</f>
        <v>7</v>
      </c>
      <c r="AN398" s="146">
        <f>IF(ISNA(MATCH(AC398,R395:R402,0)),0,VLOOKUP(AC398,R395:W402,AN$1,FALSE))</f>
        <v>0</v>
      </c>
      <c r="AP398" s="927"/>
      <c r="AQ398" s="927"/>
    </row>
    <row r="399" spans="1:47" ht="15.6" x14ac:dyDescent="0.3">
      <c r="A399" s="417">
        <f t="shared" si="347"/>
        <v>355</v>
      </c>
      <c r="B399" s="362" t="str">
        <f>'Event Details'!D$26</f>
        <v>M</v>
      </c>
      <c r="C399" s="381" t="str">
        <f>'Event Details'!E$26</f>
        <v>Solihull &amp; S.Heath</v>
      </c>
      <c r="D399" s="379"/>
      <c r="E399" s="378"/>
      <c r="F399" s="363" t="str">
        <f>VLOOKUP($B394,IF($H394="F",TeamSheetFemale,TeamSheetMale),$Y399-1,FALSE)</f>
        <v>M</v>
      </c>
      <c r="G399" s="380" t="str">
        <f>VLOOKUP($B394,IF($H394="F",TeamSheetFemale,TeamSheetMale),$Y399,FALSE)</f>
        <v>Maia Collett</v>
      </c>
      <c r="H399" s="363">
        <f>VLOOKUP($B394,IF($H394="F",TeamSheetFemale,TeamSheetMale),$Y399+1,FALSE)</f>
        <v>0</v>
      </c>
      <c r="I399" s="364">
        <f>VLOOKUP($B394,IF($H394="F",TeamSheetFemale,TeamSheetMale),$Y399+2,FALSE)</f>
        <v>0</v>
      </c>
      <c r="K399" s="341" t="s">
        <v>275</v>
      </c>
      <c r="L399" s="16" t="str">
        <f t="shared" si="340"/>
        <v>F</v>
      </c>
      <c r="M399" s="927" t="s">
        <v>142</v>
      </c>
      <c r="N399" s="927">
        <v>5.92</v>
      </c>
      <c r="O399" s="354" t="str">
        <f>IF(LEN($M399)=1,VLOOKUP(LEFT($M399,1),B395:I402,5,FALSE),IF(LEN($M399)=2,VLOOKUP(LEFT($M399,1),B395:I402,7,FALSE),""))</f>
        <v>F</v>
      </c>
      <c r="P399" s="410" t="str">
        <f>IF(LEN($M399)=1,VLOOKUP(LEFT($M399,1),B395:I402,6,FALSE),IF(LEN($M399)=2,VLOOKUP(LEFT($M399,1),B395:I402,8,FALSE),""))</f>
        <v>Sophie Godber</v>
      </c>
      <c r="Q399" s="371" t="s">
        <v>275</v>
      </c>
      <c r="R399" s="146" t="str">
        <f t="shared" si="341"/>
        <v/>
      </c>
      <c r="S399" s="927"/>
      <c r="T399" s="927"/>
      <c r="U399" s="354" t="str">
        <f>IF(LEN($S399)=1,VLOOKUP(LEFT($S399,1),B395:I402,5,FALSE),IF(LEN($S399)=2,VLOOKUP(LEFT($S399,1),B395:I402,7,FALSE),""))</f>
        <v/>
      </c>
      <c r="V399" s="410" t="str">
        <f>IF(LEN($S399)=1,VLOOKUP(LEFT($S399,1),B395:I402,6,FALSE),IF(LEN($S399)=2,VLOOKUP(LEFT($S399,1),B395:I402,8,FALSE),""))</f>
        <v/>
      </c>
      <c r="W399" s="417">
        <f t="shared" si="348"/>
        <v>4</v>
      </c>
      <c r="Y399" s="16">
        <v>27</v>
      </c>
      <c r="Z399" s="16" t="str">
        <f t="shared" si="342"/>
        <v>Tam</v>
      </c>
      <c r="AA399" s="146">
        <f t="shared" si="343"/>
        <v>0</v>
      </c>
      <c r="AC399" s="16" t="str">
        <f t="shared" si="344"/>
        <v>M</v>
      </c>
      <c r="AD399" s="419" t="str">
        <f t="shared" si="344"/>
        <v>Solihull &amp; S.Heath</v>
      </c>
      <c r="AE399" s="419">
        <f>IF(ISNA(MATCH(AC399,N395:N404,0)),0,VLOOKUP(AC399,N395:S404,5,FALSE))</f>
        <v>0</v>
      </c>
      <c r="AF399" s="419" t="str">
        <f>IF(ISNA(MATCH(AC399,T395:T404,0))," ",VLOOKUP(AC399,T395:Y404,5,FALSE))</f>
        <v xml:space="preserve"> </v>
      </c>
      <c r="AG399" s="419">
        <f>IF(ISNA(MATCH(AC399,L395:L402,0)),0,VLOOKUP(AC399,L395:N402,3,FALSE))</f>
        <v>6.94</v>
      </c>
      <c r="AH399" s="419">
        <f>IF(ISNA(MATCH(AC399,R395:R402,0)),0,VLOOKUP(AC399,R395:T402,3,FALSE))</f>
        <v>0</v>
      </c>
      <c r="AI399" s="419" t="str">
        <f>IF(ISNA(MATCH(AC399,L395:L402,0)),0,VLOOKUP(AC399,L395:P402,4,FALSE))</f>
        <v>M</v>
      </c>
      <c r="AJ399" s="419">
        <f>IF(ISNA(MATCH(AC399,R395:R402,0)),0,VLOOKUP(AC399,R395:U402,4,FALSE))</f>
        <v>0</v>
      </c>
      <c r="AK399" s="32">
        <f t="shared" si="345"/>
        <v>4</v>
      </c>
      <c r="AL399" s="32">
        <f t="shared" si="346"/>
        <v>0</v>
      </c>
      <c r="AM399" s="32">
        <f>IF(ISNA(MATCH(AC399,L395:L402,0)),0,VLOOKUP(AC399,L395:W402,AM$1,FALSE))</f>
        <v>5</v>
      </c>
      <c r="AN399" s="146">
        <f>IF(ISNA(MATCH(AC399,R395:R402,0)),0,VLOOKUP(AC399,R395:W402,AN$1,FALSE))</f>
        <v>0</v>
      </c>
      <c r="AP399" s="927"/>
      <c r="AQ399" s="927"/>
    </row>
    <row r="400" spans="1:47" ht="15.6" x14ac:dyDescent="0.3">
      <c r="A400" s="417">
        <f t="shared" si="347"/>
        <v>356</v>
      </c>
      <c r="B400" s="362" t="str">
        <f>'Event Details'!D$27</f>
        <v>D</v>
      </c>
      <c r="C400" s="381" t="str">
        <f>'Event Details'!E$27</f>
        <v>Stratford</v>
      </c>
      <c r="D400" s="379"/>
      <c r="E400" s="378"/>
      <c r="F400" s="363">
        <f>VLOOKUP($B394,IF($H394="F",TeamSheetFemale,TeamSheetMale),$Y400-1,FALSE)</f>
        <v>0</v>
      </c>
      <c r="G400" s="380">
        <f>VLOOKUP($B394,IF($H394="F",TeamSheetFemale,TeamSheetMale),$Y400,FALSE)</f>
        <v>0</v>
      </c>
      <c r="H400" s="363">
        <f>VLOOKUP($B394,IF($H394="F",TeamSheetFemale,TeamSheetMale),$Y400+1,FALSE)</f>
        <v>0</v>
      </c>
      <c r="I400" s="364">
        <f>VLOOKUP($B394,IF($H394="F",TeamSheetFemale,TeamSheetMale),$Y400+2,FALSE)</f>
        <v>0</v>
      </c>
      <c r="K400" s="341" t="s">
        <v>276</v>
      </c>
      <c r="L400" s="16" t="str">
        <f t="shared" si="340"/>
        <v/>
      </c>
      <c r="M400" s="927"/>
      <c r="N400" s="927"/>
      <c r="O400" s="354" t="str">
        <f>IF(LEN($M400)=1,VLOOKUP(LEFT($M400,1),B395:I402,5,FALSE),IF(LEN($M400)=2,VLOOKUP(LEFT($M400,1),B395:I402,7,FALSE),""))</f>
        <v/>
      </c>
      <c r="P400" s="410" t="str">
        <f>IF(LEN($M400)=1,VLOOKUP(LEFT($M400,1),B395:I402,6,FALSE),IF(LEN($M400)=2,VLOOKUP(LEFT($M400,1),B395:I402,8,FALSE),""))</f>
        <v/>
      </c>
      <c r="Q400" s="371" t="s">
        <v>276</v>
      </c>
      <c r="R400" s="146" t="str">
        <f t="shared" si="341"/>
        <v/>
      </c>
      <c r="S400" s="927"/>
      <c r="T400" s="927"/>
      <c r="U400" s="354" t="str">
        <f>IF(LEN($S400)=1,VLOOKUP(LEFT($S400,1),B395:I402,5,FALSE),IF(LEN($S400)=2,VLOOKUP(LEFT($S400,1),B395:I402,7,FALSE),""))</f>
        <v/>
      </c>
      <c r="V400" s="410" t="str">
        <f>IF(LEN($S400)=1,VLOOKUP(LEFT($S400,1),B395:I402,6,FALSE),IF(LEN($S400)=2,VLOOKUP(LEFT($S400,1),B395:I402,8,FALSE),""))</f>
        <v/>
      </c>
      <c r="W400" s="417">
        <f t="shared" si="348"/>
        <v>3</v>
      </c>
      <c r="Y400" s="16">
        <v>32</v>
      </c>
      <c r="Z400" s="16">
        <f t="shared" si="342"/>
        <v>0</v>
      </c>
      <c r="AA400" s="146">
        <f t="shared" si="343"/>
        <v>0</v>
      </c>
      <c r="AC400" s="16" t="str">
        <f t="shared" si="344"/>
        <v>D</v>
      </c>
      <c r="AD400" s="419" t="str">
        <f t="shared" si="344"/>
        <v>Stratford</v>
      </c>
      <c r="AE400" s="419">
        <f>IF(ISNA(MATCH(AC400,N395:N404,0)),0,VLOOKUP(AC400,N395:S404,5,FALSE))</f>
        <v>0</v>
      </c>
      <c r="AF400" s="419" t="str">
        <f>IF(ISNA(MATCH(AC400,T395:T404,0))," ",VLOOKUP(AC400,T395:Y404,5,FALSE))</f>
        <v xml:space="preserve"> </v>
      </c>
      <c r="AG400" s="419">
        <f>IF(ISNA(MATCH(AC400,L395:L402,0)),0,VLOOKUP(AC400,L395:N402,3,FALSE))</f>
        <v>0</v>
      </c>
      <c r="AH400" s="419">
        <f>IF(ISNA(MATCH(AC400,R395:R402,0)),0,VLOOKUP(AC400,R395:T402,3,FALSE))</f>
        <v>0</v>
      </c>
      <c r="AI400" s="419">
        <f>IF(ISNA(MATCH(AC400,L395:L402,0)),0,VLOOKUP(AC400,L395:P402,4,FALSE))</f>
        <v>0</v>
      </c>
      <c r="AJ400" s="419">
        <f>IF(ISNA(MATCH(AC400,R395:R402,0)),0,VLOOKUP(AC400,R395:U402,4,FALSE))</f>
        <v>0</v>
      </c>
      <c r="AK400" s="32">
        <f t="shared" si="345"/>
        <v>0</v>
      </c>
      <c r="AL400" s="32">
        <f t="shared" si="346"/>
        <v>0</v>
      </c>
      <c r="AM400" s="32">
        <f>IF(ISNA(MATCH(AC400,L395:L402,0)),0,VLOOKUP(AC400,L395:W402,AM$1,FALSE))</f>
        <v>0</v>
      </c>
      <c r="AN400" s="146">
        <f>IF(ISNA(MATCH(AC400,R395:R402,0)),0,VLOOKUP(AC400,R395:W402,AN$1,FALSE))</f>
        <v>0</v>
      </c>
      <c r="AP400" s="927"/>
      <c r="AQ400" s="927"/>
    </row>
    <row r="401" spans="1:47" ht="15.6" x14ac:dyDescent="0.3">
      <c r="A401" s="417">
        <f t="shared" si="347"/>
        <v>357</v>
      </c>
      <c r="B401" s="362" t="str">
        <f>'Event Details'!D$28</f>
        <v>F</v>
      </c>
      <c r="C401" s="381" t="str">
        <f>'Event Details'!E$28</f>
        <v>Tamworth</v>
      </c>
      <c r="D401" s="379"/>
      <c r="E401" s="378"/>
      <c r="F401" s="363" t="str">
        <f>VLOOKUP($B394,IF($H394="F",TeamSheetFemale,TeamSheetMale),$Y401-1,FALSE)</f>
        <v>F</v>
      </c>
      <c r="G401" s="380" t="str">
        <f>VLOOKUP($B394,IF($H394="F",TeamSheetFemale,TeamSheetMale),$Y401,FALSE)</f>
        <v>Sophie Godber</v>
      </c>
      <c r="H401" s="363">
        <f>VLOOKUP($B394,IF($H394="F",TeamSheetFemale,TeamSheetMale),$Y401+1,FALSE)</f>
        <v>0</v>
      </c>
      <c r="I401" s="364">
        <f>VLOOKUP($B394,IF($H394="F",TeamSheetFemale,TeamSheetMale),$Y401+2,FALSE)</f>
        <v>0</v>
      </c>
      <c r="K401" s="341" t="s">
        <v>277</v>
      </c>
      <c r="L401" s="16" t="str">
        <f t="shared" si="340"/>
        <v/>
      </c>
      <c r="M401" s="927"/>
      <c r="N401" s="927"/>
      <c r="O401" s="354" t="str">
        <f>IF(LEN($M401)=1,VLOOKUP(LEFT($M401,1),B395:I402,5,FALSE),IF(LEN($M401)=2,VLOOKUP(LEFT($M401,1),B395:I402,7,FALSE),""))</f>
        <v/>
      </c>
      <c r="P401" s="410" t="str">
        <f>IF(LEN($M401)=1,VLOOKUP(LEFT($M401,1),B395:I402,6,FALSE),IF(LEN($M401)=2,VLOOKUP(LEFT($M401,1),B395:I402,8,FALSE),""))</f>
        <v/>
      </c>
      <c r="Q401" s="371" t="s">
        <v>277</v>
      </c>
      <c r="R401" s="146" t="str">
        <f t="shared" si="341"/>
        <v/>
      </c>
      <c r="S401" s="927"/>
      <c r="T401" s="927"/>
      <c r="U401" s="354" t="str">
        <f>IF(LEN($S401)=1,VLOOKUP(LEFT($S401,1),B395:I402,5,FALSE),IF(LEN($S401)=2,VLOOKUP(LEFT($S401,1),B395:I402,7,FALSE),""))</f>
        <v/>
      </c>
      <c r="V401" s="410" t="str">
        <f>IF(LEN($S401)=1,VLOOKUP(LEFT($S401,1),B395:I402,6,FALSE),IF(LEN($S401)=2,VLOOKUP(LEFT($S401,1),B395:I402,8,FALSE),""))</f>
        <v/>
      </c>
      <c r="W401" s="417">
        <f t="shared" si="348"/>
        <v>2</v>
      </c>
      <c r="Y401" s="16">
        <v>37</v>
      </c>
      <c r="Z401" s="16">
        <f t="shared" si="342"/>
        <v>0</v>
      </c>
      <c r="AA401" s="146">
        <f t="shared" si="343"/>
        <v>0</v>
      </c>
      <c r="AC401" s="16" t="str">
        <f t="shared" si="344"/>
        <v>F</v>
      </c>
      <c r="AD401" s="419" t="str">
        <f t="shared" si="344"/>
        <v>Tamworth</v>
      </c>
      <c r="AE401" s="419">
        <f>IF(ISNA(MATCH(AC401,N393:N402,0)),0,VLOOKUP(AC401,N393:S402,5,FALSE))</f>
        <v>0</v>
      </c>
      <c r="AF401" s="419" t="str">
        <f>IF(ISNA(MATCH(AC401,T393:T402,0))," ",VLOOKUP(AC401,T393:Y402,5,FALSE))</f>
        <v xml:space="preserve"> </v>
      </c>
      <c r="AG401" s="419">
        <f>IF(ISNA(MATCH(AC401,L395:L402,0)),0,VLOOKUP(AC401,L395:N402,3,FALSE))</f>
        <v>5.92</v>
      </c>
      <c r="AH401" s="419">
        <f>IF(ISNA(MATCH(AC401,R395:R402,0)),0,VLOOKUP(AC401,R395:T402,3,FALSE))</f>
        <v>0</v>
      </c>
      <c r="AI401" s="419" t="str">
        <f>IF(ISNA(MATCH(AC401,L395:L402,0)),0,VLOOKUP(AC401,L395:P402,4,FALSE))</f>
        <v>F</v>
      </c>
      <c r="AJ401" s="419">
        <f>IF(ISNA(MATCH(AC401,R395:R402,0)),0,VLOOKUP(AC401,R395:U402,4,FALSE))</f>
        <v>0</v>
      </c>
      <c r="AK401" s="32">
        <f t="shared" si="345"/>
        <v>5</v>
      </c>
      <c r="AL401" s="32">
        <f t="shared" si="346"/>
        <v>0</v>
      </c>
      <c r="AM401" s="32">
        <f>IF(ISNA(MATCH(AC401,L395:L402,0)),0,VLOOKUP(AC401,L395:W402,AM$1,FALSE))</f>
        <v>4</v>
      </c>
      <c r="AN401" s="146">
        <f>IF(ISNA(MATCH(AC401,R395:R402,0)),0,VLOOKUP(AC401,R395:W402,AN$1,FALSE))</f>
        <v>0</v>
      </c>
      <c r="AP401" s="927"/>
      <c r="AQ401" s="927"/>
    </row>
    <row r="402" spans="1:47" ht="16.2" thickBot="1" x14ac:dyDescent="0.35">
      <c r="A402" s="418">
        <f t="shared" si="347"/>
        <v>358</v>
      </c>
      <c r="B402" s="365" t="str">
        <f>'Event Details'!D$29</f>
        <v>Y</v>
      </c>
      <c r="C402" s="366" t="str">
        <f>'Event Details'!E$29</f>
        <v>Worcester</v>
      </c>
      <c r="D402" s="361"/>
      <c r="E402" s="370"/>
      <c r="F402" s="367">
        <f>VLOOKUP($B394,IF($H394="F",TeamSheetFemale,TeamSheetMale),$Y402-1,FALSE)</f>
        <v>0</v>
      </c>
      <c r="G402" s="368">
        <f>VLOOKUP($B394,IF($H394="F",TeamSheetFemale,TeamSheetMale),$Y402,FALSE)</f>
        <v>0</v>
      </c>
      <c r="H402" s="367">
        <f>VLOOKUP($B394,IF($H394="F",TeamSheetFemale,TeamSheetMale),$Y402+1,FALSE)</f>
        <v>0</v>
      </c>
      <c r="I402" s="369">
        <f>VLOOKUP($B394,IF($H394="F",TeamSheetFemale,TeamSheetMale),$Y402+2,FALSE)</f>
        <v>0</v>
      </c>
      <c r="K402" s="346" t="s">
        <v>278</v>
      </c>
      <c r="L402" s="25" t="str">
        <f t="shared" si="340"/>
        <v/>
      </c>
      <c r="M402" s="932"/>
      <c r="N402" s="932"/>
      <c r="O402" s="374" t="str">
        <f>IF(LEN($M402)=1,VLOOKUP(LEFT($M402,1),B395:I402,5,FALSE),IF(LEN($M402)=2,VLOOKUP(LEFT($M402,1),B395:I402,7,FALSE),""))</f>
        <v/>
      </c>
      <c r="P402" s="411" t="str">
        <f>IF(LEN($M402)=1,VLOOKUP(LEFT($M402,1),B395:I402,6,FALSE),IF(LEN($M402)=2,VLOOKUP(LEFT($M402,1),B395:I402,8,FALSE),""))</f>
        <v/>
      </c>
      <c r="Q402" s="407" t="s">
        <v>278</v>
      </c>
      <c r="R402" s="523" t="str">
        <f t="shared" si="341"/>
        <v/>
      </c>
      <c r="S402" s="932"/>
      <c r="T402" s="932"/>
      <c r="U402" s="374" t="str">
        <f>IF(LEN($S402)=1,VLOOKUP(LEFT($S402,1),B395:I402,5,FALSE),IF(LEN($S402)=2,VLOOKUP(LEFT($S402,1),B395:I402,7,FALSE),""))</f>
        <v/>
      </c>
      <c r="V402" s="411" t="str">
        <f>IF(LEN($S402)=1,VLOOKUP(LEFT($S402,1),B395:I402,6,FALSE),IF(LEN($S402)=2,VLOOKUP(LEFT($S402,1),B395:I402,8,FALSE),""))</f>
        <v/>
      </c>
      <c r="W402" s="418">
        <f t="shared" si="348"/>
        <v>1</v>
      </c>
      <c r="Y402" s="25">
        <v>42</v>
      </c>
      <c r="Z402" s="25">
        <f t="shared" si="342"/>
        <v>0</v>
      </c>
      <c r="AA402" s="523">
        <f t="shared" si="343"/>
        <v>0</v>
      </c>
      <c r="AC402" s="25" t="str">
        <f t="shared" si="344"/>
        <v>Y</v>
      </c>
      <c r="AD402" s="624" t="str">
        <f t="shared" si="344"/>
        <v>Worcester</v>
      </c>
      <c r="AE402" s="624">
        <f>IF(ISNA(MATCH(AC402,N394:N403,0)),0,VLOOKUP(AC402,N394:S403,5,FALSE))</f>
        <v>0</v>
      </c>
      <c r="AF402" s="624" t="str">
        <f t="shared" ref="AF402" si="349">IF(ISNA(MATCH(AC402,T394:T403,0))," ",VLOOKUP(AC402,T394:Y403,5,FALSE))</f>
        <v xml:space="preserve"> </v>
      </c>
      <c r="AG402" s="624">
        <f>IF(ISNA(MATCH(AC402,L395:L402,0)),0,VLOOKUP(AC402,L395:N402,3,FALSE))</f>
        <v>0</v>
      </c>
      <c r="AH402" s="624">
        <f>IF(ISNA(MATCH(AC402,R395:R402,0)),0,VLOOKUP(AC402,R395:T402,3,FALSE))</f>
        <v>0</v>
      </c>
      <c r="AI402" s="624">
        <f>IF(ISNA(MATCH(AC402,L395:L402,0)),0,VLOOKUP(AC402,L395:P402,4,FALSE))</f>
        <v>0</v>
      </c>
      <c r="AJ402" s="624">
        <f>IF(ISNA(MATCH(AC402,R395:R402,0)),0,VLOOKUP(AC402,R395:U402,4,FALSE))</f>
        <v>0</v>
      </c>
      <c r="AK402" s="116">
        <f t="shared" si="345"/>
        <v>0</v>
      </c>
      <c r="AL402" s="116">
        <f t="shared" si="346"/>
        <v>0</v>
      </c>
      <c r="AM402" s="116">
        <f>IF(ISNA(MATCH(AC402,L395:L402,0)),0,VLOOKUP(AC402,L395:W402,AM$1,FALSE))</f>
        <v>0</v>
      </c>
      <c r="AN402" s="523">
        <f>IF(ISNA(MATCH(AC402,R395:R402,0)),0,VLOOKUP(AC402,R395:W402,AN$1,FALSE))</f>
        <v>0</v>
      </c>
      <c r="AP402" s="932"/>
      <c r="AQ402" s="932"/>
    </row>
    <row r="403" spans="1:47" ht="15" thickBot="1" x14ac:dyDescent="0.35">
      <c r="M403" s="276"/>
      <c r="N403" s="276"/>
      <c r="S403" s="276"/>
      <c r="T403" s="276"/>
      <c r="AP403" s="276"/>
      <c r="AQ403" s="276"/>
    </row>
    <row r="404" spans="1:47" x14ac:dyDescent="0.3">
      <c r="B404" s="400" t="s">
        <v>258</v>
      </c>
      <c r="C404" s="398"/>
      <c r="D404" s="401" t="s">
        <v>165</v>
      </c>
      <c r="E404" s="398"/>
      <c r="F404" s="398"/>
      <c r="G404" s="402" t="s">
        <v>259</v>
      </c>
      <c r="H404" s="403" t="s">
        <v>249</v>
      </c>
      <c r="I404" s="404" t="s">
        <v>168</v>
      </c>
      <c r="K404" s="360"/>
      <c r="L404" s="661"/>
      <c r="M404" s="387" t="s">
        <v>260</v>
      </c>
      <c r="N404" s="387" t="s">
        <v>261</v>
      </c>
      <c r="O404" s="387" t="s">
        <v>262</v>
      </c>
      <c r="P404" s="388" t="s">
        <v>75</v>
      </c>
      <c r="Q404" s="389"/>
      <c r="R404" s="657"/>
      <c r="S404" s="387" t="s">
        <v>260</v>
      </c>
      <c r="T404" s="387" t="s">
        <v>261</v>
      </c>
      <c r="U404" s="387" t="s">
        <v>262</v>
      </c>
      <c r="V404" s="388" t="s">
        <v>75</v>
      </c>
      <c r="W404" s="672" t="s">
        <v>76</v>
      </c>
      <c r="Y404" s="414" t="s">
        <v>263</v>
      </c>
      <c r="Z404" s="656" t="s">
        <v>74</v>
      </c>
      <c r="AA404" s="657" t="s">
        <v>75</v>
      </c>
      <c r="AC404" s="665" t="s">
        <v>71</v>
      </c>
      <c r="AD404" s="657" t="s">
        <v>86</v>
      </c>
      <c r="AE404" s="661" t="s">
        <v>149</v>
      </c>
      <c r="AF404" s="661" t="s">
        <v>94</v>
      </c>
      <c r="AG404" s="661" t="s">
        <v>149</v>
      </c>
      <c r="AH404" s="661" t="s">
        <v>94</v>
      </c>
      <c r="AI404" s="661" t="s">
        <v>149</v>
      </c>
      <c r="AJ404" s="661" t="s">
        <v>94</v>
      </c>
      <c r="AK404" s="1332" t="s">
        <v>149</v>
      </c>
      <c r="AL404" s="661" t="s">
        <v>94</v>
      </c>
      <c r="AM404" s="1406" t="s">
        <v>76</v>
      </c>
      <c r="AN404" s="1407"/>
      <c r="AP404" s="387" t="s">
        <v>260</v>
      </c>
      <c r="AQ404" s="387" t="s">
        <v>261</v>
      </c>
      <c r="AS404" s="1218" t="s">
        <v>165</v>
      </c>
      <c r="AT404" s="1219" t="s">
        <v>79</v>
      </c>
      <c r="AU404" s="1220" t="s">
        <v>80</v>
      </c>
    </row>
    <row r="405" spans="1:47" ht="15" thickBot="1" x14ac:dyDescent="0.35">
      <c r="B405" s="405">
        <v>36</v>
      </c>
      <c r="C405" s="399"/>
      <c r="D405" s="385" t="str">
        <f>VLOOKUP($B405,EventOrder,6,FALSE)</f>
        <v>Discus Match 2</v>
      </c>
      <c r="E405" s="399"/>
      <c r="F405" s="385"/>
      <c r="G405" s="386" t="str">
        <f>VLOOKUP($B405,EventOrder,4,FALSE)</f>
        <v>U14 Female</v>
      </c>
      <c r="H405" s="396" t="str">
        <f>IF(MID(G405,5,1)="F","F","M")</f>
        <v>F</v>
      </c>
      <c r="I405" s="397">
        <f>VLOOKUP($B405,EventOrder,2,FALSE)</f>
        <v>1.5</v>
      </c>
      <c r="K405" s="377"/>
      <c r="L405" s="667" t="s">
        <v>149</v>
      </c>
      <c r="M405" s="409" t="s">
        <v>264</v>
      </c>
      <c r="N405" s="409" t="s">
        <v>265</v>
      </c>
      <c r="O405" s="390" t="s">
        <v>266</v>
      </c>
      <c r="P405" s="391"/>
      <c r="Q405" s="392"/>
      <c r="R405" s="659" t="s">
        <v>94</v>
      </c>
      <c r="S405" s="409" t="s">
        <v>264</v>
      </c>
      <c r="T405" s="409" t="s">
        <v>265</v>
      </c>
      <c r="U405" s="390" t="s">
        <v>266</v>
      </c>
      <c r="V405" s="391"/>
      <c r="W405" s="671"/>
      <c r="Y405" s="415" t="s">
        <v>167</v>
      </c>
      <c r="Z405" s="658" t="s">
        <v>149</v>
      </c>
      <c r="AA405" s="659" t="s">
        <v>94</v>
      </c>
      <c r="AC405" s="666"/>
      <c r="AD405" s="668"/>
      <c r="AE405" s="768" t="s">
        <v>75</v>
      </c>
      <c r="AF405" s="768" t="s">
        <v>75</v>
      </c>
      <c r="AG405" s="768" t="s">
        <v>267</v>
      </c>
      <c r="AH405" s="768" t="s">
        <v>267</v>
      </c>
      <c r="AI405" s="768" t="s">
        <v>268</v>
      </c>
      <c r="AJ405" s="768" t="s">
        <v>268</v>
      </c>
      <c r="AK405" s="770" t="s">
        <v>269</v>
      </c>
      <c r="AL405" s="768" t="s">
        <v>269</v>
      </c>
      <c r="AM405" s="667" t="s">
        <v>149</v>
      </c>
      <c r="AN405" s="659" t="s">
        <v>94</v>
      </c>
      <c r="AP405" s="409" t="s">
        <v>264</v>
      </c>
      <c r="AQ405" s="409" t="s">
        <v>265</v>
      </c>
      <c r="AS405" s="1221" t="s">
        <v>270</v>
      </c>
      <c r="AT405" s="1222" t="s">
        <v>270</v>
      </c>
      <c r="AU405" s="1223" t="s">
        <v>270</v>
      </c>
    </row>
    <row r="406" spans="1:47" ht="15.6" x14ac:dyDescent="0.3">
      <c r="A406" s="416">
        <f>(B405*10)+1</f>
        <v>361</v>
      </c>
      <c r="B406" s="362" t="str">
        <f>'Event Details'!D$22</f>
        <v>S</v>
      </c>
      <c r="C406" s="381" t="str">
        <f>'Event Details'!E$22</f>
        <v>BRAT</v>
      </c>
      <c r="D406" s="379"/>
      <c r="E406" s="378"/>
      <c r="F406" s="363">
        <f>VLOOKUP($B405,IF($H405="F",TeamSheetFemale,TeamSheetMale),$Y406-1,FALSE)</f>
        <v>0</v>
      </c>
      <c r="G406" s="380">
        <f>VLOOKUP($B405,IF($H405="F",TeamSheetFemale,TeamSheetMale),$Y406,FALSE)</f>
        <v>0</v>
      </c>
      <c r="H406" s="363">
        <f>VLOOKUP($B405,IF($H405="F",TeamSheetFemale,TeamSheetMale),$Y406+1,FALSE)</f>
        <v>0</v>
      </c>
      <c r="I406" s="364">
        <f>VLOOKUP($B405,IF($H405="F",TeamSheetFemale,TeamSheetMale),$Y406+2,FALSE)</f>
        <v>0</v>
      </c>
      <c r="K406" s="393" t="s">
        <v>271</v>
      </c>
      <c r="L406" s="16" t="str">
        <f t="shared" ref="L406:L413" si="350">LEFT(M406,1)</f>
        <v/>
      </c>
      <c r="M406" s="926"/>
      <c r="N406" s="926"/>
      <c r="O406" s="394" t="str">
        <f>IF(LEN($M406)=1,VLOOKUP(LEFT($M406,1),B406:I413,5,FALSE),IF(LEN($M406)=2,VLOOKUP(LEFT($M406,1),B406:I413,7,FALSE),""))</f>
        <v/>
      </c>
      <c r="P406" s="395" t="str">
        <f>IF(LEN($M406)=1,VLOOKUP(LEFT($M406,1),B406:I413,6,FALSE),IF(LEN($M406)=2,VLOOKUP(LEFT($M406,1),B406:I413,8,FALSE),""))</f>
        <v/>
      </c>
      <c r="Q406" s="393" t="s">
        <v>271</v>
      </c>
      <c r="R406" s="146" t="str">
        <f t="shared" ref="R406:R413" si="351">LEFT(S406,1)</f>
        <v/>
      </c>
      <c r="S406" s="926"/>
      <c r="T406" s="926"/>
      <c r="U406" s="394" t="str">
        <f>IF(LEN($S406)=1,VLOOKUP(LEFT($S406,1),B406:I413,5,FALSE),IF(LEN($S406)=2,VLOOKUP(LEFT($S406,1),B406:I413,7,FALSE),""))</f>
        <v/>
      </c>
      <c r="V406" s="395" t="str">
        <f>IF(LEN($S406)=1,VLOOKUP(LEFT($S406,1),B406:I413,6,FALSE),IF(LEN($S406)=2,VLOOKUP(LEFT($S406,1),B406:I413,8,FALSE),""))</f>
        <v/>
      </c>
      <c r="W406" s="417">
        <f>AN$6</f>
        <v>8</v>
      </c>
      <c r="Y406" s="416">
        <v>7</v>
      </c>
      <c r="Z406" s="653">
        <f t="shared" ref="Z406:Z413" si="352">IF(LEN(M406)&gt;0,VLOOKUP(LEFT(M406,1),ShortName,5,FALSE),0)</f>
        <v>0</v>
      </c>
      <c r="AA406" s="138">
        <f t="shared" ref="AA406:AA413" si="353">IF(LEN(S406)&gt;0,VLOOKUP(LEFT(S406,1),ShortName,5,FALSE),0)</f>
        <v>0</v>
      </c>
      <c r="AC406" s="16" t="str">
        <f t="shared" ref="AC406:AD413" si="354">B406</f>
        <v>S</v>
      </c>
      <c r="AD406" s="419" t="str">
        <f t="shared" si="354"/>
        <v>BRAT</v>
      </c>
      <c r="AE406" s="635">
        <f>IF(ISNA(MATCH(AC406,N406:N415,0)),0,VLOOKUP(AC406,N406:S415,5,FALSE))</f>
        <v>0</v>
      </c>
      <c r="AF406" s="635" t="str">
        <f>IF(ISNA(MATCH(AC406,T406:T415,0))," ",VLOOKUP(AC406,T406:Y415,5,FALSE))</f>
        <v xml:space="preserve"> </v>
      </c>
      <c r="AG406" s="635">
        <f>IF(ISNA(MATCH(AC406,L406:L413,0)),0,VLOOKUP(AC406,L406:N413,3,FALSE))</f>
        <v>0</v>
      </c>
      <c r="AH406" s="635">
        <f>IF(ISNA(MATCH(AC406,R406:R413,0)),0,VLOOKUP(AC406,R406:T413,3,FALSE))</f>
        <v>0</v>
      </c>
      <c r="AI406" s="635">
        <f>IF(ISNA(MATCH(AC406,L406:L413,0)),0,VLOOKUP(AC406,L406:P413,4,FALSE))</f>
        <v>0</v>
      </c>
      <c r="AJ406" s="635">
        <f>IF(ISNA(MATCH(AC406,R406:R413,0)),0,VLOOKUP(AC406,R406:U413,4,FALSE))</f>
        <v>0</v>
      </c>
      <c r="AK406" s="49">
        <f t="shared" ref="AK406:AK413" si="355">IF(AM406=0,0,AN$6-(AM406-1))</f>
        <v>0</v>
      </c>
      <c r="AL406" s="49">
        <f t="shared" ref="AL406:AL413" si="356">IF(AN406=0,0,AN$6-(AN406-1))</f>
        <v>0</v>
      </c>
      <c r="AM406" s="49">
        <f>IF(ISNA(MATCH(AC406,L406:L413,0)),0,VLOOKUP(AC406,L406:W413,AM$1,FALSE))</f>
        <v>0</v>
      </c>
      <c r="AN406" s="138">
        <f>IF(ISNA(MATCH(AC406,R406:R413,0)),0,VLOOKUP(AC406,R406:W413,AN$1,FALSE))</f>
        <v>0</v>
      </c>
      <c r="AP406" s="926"/>
      <c r="AQ406" s="926"/>
      <c r="AS406" s="32">
        <f>IF(LEN(N406)&gt;0,1,0)</f>
        <v>0</v>
      </c>
      <c r="AT406" s="32">
        <f>IF(AND(AS406=1,H405="M"),1,0)</f>
        <v>0</v>
      </c>
      <c r="AU406" s="32">
        <f>IF(AND(AS406=1,H405="F"),1,0)</f>
        <v>0</v>
      </c>
    </row>
    <row r="407" spans="1:47" ht="15.6" x14ac:dyDescent="0.3">
      <c r="A407" s="417">
        <f>A406+1</f>
        <v>362</v>
      </c>
      <c r="B407" s="362" t="str">
        <f>'Event Details'!D$23</f>
        <v>U</v>
      </c>
      <c r="C407" s="381" t="str">
        <f>'Event Details'!E$23</f>
        <v>Kidder &amp; Stourport</v>
      </c>
      <c r="D407" s="379"/>
      <c r="E407" s="378"/>
      <c r="F407" s="363">
        <f>VLOOKUP($B405,IF($H405="F",TeamSheetFemale,TeamSheetMale),$Y407-1,FALSE)</f>
        <v>0</v>
      </c>
      <c r="G407" s="380">
        <f>VLOOKUP($B405,IF($H405="F",TeamSheetFemale,TeamSheetMale),$Y407,FALSE)</f>
        <v>0</v>
      </c>
      <c r="H407" s="363">
        <f>VLOOKUP($B405,IF($H405="F",TeamSheetFemale,TeamSheetMale),$Y407+1,FALSE)</f>
        <v>0</v>
      </c>
      <c r="I407" s="364">
        <f>VLOOKUP($B405,IF($H405="F",TeamSheetFemale,TeamSheetMale),$Y407+2,FALSE)</f>
        <v>0</v>
      </c>
      <c r="K407" s="341" t="s">
        <v>272</v>
      </c>
      <c r="L407" s="16" t="str">
        <f t="shared" si="350"/>
        <v/>
      </c>
      <c r="M407" s="927"/>
      <c r="N407" s="927"/>
      <c r="O407" s="353" t="str">
        <f>IF(LEN($M407)=1,VLOOKUP(LEFT($M407,1),B406:I413,5,FALSE),IF(LEN($M407)=2,VLOOKUP(LEFT($M407,1),B406:I413,7,FALSE),""))</f>
        <v/>
      </c>
      <c r="P407" s="373" t="str">
        <f>IF(LEN($M407)=1,VLOOKUP(LEFT($M407,1),B406:I413,6,FALSE),IF(LEN($M407)=2,VLOOKUP(LEFT($M407,1),B406:I413,8,FALSE),""))</f>
        <v/>
      </c>
      <c r="Q407" s="341" t="s">
        <v>272</v>
      </c>
      <c r="R407" s="146" t="str">
        <f t="shared" si="351"/>
        <v/>
      </c>
      <c r="S407" s="927"/>
      <c r="T407" s="927"/>
      <c r="U407" s="353" t="str">
        <f>IF(LEN($S407)=1,VLOOKUP(LEFT($S407,1),B406:I413,5,FALSE),IF(LEN($S407)=2,VLOOKUP(LEFT($S407,1),B406:I413,7,FALSE),""))</f>
        <v/>
      </c>
      <c r="V407" s="373" t="str">
        <f>IF(LEN($S407)=1,VLOOKUP(LEFT($S407,1),B406:I413,6,FALSE),IF(LEN($S407)=2,VLOOKUP(LEFT($S407,1),B406:I413,8,FALSE),""))</f>
        <v/>
      </c>
      <c r="W407" s="417">
        <f>W406-1</f>
        <v>7</v>
      </c>
      <c r="Y407" s="417">
        <v>12</v>
      </c>
      <c r="Z407" s="16">
        <f t="shared" si="352"/>
        <v>0</v>
      </c>
      <c r="AA407" s="146">
        <f t="shared" si="353"/>
        <v>0</v>
      </c>
      <c r="AC407" s="16" t="str">
        <f t="shared" si="354"/>
        <v>U</v>
      </c>
      <c r="AD407" s="419" t="str">
        <f t="shared" si="354"/>
        <v>Kidder &amp; Stourport</v>
      </c>
      <c r="AE407" s="419">
        <f>IF(ISNA(MATCH(AC407,N406:N415,0)),0,VLOOKUP(AC407,N406:S415,5,FALSE))</f>
        <v>0</v>
      </c>
      <c r="AF407" s="419" t="str">
        <f>IF(ISNA(MATCH(AC407,T406:T415,0))," ",VLOOKUP(AC407,T406:Y415,5,FALSE))</f>
        <v xml:space="preserve"> </v>
      </c>
      <c r="AG407" s="419">
        <f>IF(ISNA(MATCH(AC407,L406:L413,0)),0,VLOOKUP(AC407,L406:N413,3,FALSE))</f>
        <v>0</v>
      </c>
      <c r="AH407" s="419">
        <f>IF(ISNA(MATCH(AC407,R406:R413,0)),0,VLOOKUP(AC407,R406:T413,3,FALSE))</f>
        <v>0</v>
      </c>
      <c r="AI407" s="419">
        <f>IF(ISNA(MATCH(AC407,L406:L413,0)),0,VLOOKUP(AC407,L406:P413,4,FALSE))</f>
        <v>0</v>
      </c>
      <c r="AJ407" s="419">
        <f>IF(ISNA(MATCH(AC407,R406:R413,0)),0,VLOOKUP(AC407,R406:U413,4,FALSE))</f>
        <v>0</v>
      </c>
      <c r="AK407" s="32">
        <f t="shared" si="355"/>
        <v>0</v>
      </c>
      <c r="AL407" s="32">
        <f t="shared" si="356"/>
        <v>0</v>
      </c>
      <c r="AM407" s="32">
        <f>IF(ISNA(MATCH(AC407,L406:L413,0)),0,VLOOKUP(AC407,L406:W413,AM$1,FALSE))</f>
        <v>0</v>
      </c>
      <c r="AN407" s="146">
        <f>IF(ISNA(MATCH(AC407,R406:R413,0)),0,VLOOKUP(AC407,R406:W413,AN$1,FALSE))</f>
        <v>0</v>
      </c>
      <c r="AP407" s="927"/>
      <c r="AQ407" s="927"/>
    </row>
    <row r="408" spans="1:47" ht="15.6" x14ac:dyDescent="0.3">
      <c r="A408" s="417">
        <f t="shared" ref="A408:A413" si="357">A407+1</f>
        <v>363</v>
      </c>
      <c r="B408" s="362" t="str">
        <f>'Event Details'!D$24</f>
        <v>G</v>
      </c>
      <c r="C408" s="381" t="str">
        <f>'Event Details'!E$24</f>
        <v>Royal Sutton</v>
      </c>
      <c r="D408" s="379"/>
      <c r="E408" s="378"/>
      <c r="F408" s="363" t="str">
        <f>VLOOKUP($B405,IF($H405="F",TeamSheetFemale,TeamSheetMale),$Y408-1,FALSE)</f>
        <v>G</v>
      </c>
      <c r="G408" s="380">
        <f>VLOOKUP($B405,IF($H405="F",TeamSheetFemale,TeamSheetMale),$Y408,FALSE)</f>
        <v>0</v>
      </c>
      <c r="H408" s="363" t="str">
        <f>VLOOKUP($B405,IF($H405="F",TeamSheetFemale,TeamSheetMale),$Y408+1,FALSE)</f>
        <v>GG</v>
      </c>
      <c r="I408" s="364">
        <f>VLOOKUP($B405,IF($H405="F",TeamSheetFemale,TeamSheetMale),$Y408+2,FALSE)</f>
        <v>0</v>
      </c>
      <c r="K408" s="341" t="s">
        <v>273</v>
      </c>
      <c r="L408" s="16" t="str">
        <f t="shared" si="350"/>
        <v/>
      </c>
      <c r="M408" s="927"/>
      <c r="N408" s="927"/>
      <c r="O408" s="353" t="str">
        <f>IF(LEN($M408)=1,VLOOKUP(LEFT($M408,1),B406:I413,5,FALSE),IF(LEN($M408)=2,VLOOKUP(LEFT($M408,1),B406:I413,7,FALSE),""))</f>
        <v/>
      </c>
      <c r="P408" s="373" t="str">
        <f>IF(LEN($M408)=1,VLOOKUP(LEFT($M408,1),B406:I413,6,FALSE),IF(LEN($M408)=2,VLOOKUP(LEFT($M408,1),B406:I413,8,FALSE),""))</f>
        <v/>
      </c>
      <c r="Q408" s="341" t="s">
        <v>273</v>
      </c>
      <c r="R408" s="146" t="str">
        <f t="shared" si="351"/>
        <v/>
      </c>
      <c r="S408" s="927"/>
      <c r="T408" s="927"/>
      <c r="U408" s="353" t="str">
        <f>IF(LEN($S408)=1,VLOOKUP(LEFT($S408,1),B406:I413,5,FALSE),IF(LEN($S408)=2,VLOOKUP(LEFT($S408,1),B406:I413,7,FALSE),""))</f>
        <v/>
      </c>
      <c r="V408" s="373" t="str">
        <f>IF(LEN($S408)=1,VLOOKUP(LEFT($S408,1),B406:I413,6,FALSE),IF(LEN($S408)=2,VLOOKUP(LEFT($S408,1),B406:I413,8,FALSE),""))</f>
        <v/>
      </c>
      <c r="W408" s="417">
        <f t="shared" ref="W408:W413" si="358">W407-1</f>
        <v>6</v>
      </c>
      <c r="Y408" s="417">
        <v>17</v>
      </c>
      <c r="Z408" s="16">
        <f t="shared" si="352"/>
        <v>0</v>
      </c>
      <c r="AA408" s="146">
        <f t="shared" si="353"/>
        <v>0</v>
      </c>
      <c r="AB408" s="32"/>
      <c r="AC408" s="16" t="str">
        <f t="shared" si="354"/>
        <v>G</v>
      </c>
      <c r="AD408" s="419" t="str">
        <f t="shared" si="354"/>
        <v>Royal Sutton</v>
      </c>
      <c r="AE408" s="419">
        <f>IF(ISNA(MATCH(AC408,N406:N415,0)),0,VLOOKUP(AC408,N406:S415,5,FALSE))</f>
        <v>0</v>
      </c>
      <c r="AF408" s="419" t="str">
        <f>IF(ISNA(MATCH(AC408,T406:T415,0))," ",VLOOKUP(AC408,T406:Y415,5,FALSE))</f>
        <v xml:space="preserve"> </v>
      </c>
      <c r="AG408" s="419">
        <f>IF(ISNA(MATCH(AC408,L406:L413,0)),0,VLOOKUP(AC408,L406:N413,3,FALSE))</f>
        <v>0</v>
      </c>
      <c r="AH408" s="419">
        <f>IF(ISNA(MATCH(AC408,R406:R413,0)),0,VLOOKUP(AC408,R406:T413,3,FALSE))</f>
        <v>0</v>
      </c>
      <c r="AI408" s="419">
        <f>IF(ISNA(MATCH(AC408,L406:L413,0)),0,VLOOKUP(AC408,L406:P413,4,FALSE))</f>
        <v>0</v>
      </c>
      <c r="AJ408" s="419">
        <f>IF(ISNA(MATCH(AC408,R406:R413,0)),0,VLOOKUP(AC408,R406:U413,4,FALSE))</f>
        <v>0</v>
      </c>
      <c r="AK408" s="32">
        <f t="shared" si="355"/>
        <v>0</v>
      </c>
      <c r="AL408" s="32">
        <f t="shared" si="356"/>
        <v>0</v>
      </c>
      <c r="AM408" s="32">
        <f>IF(ISNA(MATCH(AC408,L406:L413,0)),0,VLOOKUP(AC408,L406:W413,AM$1,FALSE))</f>
        <v>0</v>
      </c>
      <c r="AN408" s="146">
        <f>IF(ISNA(MATCH(AC408,R406:R413,0)),0,VLOOKUP(AC408,R406:W413,AN$1,FALSE))</f>
        <v>0</v>
      </c>
      <c r="AP408" s="927"/>
      <c r="AQ408" s="927"/>
    </row>
    <row r="409" spans="1:47" ht="15.6" x14ac:dyDescent="0.3">
      <c r="A409" s="417">
        <f t="shared" si="357"/>
        <v>364</v>
      </c>
      <c r="B409" s="362" t="str">
        <f>'Event Details'!D$25</f>
        <v>R</v>
      </c>
      <c r="C409" s="381" t="str">
        <f>'Event Details'!E$25</f>
        <v>Rugby &amp; N'hampton</v>
      </c>
      <c r="D409" s="379"/>
      <c r="E409" s="378"/>
      <c r="F409" s="363" t="str">
        <f>VLOOKUP($B405,IF($H405="F",TeamSheetFemale,TeamSheetMale),$Y409-1,FALSE)</f>
        <v>R</v>
      </c>
      <c r="G409" s="380">
        <f>VLOOKUP($B405,IF($H405="F",TeamSheetFemale,TeamSheetMale),$Y409,FALSE)</f>
        <v>0</v>
      </c>
      <c r="H409" s="363" t="str">
        <f>VLOOKUP($B405,IF($H405="F",TeamSheetFemale,TeamSheetMale),$Y409+1,FALSE)</f>
        <v>RR</v>
      </c>
      <c r="I409" s="364">
        <f>VLOOKUP($B405,IF($H405="F",TeamSheetFemale,TeamSheetMale),$Y409+2,FALSE)</f>
        <v>0</v>
      </c>
      <c r="K409" s="341" t="s">
        <v>274</v>
      </c>
      <c r="L409" s="16" t="str">
        <f t="shared" si="350"/>
        <v/>
      </c>
      <c r="M409" s="927"/>
      <c r="N409" s="927"/>
      <c r="O409" s="353" t="str">
        <f>IF(LEN($M409)=1,VLOOKUP(LEFT($M409,1),B406:I413,5,FALSE),IF(LEN($M409)=2,VLOOKUP(LEFT($M409,1),B406:I413,7,FALSE),""))</f>
        <v/>
      </c>
      <c r="P409" s="373" t="str">
        <f>IF(LEN($M409)=1,VLOOKUP(LEFT($M409,1),B406:I413,6,FALSE),IF(LEN($M409)=2,VLOOKUP(LEFT($M409,1),B406:I413,8,FALSE),""))</f>
        <v/>
      </c>
      <c r="Q409" s="341" t="s">
        <v>274</v>
      </c>
      <c r="R409" s="146" t="str">
        <f t="shared" si="351"/>
        <v/>
      </c>
      <c r="S409" s="927"/>
      <c r="T409" s="927"/>
      <c r="U409" s="353" t="str">
        <f>IF(LEN($S409)=1,VLOOKUP(LEFT($S409,1),B406:I413,5,FALSE),IF(LEN($S409)=2,VLOOKUP(LEFT($S409,1),B406:I413,7,FALSE),""))</f>
        <v/>
      </c>
      <c r="V409" s="373" t="str">
        <f>IF(LEN($S409)=1,VLOOKUP(LEFT($S409,1),B406:I413,6,FALSE),IF(LEN($S409)=2,VLOOKUP(LEFT($S409,1),B406:I413,8,FALSE),""))</f>
        <v/>
      </c>
      <c r="W409" s="417">
        <f t="shared" si="358"/>
        <v>5</v>
      </c>
      <c r="Y409" s="417">
        <v>22</v>
      </c>
      <c r="Z409" s="16">
        <f t="shared" si="352"/>
        <v>0</v>
      </c>
      <c r="AA409" s="146">
        <f t="shared" si="353"/>
        <v>0</v>
      </c>
      <c r="AB409" s="32"/>
      <c r="AC409" s="16" t="str">
        <f t="shared" si="354"/>
        <v>R</v>
      </c>
      <c r="AD409" s="419" t="str">
        <f t="shared" si="354"/>
        <v>Rugby &amp; N'hampton</v>
      </c>
      <c r="AE409" s="419">
        <f>IF(ISNA(MATCH(AC409,N406:N415,0)),0,VLOOKUP(AC409,N406:S415,5,FALSE))</f>
        <v>0</v>
      </c>
      <c r="AF409" s="419" t="str">
        <f>IF(ISNA(MATCH(AC409,T406:T415,0))," ",VLOOKUP(AC409,T406:Y415,5,FALSE))</f>
        <v xml:space="preserve"> </v>
      </c>
      <c r="AG409" s="419">
        <f>IF(ISNA(MATCH(AC409,L406:L413,0)),0,VLOOKUP(AC409,L406:N413,3,FALSE))</f>
        <v>0</v>
      </c>
      <c r="AH409" s="419">
        <f>IF(ISNA(MATCH(AC409,R406:R413,0)),0,VLOOKUP(AC409,R406:T413,3,FALSE))</f>
        <v>0</v>
      </c>
      <c r="AI409" s="419">
        <f>IF(ISNA(MATCH(AC409,L406:L413,0)),0,VLOOKUP(AC409,L406:P413,4,FALSE))</f>
        <v>0</v>
      </c>
      <c r="AJ409" s="419">
        <f>IF(ISNA(MATCH(AC409,R406:R413,0)),0,VLOOKUP(AC409,R406:U413,4,FALSE))</f>
        <v>0</v>
      </c>
      <c r="AK409" s="32">
        <f t="shared" si="355"/>
        <v>0</v>
      </c>
      <c r="AL409" s="32">
        <f t="shared" si="356"/>
        <v>0</v>
      </c>
      <c r="AM409" s="32">
        <f>IF(ISNA(MATCH(AC409,L406:L413,0)),0,VLOOKUP(AC409,L406:W413,AM$1,FALSE))</f>
        <v>0</v>
      </c>
      <c r="AN409" s="146">
        <f>IF(ISNA(MATCH(AC409,R406:R413,0)),0,VLOOKUP(AC409,R406:W413,AN$1,FALSE))</f>
        <v>0</v>
      </c>
      <c r="AP409" s="927"/>
      <c r="AQ409" s="927"/>
    </row>
    <row r="410" spans="1:47" ht="15.6" x14ac:dyDescent="0.3">
      <c r="A410" s="417">
        <f t="shared" si="357"/>
        <v>365</v>
      </c>
      <c r="B410" s="362" t="str">
        <f>'Event Details'!D$26</f>
        <v>M</v>
      </c>
      <c r="C410" s="381" t="str">
        <f>'Event Details'!E$26</f>
        <v>Solihull &amp; S.Heath</v>
      </c>
      <c r="D410" s="379"/>
      <c r="E410" s="378"/>
      <c r="F410" s="363">
        <f>VLOOKUP($B405,IF($H405="F",TeamSheetFemale,TeamSheetMale),$Y410-1,FALSE)</f>
        <v>0</v>
      </c>
      <c r="G410" s="380">
        <f>VLOOKUP($B405,IF($H405="F",TeamSheetFemale,TeamSheetMale),$Y410,FALSE)</f>
        <v>0</v>
      </c>
      <c r="H410" s="363">
        <f>VLOOKUP($B405,IF($H405="F",TeamSheetFemale,TeamSheetMale),$Y410+1,FALSE)</f>
        <v>0</v>
      </c>
      <c r="I410" s="364">
        <f>VLOOKUP($B405,IF($H405="F",TeamSheetFemale,TeamSheetMale),$Y410+2,FALSE)</f>
        <v>0</v>
      </c>
      <c r="K410" s="341" t="s">
        <v>275</v>
      </c>
      <c r="L410" s="16" t="str">
        <f t="shared" si="350"/>
        <v/>
      </c>
      <c r="M410" s="927"/>
      <c r="N410" s="927"/>
      <c r="O410" s="353" t="str">
        <f>IF(LEN($M410)=1,VLOOKUP(LEFT($M410,1),B406:I413,5,FALSE),IF(LEN($M410)=2,VLOOKUP(LEFT($M410,1),B406:I413,7,FALSE),""))</f>
        <v/>
      </c>
      <c r="P410" s="373" t="str">
        <f>IF(LEN($M410)=1,VLOOKUP(LEFT($M410,1),B406:I413,6,FALSE),IF(LEN($M410)=2,VLOOKUP(LEFT($M410,1),B406:I413,8,FALSE),""))</f>
        <v/>
      </c>
      <c r="Q410" s="341" t="s">
        <v>275</v>
      </c>
      <c r="R410" s="146" t="str">
        <f t="shared" si="351"/>
        <v/>
      </c>
      <c r="S410" s="927"/>
      <c r="T410" s="927"/>
      <c r="U410" s="353" t="str">
        <f>IF(LEN($S410)=1,VLOOKUP(LEFT($S410,1),B406:I413,5,FALSE),IF(LEN($S410)=2,VLOOKUP(LEFT($S410,1),B406:I413,7,FALSE),""))</f>
        <v/>
      </c>
      <c r="V410" s="373" t="str">
        <f>IF(LEN($S410)=1,VLOOKUP(LEFT($S410,1),B406:I413,6,FALSE),IF(LEN($S410)=2,VLOOKUP(LEFT($S410,1),B406:I413,8,FALSE),""))</f>
        <v/>
      </c>
      <c r="W410" s="417">
        <f t="shared" si="358"/>
        <v>4</v>
      </c>
      <c r="Y410" s="417">
        <v>27</v>
      </c>
      <c r="Z410" s="16">
        <f t="shared" si="352"/>
        <v>0</v>
      </c>
      <c r="AA410" s="146">
        <f t="shared" si="353"/>
        <v>0</v>
      </c>
      <c r="AB410" s="32"/>
      <c r="AC410" s="16" t="str">
        <f t="shared" si="354"/>
        <v>M</v>
      </c>
      <c r="AD410" s="419" t="str">
        <f t="shared" si="354"/>
        <v>Solihull &amp; S.Heath</v>
      </c>
      <c r="AE410" s="419">
        <f>IF(ISNA(MATCH(AC410,N406:N415,0)),0,VLOOKUP(AC410,N406:S415,5,FALSE))</f>
        <v>0</v>
      </c>
      <c r="AF410" s="419" t="str">
        <f>IF(ISNA(MATCH(AC410,T406:T415,0))," ",VLOOKUP(AC410,T406:Y415,5,FALSE))</f>
        <v xml:space="preserve"> </v>
      </c>
      <c r="AG410" s="419">
        <f>IF(ISNA(MATCH(AC410,L406:L413,0)),0,VLOOKUP(AC410,L406:N413,3,FALSE))</f>
        <v>0</v>
      </c>
      <c r="AH410" s="419">
        <f>IF(ISNA(MATCH(AC410,R406:R413,0)),0,VLOOKUP(AC410,R406:T413,3,FALSE))</f>
        <v>0</v>
      </c>
      <c r="AI410" s="419">
        <f>IF(ISNA(MATCH(AC410,L406:L413,0)),0,VLOOKUP(AC410,L406:P413,4,FALSE))</f>
        <v>0</v>
      </c>
      <c r="AJ410" s="419">
        <f>IF(ISNA(MATCH(AC410,R406:R413,0)),0,VLOOKUP(AC410,R406:U413,4,FALSE))</f>
        <v>0</v>
      </c>
      <c r="AK410" s="32">
        <f t="shared" si="355"/>
        <v>0</v>
      </c>
      <c r="AL410" s="32">
        <f t="shared" si="356"/>
        <v>0</v>
      </c>
      <c r="AM410" s="32">
        <f>IF(ISNA(MATCH(AC410,L406:L413,0)),0,VLOOKUP(AC410,L406:W413,AM$1,FALSE))</f>
        <v>0</v>
      </c>
      <c r="AN410" s="146">
        <f>IF(ISNA(MATCH(AC410,R406:R413,0)),0,VLOOKUP(AC410,R406:W413,AN$1,FALSE))</f>
        <v>0</v>
      </c>
      <c r="AP410" s="927"/>
      <c r="AQ410" s="927"/>
    </row>
    <row r="411" spans="1:47" ht="15.6" x14ac:dyDescent="0.3">
      <c r="A411" s="417">
        <f t="shared" si="357"/>
        <v>366</v>
      </c>
      <c r="B411" s="362" t="str">
        <f>'Event Details'!D$27</f>
        <v>D</v>
      </c>
      <c r="C411" s="381" t="str">
        <f>'Event Details'!E$27</f>
        <v>Stratford</v>
      </c>
      <c r="D411" s="379"/>
      <c r="E411" s="378"/>
      <c r="F411" s="363">
        <f>VLOOKUP($B405,IF($H405="F",TeamSheetFemale,TeamSheetMale),$Y411-1,FALSE)</f>
        <v>0</v>
      </c>
      <c r="G411" s="380">
        <f>VLOOKUP($B405,IF($H405="F",TeamSheetFemale,TeamSheetMale),$Y411,FALSE)</f>
        <v>0</v>
      </c>
      <c r="H411" s="363">
        <f>VLOOKUP($B405,IF($H405="F",TeamSheetFemale,TeamSheetMale),$Y411+1,FALSE)</f>
        <v>0</v>
      </c>
      <c r="I411" s="364">
        <f>VLOOKUP($B405,IF($H405="F",TeamSheetFemale,TeamSheetMale),$Y411+2,FALSE)</f>
        <v>0</v>
      </c>
      <c r="K411" s="341" t="s">
        <v>276</v>
      </c>
      <c r="L411" s="16" t="str">
        <f t="shared" si="350"/>
        <v/>
      </c>
      <c r="M411" s="927"/>
      <c r="N411" s="927"/>
      <c r="O411" s="353" t="str">
        <f>IF(LEN($M411)=1,VLOOKUP(LEFT($M411,1),B406:I413,5,FALSE),IF(LEN($M411)=2,VLOOKUP(LEFT($M411,1),B406:I413,7,FALSE),""))</f>
        <v/>
      </c>
      <c r="P411" s="373" t="str">
        <f>IF(LEN($M411)=1,VLOOKUP(LEFT($M411,1),B406:I413,6,FALSE),IF(LEN($M411)=2,VLOOKUP(LEFT($M411,1),B406:I413,8,FALSE),""))</f>
        <v/>
      </c>
      <c r="Q411" s="341" t="s">
        <v>276</v>
      </c>
      <c r="R411" s="146" t="str">
        <f t="shared" si="351"/>
        <v/>
      </c>
      <c r="S411" s="927"/>
      <c r="T411" s="927"/>
      <c r="U411" s="353" t="str">
        <f>IF(LEN($S411)=1,VLOOKUP(LEFT($S411,1),B406:I413,5,FALSE),IF(LEN($S411)=2,VLOOKUP(LEFT($S411,1),B406:I413,7,FALSE),""))</f>
        <v/>
      </c>
      <c r="V411" s="373" t="str">
        <f>IF(LEN($S411)=1,VLOOKUP(LEFT($S411,1),B406:I413,6,FALSE),IF(LEN($S411)=2,VLOOKUP(LEFT($S411,1),B406:I413,8,FALSE),""))</f>
        <v/>
      </c>
      <c r="W411" s="417">
        <f t="shared" si="358"/>
        <v>3</v>
      </c>
      <c r="Y411" s="417">
        <v>32</v>
      </c>
      <c r="Z411" s="16">
        <f t="shared" si="352"/>
        <v>0</v>
      </c>
      <c r="AA411" s="146">
        <f t="shared" si="353"/>
        <v>0</v>
      </c>
      <c r="AB411" s="32"/>
      <c r="AC411" s="16" t="str">
        <f t="shared" si="354"/>
        <v>D</v>
      </c>
      <c r="AD411" s="419" t="str">
        <f t="shared" si="354"/>
        <v>Stratford</v>
      </c>
      <c r="AE411" s="419">
        <f>IF(ISNA(MATCH(AC411,N406:N415,0)),0,VLOOKUP(AC411,N406:S415,5,FALSE))</f>
        <v>0</v>
      </c>
      <c r="AF411" s="419" t="str">
        <f>IF(ISNA(MATCH(AC411,T406:T415,0))," ",VLOOKUP(AC411,T406:Y415,5,FALSE))</f>
        <v xml:space="preserve"> </v>
      </c>
      <c r="AG411" s="419">
        <f>IF(ISNA(MATCH(AC411,L406:L413,0)),0,VLOOKUP(AC411,L406:N413,3,FALSE))</f>
        <v>0</v>
      </c>
      <c r="AH411" s="419">
        <f>IF(ISNA(MATCH(AC411,R406:R413,0)),0,VLOOKUP(AC411,R406:T413,3,FALSE))</f>
        <v>0</v>
      </c>
      <c r="AI411" s="419">
        <f>IF(ISNA(MATCH(AC411,L406:L413,0)),0,VLOOKUP(AC411,L406:P413,4,FALSE))</f>
        <v>0</v>
      </c>
      <c r="AJ411" s="419">
        <f>IF(ISNA(MATCH(AC411,R406:R413,0)),0,VLOOKUP(AC411,R406:U413,4,FALSE))</f>
        <v>0</v>
      </c>
      <c r="AK411" s="32">
        <f t="shared" si="355"/>
        <v>0</v>
      </c>
      <c r="AL411" s="32">
        <f t="shared" si="356"/>
        <v>0</v>
      </c>
      <c r="AM411" s="32">
        <f>IF(ISNA(MATCH(AC411,L406:L413,0)),0,VLOOKUP(AC411,L406:W413,AM$1,FALSE))</f>
        <v>0</v>
      </c>
      <c r="AN411" s="146">
        <f>IF(ISNA(MATCH(AC411,R406:R413,0)),0,VLOOKUP(AC411,R406:W413,AN$1,FALSE))</f>
        <v>0</v>
      </c>
      <c r="AP411" s="927"/>
      <c r="AQ411" s="927"/>
    </row>
    <row r="412" spans="1:47" ht="15.6" x14ac:dyDescent="0.3">
      <c r="A412" s="417">
        <f t="shared" si="357"/>
        <v>367</v>
      </c>
      <c r="B412" s="362" t="str">
        <f>'Event Details'!D$28</f>
        <v>F</v>
      </c>
      <c r="C412" s="381" t="str">
        <f>'Event Details'!E$28</f>
        <v>Tamworth</v>
      </c>
      <c r="D412" s="379"/>
      <c r="E412" s="378"/>
      <c r="F412" s="363">
        <f>VLOOKUP($B405,IF($H405="F",TeamSheetFemale,TeamSheetMale),$Y412-1,FALSE)</f>
        <v>0</v>
      </c>
      <c r="G412" s="380">
        <f>VLOOKUP($B405,IF($H405="F",TeamSheetFemale,TeamSheetMale),$Y412,FALSE)</f>
        <v>0</v>
      </c>
      <c r="H412" s="363">
        <f>VLOOKUP($B405,IF($H405="F",TeamSheetFemale,TeamSheetMale),$Y412+1,FALSE)</f>
        <v>0</v>
      </c>
      <c r="I412" s="364">
        <f>VLOOKUP($B405,IF($H405="F",TeamSheetFemale,TeamSheetMale),$Y412+2,FALSE)</f>
        <v>0</v>
      </c>
      <c r="K412" s="341" t="s">
        <v>277</v>
      </c>
      <c r="L412" s="16" t="str">
        <f t="shared" si="350"/>
        <v/>
      </c>
      <c r="M412" s="927"/>
      <c r="N412" s="927"/>
      <c r="O412" s="353" t="str">
        <f>IF(LEN($M412)=1,VLOOKUP(LEFT($M412,1),B406:I413,5,FALSE),IF(LEN($M412)=2,VLOOKUP(LEFT($M412,1),B406:I413,7,FALSE),""))</f>
        <v/>
      </c>
      <c r="P412" s="373" t="str">
        <f>IF(LEN($M412)=1,VLOOKUP(LEFT($M412,1),B406:I413,6,FALSE),IF(LEN($M412)=2,VLOOKUP(LEFT($M412,1),B406:I413,8,FALSE),""))</f>
        <v/>
      </c>
      <c r="Q412" s="341" t="s">
        <v>277</v>
      </c>
      <c r="R412" s="146" t="str">
        <f t="shared" si="351"/>
        <v/>
      </c>
      <c r="S412" s="927"/>
      <c r="T412" s="927"/>
      <c r="U412" s="353" t="str">
        <f>IF(LEN($S412)=1,VLOOKUP(LEFT($S412,1),B406:I413,5,FALSE),IF(LEN($S412)=2,VLOOKUP(LEFT($S412,1),B406:I413,7,FALSE),""))</f>
        <v/>
      </c>
      <c r="V412" s="373" t="str">
        <f>IF(LEN($S412)=1,VLOOKUP(LEFT($S412,1),B406:I413,6,FALSE),IF(LEN($S412)=2,VLOOKUP(LEFT($S412,1),B406:I413,8,FALSE),""))</f>
        <v/>
      </c>
      <c r="W412" s="417">
        <f t="shared" si="358"/>
        <v>2</v>
      </c>
      <c r="Y412" s="417">
        <v>37</v>
      </c>
      <c r="Z412" s="16">
        <f t="shared" si="352"/>
        <v>0</v>
      </c>
      <c r="AA412" s="146">
        <f t="shared" si="353"/>
        <v>0</v>
      </c>
      <c r="AB412" s="32"/>
      <c r="AC412" s="16" t="str">
        <f t="shared" si="354"/>
        <v>F</v>
      </c>
      <c r="AD412" s="419" t="str">
        <f t="shared" si="354"/>
        <v>Tamworth</v>
      </c>
      <c r="AE412" s="419">
        <f>IF(ISNA(MATCH(AC412,N404:N413,0)),0,VLOOKUP(AC412,N404:S413,5,FALSE))</f>
        <v>0</v>
      </c>
      <c r="AF412" s="419" t="str">
        <f>IF(ISNA(MATCH(AC412,T404:T413,0))," ",VLOOKUP(AC412,T404:Y413,5,FALSE))</f>
        <v xml:space="preserve"> </v>
      </c>
      <c r="AG412" s="419">
        <f>IF(ISNA(MATCH(AC412,L406:L413,0)),0,VLOOKUP(AC412,L406:N413,3,FALSE))</f>
        <v>0</v>
      </c>
      <c r="AH412" s="419">
        <f>IF(ISNA(MATCH(AC412,R406:R413,0)),0,VLOOKUP(AC412,R406:T413,3,FALSE))</f>
        <v>0</v>
      </c>
      <c r="AI412" s="419">
        <f>IF(ISNA(MATCH(AC412,L406:L413,0)),0,VLOOKUP(AC412,L406:P413,4,FALSE))</f>
        <v>0</v>
      </c>
      <c r="AJ412" s="419">
        <f>IF(ISNA(MATCH(AC412,R406:R413,0)),0,VLOOKUP(AC412,R406:U413,4,FALSE))</f>
        <v>0</v>
      </c>
      <c r="AK412" s="32">
        <f t="shared" si="355"/>
        <v>0</v>
      </c>
      <c r="AL412" s="32">
        <f t="shared" si="356"/>
        <v>0</v>
      </c>
      <c r="AM412" s="32">
        <f>IF(ISNA(MATCH(AC412,L406:L413,0)),0,VLOOKUP(AC412,L406:W413,AM$1,FALSE))</f>
        <v>0</v>
      </c>
      <c r="AN412" s="146">
        <f>IF(ISNA(MATCH(AC412,R406:R413,0)),0,VLOOKUP(AC412,R406:W413,AN$1,FALSE))</f>
        <v>0</v>
      </c>
      <c r="AP412" s="927"/>
      <c r="AQ412" s="927"/>
    </row>
    <row r="413" spans="1:47" ht="16.2" thickBot="1" x14ac:dyDescent="0.35">
      <c r="A413" s="418">
        <f t="shared" si="357"/>
        <v>368</v>
      </c>
      <c r="B413" s="365" t="str">
        <f>'Event Details'!D$29</f>
        <v>Y</v>
      </c>
      <c r="C413" s="366" t="str">
        <f>'Event Details'!E$29</f>
        <v>Worcester</v>
      </c>
      <c r="D413" s="361"/>
      <c r="E413" s="370"/>
      <c r="F413" s="367">
        <f>VLOOKUP($B405,IF($H405="F",TeamSheetFemale,TeamSheetMale),$Y413-1,FALSE)</f>
        <v>0</v>
      </c>
      <c r="G413" s="368">
        <f>VLOOKUP($B405,IF($H405="F",TeamSheetFemale,TeamSheetMale),$Y413,FALSE)</f>
        <v>0</v>
      </c>
      <c r="H413" s="367">
        <f>VLOOKUP($B405,IF($H405="F",TeamSheetFemale,TeamSheetMale),$Y413+1,FALSE)</f>
        <v>0</v>
      </c>
      <c r="I413" s="369">
        <f>VLOOKUP($B405,IF($H405="F",TeamSheetFemale,TeamSheetMale),$Y413+2,FALSE)</f>
        <v>0</v>
      </c>
      <c r="K413" s="346" t="s">
        <v>278</v>
      </c>
      <c r="L413" s="25" t="str">
        <f t="shared" si="350"/>
        <v/>
      </c>
      <c r="M413" s="928"/>
      <c r="N413" s="932"/>
      <c r="O413" s="375" t="str">
        <f>IF(LEN($M413)=1,VLOOKUP(LEFT($M413,1),B406:I413,5,FALSE),IF(LEN($M413)=2,VLOOKUP(LEFT($M413,1),B406:I413,7,FALSE),""))</f>
        <v/>
      </c>
      <c r="P413" s="376" t="str">
        <f>IF(LEN($M413)=1,VLOOKUP(LEFT($M413,1),B406:I413,6,FALSE),IF(LEN($M413)=2,VLOOKUP(LEFT($M413,1),B406:I413,8,FALSE),""))</f>
        <v/>
      </c>
      <c r="Q413" s="346" t="s">
        <v>278</v>
      </c>
      <c r="R413" s="523" t="str">
        <f t="shared" si="351"/>
        <v/>
      </c>
      <c r="S413" s="928"/>
      <c r="T413" s="932"/>
      <c r="U413" s="375" t="str">
        <f>IF(LEN($S413)=1,VLOOKUP(LEFT($S413,1),B406:I413,5,FALSE),IF(LEN($S413)=2,VLOOKUP(LEFT($S413,1),B406:I413,7,FALSE),""))</f>
        <v/>
      </c>
      <c r="V413" s="376" t="str">
        <f>IF(LEN($S413)=1,VLOOKUP(LEFT($S413,1),B406:I413,6,FALSE),IF(LEN($S413)=2,VLOOKUP(LEFT($S413,1),B406:I413,8,FALSE),""))</f>
        <v/>
      </c>
      <c r="W413" s="418">
        <f t="shared" si="358"/>
        <v>1</v>
      </c>
      <c r="Y413" s="418">
        <v>42</v>
      </c>
      <c r="Z413" s="25">
        <f t="shared" si="352"/>
        <v>0</v>
      </c>
      <c r="AA413" s="523">
        <f t="shared" si="353"/>
        <v>0</v>
      </c>
      <c r="AB413" s="32"/>
      <c r="AC413" s="25" t="str">
        <f t="shared" si="354"/>
        <v>Y</v>
      </c>
      <c r="AD413" s="624" t="str">
        <f t="shared" si="354"/>
        <v>Worcester</v>
      </c>
      <c r="AE413" s="624">
        <f>IF(ISNA(MATCH(AC413,N405:N414,0)),0,VLOOKUP(AC413,N405:S414,5,FALSE))</f>
        <v>0</v>
      </c>
      <c r="AF413" s="624" t="str">
        <f t="shared" ref="AF413" si="359">IF(ISNA(MATCH(AC413,T405:T414,0))," ",VLOOKUP(AC413,T405:Y414,5,FALSE))</f>
        <v xml:space="preserve"> </v>
      </c>
      <c r="AG413" s="624">
        <f>IF(ISNA(MATCH(AC413,L406:L413,0)),0,VLOOKUP(AC413,L406:N413,3,FALSE))</f>
        <v>0</v>
      </c>
      <c r="AH413" s="624">
        <f>IF(ISNA(MATCH(AC413,R406:R413,0)),0,VLOOKUP(AC413,R406:T413,3,FALSE))</f>
        <v>0</v>
      </c>
      <c r="AI413" s="624">
        <f>IF(ISNA(MATCH(AC413,L406:L413,0)),0,VLOOKUP(AC413,L406:P413,4,FALSE))</f>
        <v>0</v>
      </c>
      <c r="AJ413" s="624">
        <f>IF(ISNA(MATCH(AC413,R406:R413,0)),0,VLOOKUP(AC413,R406:U413,4,FALSE))</f>
        <v>0</v>
      </c>
      <c r="AK413" s="116">
        <f t="shared" si="355"/>
        <v>0</v>
      </c>
      <c r="AL413" s="116">
        <f t="shared" si="356"/>
        <v>0</v>
      </c>
      <c r="AM413" s="116">
        <f>IF(ISNA(MATCH(AC413,L406:L413,0)),0,VLOOKUP(AC413,L406:W413,AM$1,FALSE))</f>
        <v>0</v>
      </c>
      <c r="AN413" s="523">
        <f>IF(ISNA(MATCH(AC413,R406:R413,0)),0,VLOOKUP(AC413,R406:W413,AN$1,FALSE))</f>
        <v>0</v>
      </c>
      <c r="AP413" s="928"/>
      <c r="AQ413" s="932"/>
    </row>
    <row r="414" spans="1:47" ht="15" thickBot="1" x14ac:dyDescent="0.35">
      <c r="M414" s="276"/>
      <c r="N414" s="307"/>
      <c r="S414" s="276"/>
      <c r="T414" s="307"/>
      <c r="AP414" s="276"/>
      <c r="AQ414" s="307"/>
    </row>
    <row r="415" spans="1:47" x14ac:dyDescent="0.3">
      <c r="B415" s="400" t="s">
        <v>258</v>
      </c>
      <c r="C415" s="398"/>
      <c r="D415" s="401" t="s">
        <v>165</v>
      </c>
      <c r="E415" s="398"/>
      <c r="F415" s="398"/>
      <c r="G415" s="402" t="s">
        <v>259</v>
      </c>
      <c r="H415" s="403" t="s">
        <v>249</v>
      </c>
      <c r="I415" s="404" t="s">
        <v>168</v>
      </c>
      <c r="K415" s="360"/>
      <c r="L415" s="661"/>
      <c r="M415" s="387" t="s">
        <v>260</v>
      </c>
      <c r="N415" s="387" t="s">
        <v>261</v>
      </c>
      <c r="O415" s="387" t="s">
        <v>262</v>
      </c>
      <c r="P415" s="388" t="s">
        <v>75</v>
      </c>
      <c r="Q415" s="412"/>
      <c r="R415" s="657"/>
      <c r="S415" s="387" t="s">
        <v>260</v>
      </c>
      <c r="T415" s="387" t="s">
        <v>261</v>
      </c>
      <c r="U415" s="387" t="s">
        <v>262</v>
      </c>
      <c r="V415" s="388" t="s">
        <v>75</v>
      </c>
      <c r="W415" s="672" t="s">
        <v>76</v>
      </c>
      <c r="Y415" s="654" t="s">
        <v>263</v>
      </c>
      <c r="Z415" s="656" t="s">
        <v>74</v>
      </c>
      <c r="AA415" s="657" t="s">
        <v>75</v>
      </c>
      <c r="AC415" s="665" t="s">
        <v>71</v>
      </c>
      <c r="AD415" s="657" t="s">
        <v>86</v>
      </c>
      <c r="AE415" s="661" t="s">
        <v>149</v>
      </c>
      <c r="AF415" s="661" t="s">
        <v>94</v>
      </c>
      <c r="AG415" s="661" t="s">
        <v>149</v>
      </c>
      <c r="AH415" s="661" t="s">
        <v>94</v>
      </c>
      <c r="AI415" s="661" t="s">
        <v>149</v>
      </c>
      <c r="AJ415" s="661" t="s">
        <v>94</v>
      </c>
      <c r="AK415" s="1332" t="s">
        <v>149</v>
      </c>
      <c r="AL415" s="661" t="s">
        <v>94</v>
      </c>
      <c r="AM415" s="1406" t="s">
        <v>76</v>
      </c>
      <c r="AN415" s="1407"/>
      <c r="AP415" s="387" t="s">
        <v>260</v>
      </c>
      <c r="AQ415" s="387" t="s">
        <v>261</v>
      </c>
      <c r="AS415" s="1218" t="s">
        <v>165</v>
      </c>
      <c r="AT415" s="1219" t="s">
        <v>79</v>
      </c>
      <c r="AU415" s="1220" t="s">
        <v>80</v>
      </c>
    </row>
    <row r="416" spans="1:47" ht="15" thickBot="1" x14ac:dyDescent="0.35">
      <c r="B416" s="405">
        <v>37</v>
      </c>
      <c r="C416" s="399"/>
      <c r="D416" s="385" t="str">
        <f>VLOOKUP($B416,EventOrder,6,FALSE)</f>
        <v>Javelin Match 1 &amp; 3</v>
      </c>
      <c r="E416" s="399"/>
      <c r="F416" s="385"/>
      <c r="G416" s="386" t="str">
        <f>VLOOKUP($B416,EventOrder,4,FALSE)</f>
        <v>U16 Male</v>
      </c>
      <c r="H416" s="396" t="str">
        <f>IF(MID(G416,5,1)="F","F","M")</f>
        <v>M</v>
      </c>
      <c r="I416" s="397">
        <f>VLOOKUP($B416,EventOrder,2,FALSE)</f>
        <v>1.5</v>
      </c>
      <c r="K416" s="372"/>
      <c r="L416" s="667" t="s">
        <v>149</v>
      </c>
      <c r="M416" s="409" t="s">
        <v>264</v>
      </c>
      <c r="N416" s="409" t="s">
        <v>265</v>
      </c>
      <c r="O416" s="409" t="s">
        <v>266</v>
      </c>
      <c r="P416" s="408"/>
      <c r="Q416" s="413"/>
      <c r="R416" s="659" t="s">
        <v>94</v>
      </c>
      <c r="S416" s="409" t="s">
        <v>264</v>
      </c>
      <c r="T416" s="409" t="s">
        <v>265</v>
      </c>
      <c r="U416" s="409" t="s">
        <v>266</v>
      </c>
      <c r="V416" s="408"/>
      <c r="W416" s="671"/>
      <c r="Y416" s="655" t="s">
        <v>167</v>
      </c>
      <c r="Z416" s="658" t="s">
        <v>149</v>
      </c>
      <c r="AA416" s="659" t="s">
        <v>94</v>
      </c>
      <c r="AC416" s="666"/>
      <c r="AD416" s="668"/>
      <c r="AE416" s="768" t="s">
        <v>75</v>
      </c>
      <c r="AF416" s="768" t="s">
        <v>75</v>
      </c>
      <c r="AG416" s="768" t="s">
        <v>267</v>
      </c>
      <c r="AH416" s="768" t="s">
        <v>267</v>
      </c>
      <c r="AI416" s="768" t="s">
        <v>268</v>
      </c>
      <c r="AJ416" s="768" t="s">
        <v>268</v>
      </c>
      <c r="AK416" s="770" t="s">
        <v>269</v>
      </c>
      <c r="AL416" s="768" t="s">
        <v>269</v>
      </c>
      <c r="AM416" s="667" t="s">
        <v>149</v>
      </c>
      <c r="AN416" s="659" t="s">
        <v>94</v>
      </c>
      <c r="AP416" s="409" t="s">
        <v>264</v>
      </c>
      <c r="AQ416" s="409" t="s">
        <v>265</v>
      </c>
      <c r="AS416" s="1221" t="s">
        <v>270</v>
      </c>
      <c r="AT416" s="1222" t="s">
        <v>270</v>
      </c>
      <c r="AU416" s="1223" t="s">
        <v>270</v>
      </c>
    </row>
    <row r="417" spans="1:47" ht="15.6" x14ac:dyDescent="0.3">
      <c r="A417" s="416">
        <f>(B416*10)+1</f>
        <v>371</v>
      </c>
      <c r="B417" s="362" t="str">
        <f>'Event Details'!D$22</f>
        <v>S</v>
      </c>
      <c r="C417" s="381" t="str">
        <f>'Event Details'!E$22</f>
        <v>BRAT</v>
      </c>
      <c r="D417" s="379"/>
      <c r="E417" s="378"/>
      <c r="F417" s="363" t="str">
        <f>VLOOKUP($B416,IF($H416="F",TeamSheetFemale,TeamSheetMale),$Y417-1,FALSE)</f>
        <v>S</v>
      </c>
      <c r="G417" s="380" t="str">
        <f>VLOOKUP($B416,IF($H416="F",TeamSheetFemale,TeamSheetMale),$Y417,FALSE)</f>
        <v>Mustopha Bailey</v>
      </c>
      <c r="H417" s="363" t="str">
        <f>VLOOKUP($B416,IF($H416="F",TeamSheetFemale,TeamSheetMale),$Y417+1,FALSE)</f>
        <v>SS</v>
      </c>
      <c r="I417" s="364" t="str">
        <f>VLOOKUP($B416,IF($H416="F",TeamSheetFemale,TeamSheetMale),$Y417+2,FALSE)</f>
        <v>Bertie Albatov</v>
      </c>
      <c r="K417" s="393" t="s">
        <v>271</v>
      </c>
      <c r="L417" s="16" t="str">
        <f t="shared" ref="L417:L424" si="360">LEFT(M417,1)</f>
        <v>G</v>
      </c>
      <c r="M417" s="926" t="s">
        <v>110</v>
      </c>
      <c r="N417" s="926">
        <v>36.67</v>
      </c>
      <c r="O417" s="394" t="str">
        <f>IF(LEN($M417)=1,VLOOKUP(LEFT($M417,1),B417:I424,5,FALSE),IF(LEN($M417)=2,VLOOKUP(LEFT($M417,1),B417:I424,7,FALSE),""))</f>
        <v>G</v>
      </c>
      <c r="P417" s="395" t="str">
        <f>IF(LEN($M417)=1,VLOOKUP(LEFT($M417,1),B417:I424,6,FALSE),IF(LEN($M417)=2,VLOOKUP(LEFT($M417,1),B417:I424,8,FALSE),""))</f>
        <v>Louis Matthews</v>
      </c>
      <c r="Q417" s="406" t="s">
        <v>271</v>
      </c>
      <c r="R417" s="146" t="str">
        <f t="shared" ref="R417:R424" si="361">LEFT(S417,1)</f>
        <v>G</v>
      </c>
      <c r="S417" s="926" t="s">
        <v>820</v>
      </c>
      <c r="T417" s="926">
        <v>27.68</v>
      </c>
      <c r="U417" s="394" t="str">
        <f>IF(LEN($S417)=1,VLOOKUP(LEFT($S417,1),B417:I424,5,FALSE),IF(LEN($S417)=2,VLOOKUP(LEFT($S417,1),B417:I424,7,FALSE),""))</f>
        <v>GG</v>
      </c>
      <c r="V417" s="395" t="str">
        <f>IF(LEN($S417)=1,VLOOKUP(LEFT($S417,1),B417:I424,6,FALSE),IF(LEN($S417)=2,VLOOKUP(LEFT($S417,1),B417:I424,8,FALSE),""))</f>
        <v>Amos Aucutt</v>
      </c>
      <c r="W417" s="417">
        <f>AN$6</f>
        <v>8</v>
      </c>
      <c r="Y417" s="653">
        <v>7</v>
      </c>
      <c r="Z417" s="653" t="str">
        <f t="shared" ref="Z417:Z424" si="362">IF(LEN(M417)&gt;0,VLOOKUP(LEFT(M417,1),ShortName,5,FALSE),0)</f>
        <v>Royal</v>
      </c>
      <c r="AA417" s="138" t="str">
        <f t="shared" ref="AA417:AA424" si="363">IF(LEN(S417)&gt;0,VLOOKUP(LEFT(S417,1),ShortName,5,FALSE),0)</f>
        <v>Royal</v>
      </c>
      <c r="AC417" s="16" t="str">
        <f t="shared" ref="AC417:AD424" si="364">B417</f>
        <v>S</v>
      </c>
      <c r="AD417" s="419" t="str">
        <f t="shared" si="364"/>
        <v>BRAT</v>
      </c>
      <c r="AE417" s="635">
        <f>IF(ISNA(MATCH(AC417,N417:N426,0)),0,VLOOKUP(AC417,N417:S426,5,FALSE))</f>
        <v>0</v>
      </c>
      <c r="AF417" s="635" t="str">
        <f>IF(ISNA(MATCH(AC417,T417:T426,0))," ",VLOOKUP(AC417,T417:Y426,5,FALSE))</f>
        <v xml:space="preserve"> </v>
      </c>
      <c r="AG417" s="635">
        <f>IF(ISNA(MATCH(AC417,L417:L424,0)),0,VLOOKUP(AC417,L417:N424,3,FALSE))</f>
        <v>30.66</v>
      </c>
      <c r="AH417" s="635">
        <f>IF(ISNA(MATCH(AC417,R417:R424,0)),0,VLOOKUP(AC417,R417:T424,3,FALSE))</f>
        <v>16.489999999999998</v>
      </c>
      <c r="AI417" s="635" t="str">
        <f>IF(ISNA(MATCH(AC417,L417:L424,0)),0,VLOOKUP(AC417,L417:P424,4,FALSE))</f>
        <v>S</v>
      </c>
      <c r="AJ417" s="635" t="str">
        <f>IF(ISNA(MATCH(AC417,R417:R424,0)),0,VLOOKUP(AC417,R417:U424,4,FALSE))</f>
        <v>SS</v>
      </c>
      <c r="AK417" s="49">
        <f t="shared" ref="AK417:AK424" si="365">IF(AM417=0,0,AN$6-(AM417-1))</f>
        <v>5</v>
      </c>
      <c r="AL417" s="49">
        <f t="shared" ref="AL417:AL424" si="366">IF(AN417=0,0,AN$6-(AN417-1))</f>
        <v>6</v>
      </c>
      <c r="AM417" s="49">
        <f>IF(ISNA(MATCH(AC417,L417:L424,0)),0,VLOOKUP(AC417,L417:W424,AM$1,FALSE))</f>
        <v>4</v>
      </c>
      <c r="AN417" s="138">
        <f>IF(ISNA(MATCH(AC417,R417:R424,0)),0,VLOOKUP(AC417,R417:W424,AN$1,FALSE))</f>
        <v>3</v>
      </c>
      <c r="AP417" s="926"/>
      <c r="AQ417" s="926"/>
      <c r="AS417" s="32">
        <f>IF(LEN(N417)&gt;0,1,0)</f>
        <v>1</v>
      </c>
      <c r="AT417" s="32">
        <f>IF(AND(AS417=1,H416="M"),1,0)</f>
        <v>1</v>
      </c>
      <c r="AU417" s="32">
        <f>IF(AND(AS417=1,H416="F"),1,0)</f>
        <v>0</v>
      </c>
    </row>
    <row r="418" spans="1:47" ht="15.6" x14ac:dyDescent="0.3">
      <c r="A418" s="417">
        <f>A417+1</f>
        <v>372</v>
      </c>
      <c r="B418" s="362" t="str">
        <f>'Event Details'!D$23</f>
        <v>U</v>
      </c>
      <c r="C418" s="381" t="str">
        <f>'Event Details'!E$23</f>
        <v>Kidder &amp; Stourport</v>
      </c>
      <c r="D418" s="379"/>
      <c r="E418" s="378"/>
      <c r="F418" s="363" t="str">
        <f>VLOOKUP($B416,IF($H416="F",TeamSheetFemale,TeamSheetMale),$Y418-1,FALSE)</f>
        <v>U</v>
      </c>
      <c r="G418" s="380" t="str">
        <f>VLOOKUP($B416,IF($H416="F",TeamSheetFemale,TeamSheetMale),$Y418,FALSE)</f>
        <v>Ryan Morgan</v>
      </c>
      <c r="H418" s="363">
        <f>VLOOKUP($B416,IF($H416="F",TeamSheetFemale,TeamSheetMale),$Y418+1,FALSE)</f>
        <v>0</v>
      </c>
      <c r="I418" s="364">
        <f>VLOOKUP($B416,IF($H416="F",TeamSheetFemale,TeamSheetMale),$Y418+2,FALSE)</f>
        <v>0</v>
      </c>
      <c r="K418" s="341" t="s">
        <v>272</v>
      </c>
      <c r="L418" s="16" t="str">
        <f t="shared" si="360"/>
        <v>M</v>
      </c>
      <c r="M418" s="927" t="s">
        <v>127</v>
      </c>
      <c r="N418" s="927">
        <v>35.65</v>
      </c>
      <c r="O418" s="354" t="str">
        <f>IF(LEN($M418)=1,VLOOKUP(LEFT($M418,1),B417:I424,5,FALSE),IF(LEN($M418)=2,VLOOKUP(LEFT($M418,1),B417:I424,7,FALSE),""))</f>
        <v>M</v>
      </c>
      <c r="P418" s="410" t="str">
        <f>IF(LEN($M418)=1,VLOOKUP(LEFT($M418,1),B417:I424,6,FALSE),IF(LEN($M418)=2,VLOOKUP(LEFT($M418,1),B417:I424,8,FALSE),""))</f>
        <v>Elijah Simpson</v>
      </c>
      <c r="Q418" s="371" t="s">
        <v>272</v>
      </c>
      <c r="R418" s="146" t="str">
        <f t="shared" si="361"/>
        <v>R</v>
      </c>
      <c r="S418" s="927" t="s">
        <v>819</v>
      </c>
      <c r="T418" s="927">
        <v>27.31</v>
      </c>
      <c r="U418" s="354" t="str">
        <f>IF(LEN($S418)=1,VLOOKUP(LEFT($S418,1),B417:I424,5,FALSE),IF(LEN($S418)=2,VLOOKUP(LEFT($S418,1),B417:I424,7,FALSE),""))</f>
        <v>RR</v>
      </c>
      <c r="V418" s="410" t="str">
        <f>IF(LEN($S418)=1,VLOOKUP(LEFT($S418,1),B417:I424,6,FALSE),IF(LEN($S418)=2,VLOOKUP(LEFT($S418,1),B417:I424,8,FALSE),""))</f>
        <v>Ishan Bains-Rousseau</v>
      </c>
      <c r="W418" s="417">
        <f>W417-1</f>
        <v>7</v>
      </c>
      <c r="Y418" s="16">
        <v>12</v>
      </c>
      <c r="Z418" s="16" t="str">
        <f t="shared" si="362"/>
        <v>Sol</v>
      </c>
      <c r="AA418" s="146" t="str">
        <f t="shared" si="363"/>
        <v>Rugby</v>
      </c>
      <c r="AC418" s="16" t="str">
        <f t="shared" si="364"/>
        <v>U</v>
      </c>
      <c r="AD418" s="419" t="str">
        <f t="shared" si="364"/>
        <v>Kidder &amp; Stourport</v>
      </c>
      <c r="AE418" s="419">
        <f>IF(ISNA(MATCH(AC418,N417:N426,0)),0,VLOOKUP(AC418,N417:S426,5,FALSE))</f>
        <v>0</v>
      </c>
      <c r="AF418" s="419" t="str">
        <f>IF(ISNA(MATCH(AC418,T417:T426,0))," ",VLOOKUP(AC418,T417:Y426,5,FALSE))</f>
        <v xml:space="preserve"> </v>
      </c>
      <c r="AG418" s="419">
        <f>IF(ISNA(MATCH(AC418,L417:L424,0)),0,VLOOKUP(AC418,L417:N424,3,FALSE))</f>
        <v>16.899999999999999</v>
      </c>
      <c r="AH418" s="419">
        <f>IF(ISNA(MATCH(AC418,R417:R424,0)),0,VLOOKUP(AC418,R417:T424,3,FALSE))</f>
        <v>0</v>
      </c>
      <c r="AI418" s="419" t="str">
        <f>IF(ISNA(MATCH(AC418,L417:L424,0)),0,VLOOKUP(AC418,L417:P424,4,FALSE))</f>
        <v>U</v>
      </c>
      <c r="AJ418" s="419">
        <f>IF(ISNA(MATCH(AC418,R417:R424,0)),0,VLOOKUP(AC418,R417:U424,4,FALSE))</f>
        <v>0</v>
      </c>
      <c r="AK418" s="32">
        <f t="shared" si="365"/>
        <v>7</v>
      </c>
      <c r="AL418" s="32">
        <f t="shared" si="366"/>
        <v>0</v>
      </c>
      <c r="AM418" s="32">
        <f>IF(ISNA(MATCH(AC418,L417:L424,0)),0,VLOOKUP(AC418,L417:W424,AM$1,FALSE))</f>
        <v>2</v>
      </c>
      <c r="AN418" s="146">
        <f>IF(ISNA(MATCH(AC418,R417:R424,0)),0,VLOOKUP(AC418,R417:W424,AN$1,FALSE))</f>
        <v>0</v>
      </c>
      <c r="AP418" s="927"/>
      <c r="AQ418" s="927"/>
    </row>
    <row r="419" spans="1:47" ht="15.6" x14ac:dyDescent="0.3">
      <c r="A419" s="417">
        <f t="shared" ref="A419:A424" si="367">A418+1</f>
        <v>373</v>
      </c>
      <c r="B419" s="362" t="str">
        <f>'Event Details'!D$24</f>
        <v>G</v>
      </c>
      <c r="C419" s="381" t="str">
        <f>'Event Details'!E$24</f>
        <v>Royal Sutton</v>
      </c>
      <c r="D419" s="379"/>
      <c r="E419" s="378"/>
      <c r="F419" s="363" t="str">
        <f>VLOOKUP($B416,IF($H416="F",TeamSheetFemale,TeamSheetMale),$Y419-1,FALSE)</f>
        <v>G</v>
      </c>
      <c r="G419" s="380" t="str">
        <f>VLOOKUP($B416,IF($H416="F",TeamSheetFemale,TeamSheetMale),$Y419,FALSE)</f>
        <v>Louis Matthews</v>
      </c>
      <c r="H419" s="363" t="str">
        <f>VLOOKUP($B416,IF($H416="F",TeamSheetFemale,TeamSheetMale),$Y419+1,FALSE)</f>
        <v>GG</v>
      </c>
      <c r="I419" s="364" t="str">
        <f>VLOOKUP($B416,IF($H416="F",TeamSheetFemale,TeamSheetMale),$Y419+2,FALSE)</f>
        <v>Amos Aucutt</v>
      </c>
      <c r="K419" s="341" t="s">
        <v>273</v>
      </c>
      <c r="L419" s="16" t="str">
        <f t="shared" si="360"/>
        <v>D</v>
      </c>
      <c r="M419" s="927" t="s">
        <v>136</v>
      </c>
      <c r="N419" s="927">
        <v>34.31</v>
      </c>
      <c r="O419" s="354" t="str">
        <f>IF(LEN($M419)=1,VLOOKUP(LEFT($M419,1),B417:I424,5,FALSE),IF(LEN($M419)=2,VLOOKUP(LEFT($M419,1),B417:I424,7,FALSE),""))</f>
        <v>D</v>
      </c>
      <c r="P419" s="410" t="str">
        <f>IF(LEN($M419)=1,VLOOKUP(LEFT($M419,1),B417:I424,6,FALSE),IF(LEN($M419)=2,VLOOKUP(LEFT($M419,1),B417:I424,8,FALSE),""))</f>
        <v>Morgan Nabney</v>
      </c>
      <c r="Q419" s="371" t="s">
        <v>273</v>
      </c>
      <c r="R419" s="146" t="str">
        <f t="shared" si="361"/>
        <v>D</v>
      </c>
      <c r="S419" s="927" t="s">
        <v>513</v>
      </c>
      <c r="T419" s="927">
        <v>23.87</v>
      </c>
      <c r="U419" s="354" t="str">
        <f>IF(LEN($S419)=1,VLOOKUP(LEFT($S419,1),B417:I424,5,FALSE),IF(LEN($S419)=2,VLOOKUP(LEFT($S419,1),B417:I424,7,FALSE),""))</f>
        <v>DD</v>
      </c>
      <c r="V419" s="410" t="str">
        <f>IF(LEN($S419)=1,VLOOKUP(LEFT($S419,1),B417:I424,6,FALSE),IF(LEN($S419)=2,VLOOKUP(LEFT($S419,1),B417:I424,8,FALSE),""))</f>
        <v>Billy Sheppard</v>
      </c>
      <c r="W419" s="417">
        <f t="shared" ref="W419:W424" si="368">W418-1</f>
        <v>6</v>
      </c>
      <c r="Y419" s="16">
        <v>17</v>
      </c>
      <c r="Z419" s="16" t="str">
        <f t="shared" si="362"/>
        <v>Strat</v>
      </c>
      <c r="AA419" s="146" t="str">
        <f t="shared" si="363"/>
        <v>Strat</v>
      </c>
      <c r="AC419" s="16" t="str">
        <f t="shared" si="364"/>
        <v>G</v>
      </c>
      <c r="AD419" s="419" t="str">
        <f t="shared" si="364"/>
        <v>Royal Sutton</v>
      </c>
      <c r="AE419" s="419">
        <f>IF(ISNA(MATCH(AC419,N417:N426,0)),0,VLOOKUP(AC419,N417:S426,5,FALSE))</f>
        <v>0</v>
      </c>
      <c r="AF419" s="419" t="str">
        <f>IF(ISNA(MATCH(AC419,T417:T426,0))," ",VLOOKUP(AC419,T417:Y426,5,FALSE))</f>
        <v xml:space="preserve"> </v>
      </c>
      <c r="AG419" s="419">
        <f>IF(ISNA(MATCH(AC419,L417:L424,0)),0,VLOOKUP(AC419,L417:N424,3,FALSE))</f>
        <v>36.67</v>
      </c>
      <c r="AH419" s="419">
        <f>IF(ISNA(MATCH(AC419,R417:R424,0)),0,VLOOKUP(AC419,R417:T424,3,FALSE))</f>
        <v>27.68</v>
      </c>
      <c r="AI419" s="419" t="str">
        <f>IF(ISNA(MATCH(AC419,L417:L424,0)),0,VLOOKUP(AC419,L417:P424,4,FALSE))</f>
        <v>G</v>
      </c>
      <c r="AJ419" s="419" t="str">
        <f>IF(ISNA(MATCH(AC419,R417:R424,0)),0,VLOOKUP(AC419,R417:U424,4,FALSE))</f>
        <v>GG</v>
      </c>
      <c r="AK419" s="32">
        <f t="shared" si="365"/>
        <v>1</v>
      </c>
      <c r="AL419" s="32">
        <f t="shared" si="366"/>
        <v>1</v>
      </c>
      <c r="AM419" s="32">
        <f>IF(ISNA(MATCH(AC419,L417:L424,0)),0,VLOOKUP(AC419,L417:W424,AM$1,FALSE))</f>
        <v>8</v>
      </c>
      <c r="AN419" s="146">
        <f>IF(ISNA(MATCH(AC419,R417:R424,0)),0,VLOOKUP(AC419,R417:W424,AN$1,FALSE))</f>
        <v>8</v>
      </c>
      <c r="AP419" s="927"/>
      <c r="AQ419" s="927"/>
    </row>
    <row r="420" spans="1:47" ht="15.6" x14ac:dyDescent="0.3">
      <c r="A420" s="417">
        <f t="shared" si="367"/>
        <v>374</v>
      </c>
      <c r="B420" s="362" t="str">
        <f>'Event Details'!D$25</f>
        <v>R</v>
      </c>
      <c r="C420" s="381" t="str">
        <f>'Event Details'!E$25</f>
        <v>Rugby &amp; N'hampton</v>
      </c>
      <c r="D420" s="379"/>
      <c r="E420" s="378"/>
      <c r="F420" s="363" t="str">
        <f>VLOOKUP($B416,IF($H416="F",TeamSheetFemale,TeamSheetMale),$Y420-1,FALSE)</f>
        <v>R</v>
      </c>
      <c r="G420" s="380" t="str">
        <f>VLOOKUP($B416,IF($H416="F",TeamSheetFemale,TeamSheetMale),$Y420,FALSE)</f>
        <v>Matei Cosciug</v>
      </c>
      <c r="H420" s="363" t="str">
        <f>VLOOKUP($B416,IF($H416="F",TeamSheetFemale,TeamSheetMale),$Y420+1,FALSE)</f>
        <v>RR</v>
      </c>
      <c r="I420" s="364" t="str">
        <f>VLOOKUP($B416,IF($H416="F",TeamSheetFemale,TeamSheetMale),$Y420+2,FALSE)</f>
        <v>Ishan Bains-Rousseau</v>
      </c>
      <c r="K420" s="341" t="s">
        <v>274</v>
      </c>
      <c r="L420" s="16" t="str">
        <f t="shared" si="360"/>
        <v>R</v>
      </c>
      <c r="M420" s="927" t="s">
        <v>118</v>
      </c>
      <c r="N420" s="927">
        <v>31.33</v>
      </c>
      <c r="O420" s="354" t="str">
        <f>IF(LEN($M420)=1,VLOOKUP(LEFT($M420,1),B417:I424,5,FALSE),IF(LEN($M420)=2,VLOOKUP(LEFT($M420,1),B417:I424,7,FALSE),""))</f>
        <v>R</v>
      </c>
      <c r="P420" s="410" t="str">
        <f>IF(LEN($M420)=1,VLOOKUP(LEFT($M420,1),B417:I424,6,FALSE),IF(LEN($M420)=2,VLOOKUP(LEFT($M420,1),B417:I424,8,FALSE),""))</f>
        <v>Matei Cosciug</v>
      </c>
      <c r="Q420" s="371" t="s">
        <v>274</v>
      </c>
      <c r="R420" s="146" t="str">
        <f t="shared" si="361"/>
        <v>M</v>
      </c>
      <c r="S420" s="927" t="s">
        <v>821</v>
      </c>
      <c r="T420" s="927">
        <v>23.43</v>
      </c>
      <c r="U420" s="354" t="str">
        <f>IF(LEN($S420)=1,VLOOKUP(LEFT($S420,1),B417:I424,5,FALSE),IF(LEN($S420)=2,VLOOKUP(LEFT($S420,1),B417:I424,7,FALSE),""))</f>
        <v>MM</v>
      </c>
      <c r="V420" s="410" t="str">
        <f>IF(LEN($S420)=1,VLOOKUP(LEFT($S420,1),B417:I424,6,FALSE),IF(LEN($S420)=2,VLOOKUP(LEFT($S420,1),B417:I424,8,FALSE),""))</f>
        <v>Luke Ager</v>
      </c>
      <c r="W420" s="417">
        <f t="shared" si="368"/>
        <v>5</v>
      </c>
      <c r="Y420" s="16">
        <v>22</v>
      </c>
      <c r="Z420" s="16" t="str">
        <f t="shared" si="362"/>
        <v>Rugby</v>
      </c>
      <c r="AA420" s="146" t="str">
        <f t="shared" si="363"/>
        <v>Sol</v>
      </c>
      <c r="AC420" s="16" t="str">
        <f t="shared" si="364"/>
        <v>R</v>
      </c>
      <c r="AD420" s="419" t="str">
        <f t="shared" si="364"/>
        <v>Rugby &amp; N'hampton</v>
      </c>
      <c r="AE420" s="419">
        <f>IF(ISNA(MATCH(AC420,N417:N426,0)),0,VLOOKUP(AC420,N417:S426,5,FALSE))</f>
        <v>0</v>
      </c>
      <c r="AF420" s="419" t="str">
        <f>IF(ISNA(MATCH(AC420,T417:T426,0))," ",VLOOKUP(AC420,T417:Y426,5,FALSE))</f>
        <v xml:space="preserve"> </v>
      </c>
      <c r="AG420" s="419">
        <f>IF(ISNA(MATCH(AC420,L417:L424,0)),0,VLOOKUP(AC420,L417:N424,3,FALSE))</f>
        <v>31.33</v>
      </c>
      <c r="AH420" s="419">
        <f>IF(ISNA(MATCH(AC420,R417:R424,0)),0,VLOOKUP(AC420,R417:T424,3,FALSE))</f>
        <v>27.31</v>
      </c>
      <c r="AI420" s="419" t="str">
        <f>IF(ISNA(MATCH(AC420,L417:L424,0)),0,VLOOKUP(AC420,L417:P424,4,FALSE))</f>
        <v>R</v>
      </c>
      <c r="AJ420" s="419" t="str">
        <f>IF(ISNA(MATCH(AC420,R417:R424,0)),0,VLOOKUP(AC420,R417:U424,4,FALSE))</f>
        <v>RR</v>
      </c>
      <c r="AK420" s="32">
        <f t="shared" si="365"/>
        <v>4</v>
      </c>
      <c r="AL420" s="32">
        <f t="shared" si="366"/>
        <v>2</v>
      </c>
      <c r="AM420" s="32">
        <f>IF(ISNA(MATCH(AC420,L417:L424,0)),0,VLOOKUP(AC420,L417:W424,AM$1,FALSE))</f>
        <v>5</v>
      </c>
      <c r="AN420" s="146">
        <f>IF(ISNA(MATCH(AC420,R417:R424,0)),0,VLOOKUP(AC420,R417:W424,AN$1,FALSE))</f>
        <v>7</v>
      </c>
      <c r="AP420" s="927"/>
      <c r="AQ420" s="927"/>
    </row>
    <row r="421" spans="1:47" ht="15.6" x14ac:dyDescent="0.3">
      <c r="A421" s="417">
        <f t="shared" si="367"/>
        <v>375</v>
      </c>
      <c r="B421" s="362" t="str">
        <f>'Event Details'!D$26</f>
        <v>M</v>
      </c>
      <c r="C421" s="381" t="str">
        <f>'Event Details'!E$26</f>
        <v>Solihull &amp; S.Heath</v>
      </c>
      <c r="D421" s="379"/>
      <c r="E421" s="378"/>
      <c r="F421" s="363" t="str">
        <f>VLOOKUP($B416,IF($H416="F",TeamSheetFemale,TeamSheetMale),$Y421-1,FALSE)</f>
        <v>M</v>
      </c>
      <c r="G421" s="380" t="str">
        <f>VLOOKUP($B416,IF($H416="F",TeamSheetFemale,TeamSheetMale),$Y421,FALSE)</f>
        <v>Elijah Simpson</v>
      </c>
      <c r="H421" s="363" t="str">
        <f>VLOOKUP($B416,IF($H416="F",TeamSheetFemale,TeamSheetMale),$Y421+1,FALSE)</f>
        <v>MM</v>
      </c>
      <c r="I421" s="364" t="str">
        <f>VLOOKUP($B416,IF($H416="F",TeamSheetFemale,TeamSheetMale),$Y421+2,FALSE)</f>
        <v>Luke Ager</v>
      </c>
      <c r="K421" s="341" t="s">
        <v>275</v>
      </c>
      <c r="L421" s="16" t="str">
        <f t="shared" si="360"/>
        <v>S</v>
      </c>
      <c r="M421" s="927" t="s">
        <v>100</v>
      </c>
      <c r="N421" s="927">
        <v>30.66</v>
      </c>
      <c r="O421" s="354" t="str">
        <f>IF(LEN($M421)=1,VLOOKUP(LEFT($M421,1),B417:I424,5,FALSE),IF(LEN($M421)=2,VLOOKUP(LEFT($M421,1),B417:I424,7,FALSE),""))</f>
        <v>S</v>
      </c>
      <c r="P421" s="410" t="str">
        <f>IF(LEN($M421)=1,VLOOKUP(LEFT($M421,1),B417:I424,6,FALSE),IF(LEN($M421)=2,VLOOKUP(LEFT($M421,1),B417:I424,8,FALSE),""))</f>
        <v>Mustopha Bailey</v>
      </c>
      <c r="Q421" s="371" t="s">
        <v>275</v>
      </c>
      <c r="R421" s="146" t="str">
        <f t="shared" si="361"/>
        <v>Y</v>
      </c>
      <c r="S421" s="927" t="s">
        <v>151</v>
      </c>
      <c r="T421" s="927">
        <v>20.28</v>
      </c>
      <c r="U421" s="354" t="str">
        <f>IF(LEN($S421)=1,VLOOKUP(LEFT($S421,1),B417:I424,5,FALSE),IF(LEN($S421)=2,VLOOKUP(LEFT($S421,1),B417:I424,7,FALSE),""))</f>
        <v>Y</v>
      </c>
      <c r="V421" s="410" t="str">
        <f>IF(LEN($S421)=1,VLOOKUP(LEFT($S421,1),B417:I424,6,FALSE),IF(LEN($S421)=2,VLOOKUP(LEFT($S421,1),B417:I424,8,FALSE),""))</f>
        <v>Tobias Collett</v>
      </c>
      <c r="W421" s="417">
        <f t="shared" si="368"/>
        <v>4</v>
      </c>
      <c r="Y421" s="16">
        <v>27</v>
      </c>
      <c r="Z421" s="16" t="str">
        <f t="shared" si="362"/>
        <v>BRAT</v>
      </c>
      <c r="AA421" s="146" t="str">
        <f t="shared" si="363"/>
        <v>Worc</v>
      </c>
      <c r="AC421" s="16" t="str">
        <f t="shared" si="364"/>
        <v>M</v>
      </c>
      <c r="AD421" s="419" t="str">
        <f t="shared" si="364"/>
        <v>Solihull &amp; S.Heath</v>
      </c>
      <c r="AE421" s="419">
        <f>IF(ISNA(MATCH(AC421,N417:N426,0)),0,VLOOKUP(AC421,N417:S426,5,FALSE))</f>
        <v>0</v>
      </c>
      <c r="AF421" s="419" t="str">
        <f>IF(ISNA(MATCH(AC421,T417:T426,0))," ",VLOOKUP(AC421,T417:Y426,5,FALSE))</f>
        <v xml:space="preserve"> </v>
      </c>
      <c r="AG421" s="419">
        <f>IF(ISNA(MATCH(AC421,L417:L424,0)),0,VLOOKUP(AC421,L417:N424,3,FALSE))</f>
        <v>35.65</v>
      </c>
      <c r="AH421" s="419">
        <f>IF(ISNA(MATCH(AC421,R417:R424,0)),0,VLOOKUP(AC421,R417:T424,3,FALSE))</f>
        <v>23.43</v>
      </c>
      <c r="AI421" s="419" t="str">
        <f>IF(ISNA(MATCH(AC421,L417:L424,0)),0,VLOOKUP(AC421,L417:P424,4,FALSE))</f>
        <v>M</v>
      </c>
      <c r="AJ421" s="419" t="str">
        <f>IF(ISNA(MATCH(AC421,R417:R424,0)),0,VLOOKUP(AC421,R417:U424,4,FALSE))</f>
        <v>MM</v>
      </c>
      <c r="AK421" s="32">
        <f t="shared" si="365"/>
        <v>2</v>
      </c>
      <c r="AL421" s="32">
        <f t="shared" si="366"/>
        <v>4</v>
      </c>
      <c r="AM421" s="32">
        <f>IF(ISNA(MATCH(AC421,L417:L424,0)),0,VLOOKUP(AC421,L417:W424,AM$1,FALSE))</f>
        <v>7</v>
      </c>
      <c r="AN421" s="146">
        <f>IF(ISNA(MATCH(AC421,R417:R424,0)),0,VLOOKUP(AC421,R417:W424,AN$1,FALSE))</f>
        <v>5</v>
      </c>
      <c r="AP421" s="927"/>
      <c r="AQ421" s="927"/>
    </row>
    <row r="422" spans="1:47" ht="15.6" x14ac:dyDescent="0.3">
      <c r="A422" s="417">
        <f t="shared" si="367"/>
        <v>376</v>
      </c>
      <c r="B422" s="362" t="str">
        <f>'Event Details'!D$27</f>
        <v>D</v>
      </c>
      <c r="C422" s="381" t="str">
        <f>'Event Details'!E$27</f>
        <v>Stratford</v>
      </c>
      <c r="D422" s="379"/>
      <c r="E422" s="378"/>
      <c r="F422" s="363" t="str">
        <f>VLOOKUP($B416,IF($H416="F",TeamSheetFemale,TeamSheetMale),$Y422-1,FALSE)</f>
        <v>D</v>
      </c>
      <c r="G422" s="380" t="str">
        <f>VLOOKUP($B416,IF($H416="F",TeamSheetFemale,TeamSheetMale),$Y422,FALSE)</f>
        <v>Morgan Nabney</v>
      </c>
      <c r="H422" s="363" t="str">
        <f>VLOOKUP($B416,IF($H416="F",TeamSheetFemale,TeamSheetMale),$Y422+1,FALSE)</f>
        <v>DD</v>
      </c>
      <c r="I422" s="364" t="str">
        <f>VLOOKUP($B416,IF($H416="F",TeamSheetFemale,TeamSheetMale),$Y422+2,FALSE)</f>
        <v>Billy Sheppard</v>
      </c>
      <c r="K422" s="341" t="s">
        <v>276</v>
      </c>
      <c r="L422" s="16" t="str">
        <f t="shared" si="360"/>
        <v>Y</v>
      </c>
      <c r="M422" s="927" t="s">
        <v>822</v>
      </c>
      <c r="N422" s="927">
        <v>21.87</v>
      </c>
      <c r="O422" s="354" t="str">
        <f>IF(LEN($M422)=1,VLOOKUP(LEFT($M422,1),B417:I424,5,FALSE),IF(LEN($M422)=2,VLOOKUP(LEFT($M422,1),B417:I424,7,FALSE),""))</f>
        <v>YY</v>
      </c>
      <c r="P422" s="410" t="str">
        <f>IF(LEN($M422)=1,VLOOKUP(LEFT($M422,1),B417:I424,6,FALSE),IF(LEN($M422)=2,VLOOKUP(LEFT($M422,1),B417:I424,8,FALSE),""))</f>
        <v>Harry Groves</v>
      </c>
      <c r="Q422" s="371" t="s">
        <v>276</v>
      </c>
      <c r="R422" s="146" t="str">
        <f t="shared" si="361"/>
        <v>S</v>
      </c>
      <c r="S422" s="927" t="s">
        <v>818</v>
      </c>
      <c r="T422" s="927">
        <v>16.489999999999998</v>
      </c>
      <c r="U422" s="354" t="str">
        <f>IF(LEN($S422)=1,VLOOKUP(LEFT($S422,1),B417:I424,5,FALSE),IF(LEN($S422)=2,VLOOKUP(LEFT($S422,1),B417:I424,7,FALSE),""))</f>
        <v>SS</v>
      </c>
      <c r="V422" s="410" t="str">
        <f>IF(LEN($S422)=1,VLOOKUP(LEFT($S422,1),B417:I424,6,FALSE),IF(LEN($S422)=2,VLOOKUP(LEFT($S422,1),B417:I424,8,FALSE),""))</f>
        <v>Bertie Albatov</v>
      </c>
      <c r="W422" s="417">
        <f t="shared" si="368"/>
        <v>3</v>
      </c>
      <c r="Y422" s="16">
        <v>32</v>
      </c>
      <c r="Z422" s="16" t="str">
        <f t="shared" si="362"/>
        <v>Worc</v>
      </c>
      <c r="AA422" s="146" t="str">
        <f t="shared" si="363"/>
        <v>BRAT</v>
      </c>
      <c r="AC422" s="16" t="str">
        <f t="shared" si="364"/>
        <v>D</v>
      </c>
      <c r="AD422" s="419" t="str">
        <f t="shared" si="364"/>
        <v>Stratford</v>
      </c>
      <c r="AE422" s="419">
        <f>IF(ISNA(MATCH(AC422,N417:N426,0)),0,VLOOKUP(AC422,N417:S426,5,FALSE))</f>
        <v>0</v>
      </c>
      <c r="AF422" s="419" t="str">
        <f>IF(ISNA(MATCH(AC422,T417:T426,0))," ",VLOOKUP(AC422,T417:Y426,5,FALSE))</f>
        <v xml:space="preserve"> </v>
      </c>
      <c r="AG422" s="419">
        <f>IF(ISNA(MATCH(AC422,L417:L424,0)),0,VLOOKUP(AC422,L417:N424,3,FALSE))</f>
        <v>34.31</v>
      </c>
      <c r="AH422" s="419">
        <f>IF(ISNA(MATCH(AC422,R417:R424,0)),0,VLOOKUP(AC422,R417:T424,3,FALSE))</f>
        <v>23.87</v>
      </c>
      <c r="AI422" s="419" t="str">
        <f>IF(ISNA(MATCH(AC422,L417:L424,0)),0,VLOOKUP(AC422,L417:P424,4,FALSE))</f>
        <v>D</v>
      </c>
      <c r="AJ422" s="419" t="str">
        <f>IF(ISNA(MATCH(AC422,R417:R424,0)),0,VLOOKUP(AC422,R417:U424,4,FALSE))</f>
        <v>DD</v>
      </c>
      <c r="AK422" s="32">
        <f t="shared" si="365"/>
        <v>3</v>
      </c>
      <c r="AL422" s="32">
        <f t="shared" si="366"/>
        <v>3</v>
      </c>
      <c r="AM422" s="32">
        <f>IF(ISNA(MATCH(AC422,L417:L424,0)),0,VLOOKUP(AC422,L417:W424,AM$1,FALSE))</f>
        <v>6</v>
      </c>
      <c r="AN422" s="146">
        <f>IF(ISNA(MATCH(AC422,R417:R424,0)),0,VLOOKUP(AC422,R417:W424,AN$1,FALSE))</f>
        <v>6</v>
      </c>
      <c r="AP422" s="927"/>
      <c r="AQ422" s="927"/>
    </row>
    <row r="423" spans="1:47" ht="15.6" x14ac:dyDescent="0.3">
      <c r="A423" s="417">
        <f t="shared" si="367"/>
        <v>377</v>
      </c>
      <c r="B423" s="362" t="str">
        <f>'Event Details'!D$28</f>
        <v>F</v>
      </c>
      <c r="C423" s="381" t="str">
        <f>'Event Details'!E$28</f>
        <v>Tamworth</v>
      </c>
      <c r="D423" s="379"/>
      <c r="E423" s="378"/>
      <c r="F423" s="363" t="str">
        <f>VLOOKUP($B416,IF($H416="F",TeamSheetFemale,TeamSheetMale),$Y423-1,FALSE)</f>
        <v>F</v>
      </c>
      <c r="G423" s="380" t="str">
        <f>VLOOKUP($B416,IF($H416="F",TeamSheetFemale,TeamSheetMale),$Y423,FALSE)</f>
        <v>Arjun Singh Hira</v>
      </c>
      <c r="H423" s="363" t="str">
        <f>VLOOKUP($B416,IF($H416="F",TeamSheetFemale,TeamSheetMale),$Y423+1,FALSE)</f>
        <v>FF</v>
      </c>
      <c r="I423" s="364">
        <f>VLOOKUP($B416,IF($H416="F",TeamSheetFemale,TeamSheetMale),$Y423+2,FALSE)</f>
        <v>0</v>
      </c>
      <c r="K423" s="341" t="s">
        <v>277</v>
      </c>
      <c r="L423" s="16" t="str">
        <f t="shared" si="360"/>
        <v>U</v>
      </c>
      <c r="M423" s="931" t="s">
        <v>130</v>
      </c>
      <c r="N423" s="927">
        <v>16.899999999999999</v>
      </c>
      <c r="O423" s="354" t="str">
        <f>IF(LEN($M423)=1,VLOOKUP(LEFT($M423,1),B417:I424,5,FALSE),IF(LEN($M423)=2,VLOOKUP(LEFT($M423,1),B417:I424,7,FALSE),""))</f>
        <v>U</v>
      </c>
      <c r="P423" s="410" t="str">
        <f>IF(LEN($M423)=1,VLOOKUP(LEFT($M423,1),B417:I424,6,FALSE),IF(LEN($M423)=2,VLOOKUP(LEFT($M423,1),B417:I424,8,FALSE),""))</f>
        <v>Ryan Morgan</v>
      </c>
      <c r="Q423" s="371" t="s">
        <v>277</v>
      </c>
      <c r="R423" s="146" t="str">
        <f t="shared" si="361"/>
        <v/>
      </c>
      <c r="S423" s="931"/>
      <c r="T423" s="927"/>
      <c r="U423" s="354" t="str">
        <f>IF(LEN($S423)=1,VLOOKUP(LEFT($S423,1),B417:I424,5,FALSE),IF(LEN($S423)=2,VLOOKUP(LEFT($S423,1),B417:I424,7,FALSE),""))</f>
        <v/>
      </c>
      <c r="V423" s="410" t="str">
        <f>IF(LEN($S423)=1,VLOOKUP(LEFT($S423,1),B417:I424,6,FALSE),IF(LEN($S423)=2,VLOOKUP(LEFT($S423,1),B417:I424,8,FALSE),""))</f>
        <v/>
      </c>
      <c r="W423" s="417">
        <f t="shared" si="368"/>
        <v>2</v>
      </c>
      <c r="Y423" s="16">
        <v>37</v>
      </c>
      <c r="Z423" s="16" t="str">
        <f t="shared" si="362"/>
        <v>K&amp;S</v>
      </c>
      <c r="AA423" s="146">
        <f t="shared" si="363"/>
        <v>0</v>
      </c>
      <c r="AC423" s="16" t="str">
        <f t="shared" si="364"/>
        <v>F</v>
      </c>
      <c r="AD423" s="419" t="str">
        <f t="shared" si="364"/>
        <v>Tamworth</v>
      </c>
      <c r="AE423" s="419">
        <f>IF(ISNA(MATCH(AC423,N415:N424,0)),0,VLOOKUP(AC423,N415:S424,5,FALSE))</f>
        <v>0</v>
      </c>
      <c r="AF423" s="419" t="str">
        <f>IF(ISNA(MATCH(AC423,T415:T424,0))," ",VLOOKUP(AC423,T415:Y424,5,FALSE))</f>
        <v xml:space="preserve"> </v>
      </c>
      <c r="AG423" s="419">
        <f>IF(ISNA(MATCH(AC423,L417:L424,0)),0,VLOOKUP(AC423,L417:N424,3,FALSE))</f>
        <v>8.1300000000000008</v>
      </c>
      <c r="AH423" s="419">
        <f>IF(ISNA(MATCH(AC423,R417:R424,0)),0,VLOOKUP(AC423,R417:T424,3,FALSE))</f>
        <v>0</v>
      </c>
      <c r="AI423" s="419" t="str">
        <f>IF(ISNA(MATCH(AC423,L417:L424,0)),0,VLOOKUP(AC423,L417:P424,4,FALSE))</f>
        <v>F</v>
      </c>
      <c r="AJ423" s="419">
        <f>IF(ISNA(MATCH(AC423,R417:R424,0)),0,VLOOKUP(AC423,R417:U424,4,FALSE))</f>
        <v>0</v>
      </c>
      <c r="AK423" s="32">
        <f t="shared" si="365"/>
        <v>8</v>
      </c>
      <c r="AL423" s="32">
        <f t="shared" si="366"/>
        <v>0</v>
      </c>
      <c r="AM423" s="32">
        <f>IF(ISNA(MATCH(AC423,L417:L424,0)),0,VLOOKUP(AC423,L417:W424,AM$1,FALSE))</f>
        <v>1</v>
      </c>
      <c r="AN423" s="146">
        <f>IF(ISNA(MATCH(AC423,R417:R424,0)),0,VLOOKUP(AC423,R417:W424,AN$1,FALSE))</f>
        <v>0</v>
      </c>
      <c r="AP423" s="931"/>
      <c r="AQ423" s="927"/>
    </row>
    <row r="424" spans="1:47" ht="16.2" thickBot="1" x14ac:dyDescent="0.35">
      <c r="A424" s="418">
        <f t="shared" si="367"/>
        <v>378</v>
      </c>
      <c r="B424" s="365" t="str">
        <f>'Event Details'!D$29</f>
        <v>Y</v>
      </c>
      <c r="C424" s="366" t="str">
        <f>'Event Details'!E$29</f>
        <v>Worcester</v>
      </c>
      <c r="D424" s="361"/>
      <c r="E424" s="370"/>
      <c r="F424" s="367" t="str">
        <f>VLOOKUP($B416,IF($H416="F",TeamSheetFemale,TeamSheetMale),$Y424-1,FALSE)</f>
        <v>Y</v>
      </c>
      <c r="G424" s="368" t="str">
        <f>VLOOKUP($B416,IF($H416="F",TeamSheetFemale,TeamSheetMale),$Y424,FALSE)</f>
        <v>Tobias Collett</v>
      </c>
      <c r="H424" s="367" t="str">
        <f>VLOOKUP($B416,IF($H416="F",TeamSheetFemale,TeamSheetMale),$Y424+1,FALSE)</f>
        <v>YY</v>
      </c>
      <c r="I424" s="369" t="str">
        <f>VLOOKUP($B416,IF($H416="F",TeamSheetFemale,TeamSheetMale),$Y424+2,FALSE)</f>
        <v>Harry Groves</v>
      </c>
      <c r="K424" s="346" t="s">
        <v>278</v>
      </c>
      <c r="L424" s="25" t="str">
        <f t="shared" si="360"/>
        <v>F</v>
      </c>
      <c r="M424" s="928" t="s">
        <v>142</v>
      </c>
      <c r="N424" s="932">
        <v>8.1300000000000008</v>
      </c>
      <c r="O424" s="374" t="str">
        <f>IF(LEN($M424)=1,VLOOKUP(LEFT($M424,1),B417:I424,5,FALSE),IF(LEN($M424)=2,VLOOKUP(LEFT($M424,1),B417:I424,7,FALSE),""))</f>
        <v>F</v>
      </c>
      <c r="P424" s="411" t="str">
        <f>IF(LEN($M424)=1,VLOOKUP(LEFT($M424,1),B417:I424,6,FALSE),IF(LEN($M424)=2,VLOOKUP(LEFT($M424,1),B417:I424,8,FALSE),""))</f>
        <v>Arjun Singh Hira</v>
      </c>
      <c r="Q424" s="407" t="s">
        <v>278</v>
      </c>
      <c r="R424" s="523" t="str">
        <f t="shared" si="361"/>
        <v/>
      </c>
      <c r="S424" s="928" t="s">
        <v>148</v>
      </c>
      <c r="T424" s="932"/>
      <c r="U424" s="374" t="str">
        <f>IF(LEN($S424)=1,VLOOKUP(LEFT($S424,1),B417:I424,5,FALSE),IF(LEN($S424)=2,VLOOKUP(LEFT($S424,1),B417:I424,7,FALSE),""))</f>
        <v/>
      </c>
      <c r="V424" s="411" t="str">
        <f>IF(LEN($S424)=1,VLOOKUP(LEFT($S424,1),B417:I424,6,FALSE),IF(LEN($S424)=2,VLOOKUP(LEFT($S424,1),B417:I424,8,FALSE),""))</f>
        <v/>
      </c>
      <c r="W424" s="418">
        <f t="shared" si="368"/>
        <v>1</v>
      </c>
      <c r="Y424" s="25">
        <v>42</v>
      </c>
      <c r="Z424" s="25" t="str">
        <f t="shared" si="362"/>
        <v>Tam</v>
      </c>
      <c r="AA424" s="523">
        <f t="shared" si="363"/>
        <v>0</v>
      </c>
      <c r="AC424" s="25" t="str">
        <f t="shared" si="364"/>
        <v>Y</v>
      </c>
      <c r="AD424" s="624" t="str">
        <f t="shared" si="364"/>
        <v>Worcester</v>
      </c>
      <c r="AE424" s="624">
        <f>IF(ISNA(MATCH(AC424,N416:N425,0)),0,VLOOKUP(AC424,N416:S425,5,FALSE))</f>
        <v>0</v>
      </c>
      <c r="AF424" s="624" t="str">
        <f t="shared" ref="AF424" si="369">IF(ISNA(MATCH(AC424,T416:T425,0))," ",VLOOKUP(AC424,T416:Y425,5,FALSE))</f>
        <v xml:space="preserve"> </v>
      </c>
      <c r="AG424" s="624">
        <f>IF(ISNA(MATCH(AC424,L417:L424,0)),0,VLOOKUP(AC424,L417:N424,3,FALSE))</f>
        <v>21.87</v>
      </c>
      <c r="AH424" s="624">
        <f>IF(ISNA(MATCH(AC424,R417:R424,0)),0,VLOOKUP(AC424,R417:T424,3,FALSE))</f>
        <v>20.28</v>
      </c>
      <c r="AI424" s="624" t="str">
        <f>IF(ISNA(MATCH(AC424,L417:L424,0)),0,VLOOKUP(AC424,L417:P424,4,FALSE))</f>
        <v>YY</v>
      </c>
      <c r="AJ424" s="624" t="str">
        <f>IF(ISNA(MATCH(AC424,R417:R424,0)),0,VLOOKUP(AC424,R417:U424,4,FALSE))</f>
        <v>Y</v>
      </c>
      <c r="AK424" s="116">
        <f t="shared" si="365"/>
        <v>6</v>
      </c>
      <c r="AL424" s="116">
        <f t="shared" si="366"/>
        <v>5</v>
      </c>
      <c r="AM424" s="116">
        <f>IF(ISNA(MATCH(AC424,L417:L424,0)),0,VLOOKUP(AC424,L417:W424,AM$1,FALSE))</f>
        <v>3</v>
      </c>
      <c r="AN424" s="523">
        <f>IF(ISNA(MATCH(AC424,R417:R424,0)),0,VLOOKUP(AC424,R417:W424,AN$1,FALSE))</f>
        <v>4</v>
      </c>
      <c r="AP424" s="928" t="s">
        <v>148</v>
      </c>
      <c r="AQ424" s="932"/>
    </row>
    <row r="425" spans="1:47" ht="15" thickBot="1" x14ac:dyDescent="0.35">
      <c r="M425" s="276"/>
      <c r="N425" s="307"/>
      <c r="S425" s="276"/>
      <c r="T425" s="307"/>
      <c r="AP425" s="276"/>
      <c r="AQ425" s="307"/>
    </row>
    <row r="426" spans="1:47" x14ac:dyDescent="0.3">
      <c r="B426" s="400" t="s">
        <v>258</v>
      </c>
      <c r="C426" s="398"/>
      <c r="D426" s="401" t="s">
        <v>165</v>
      </c>
      <c r="E426" s="398"/>
      <c r="F426" s="398"/>
      <c r="G426" s="402" t="s">
        <v>259</v>
      </c>
      <c r="H426" s="403" t="s">
        <v>249</v>
      </c>
      <c r="I426" s="404" t="s">
        <v>168</v>
      </c>
      <c r="K426" s="360"/>
      <c r="L426" s="661"/>
      <c r="M426" s="387" t="s">
        <v>260</v>
      </c>
      <c r="N426" s="387" t="s">
        <v>261</v>
      </c>
      <c r="O426" s="387" t="s">
        <v>262</v>
      </c>
      <c r="P426" s="388" t="s">
        <v>75</v>
      </c>
      <c r="Q426" s="389"/>
      <c r="R426" s="657"/>
      <c r="S426" s="387" t="s">
        <v>260</v>
      </c>
      <c r="T426" s="387" t="s">
        <v>261</v>
      </c>
      <c r="U426" s="387" t="s">
        <v>262</v>
      </c>
      <c r="V426" s="388" t="s">
        <v>75</v>
      </c>
      <c r="W426" s="672" t="s">
        <v>76</v>
      </c>
      <c r="Y426" s="414" t="s">
        <v>263</v>
      </c>
      <c r="Z426" s="656" t="s">
        <v>74</v>
      </c>
      <c r="AA426" s="657" t="s">
        <v>75</v>
      </c>
      <c r="AC426" s="665" t="s">
        <v>71</v>
      </c>
      <c r="AD426" s="657" t="s">
        <v>86</v>
      </c>
      <c r="AE426" s="661" t="s">
        <v>149</v>
      </c>
      <c r="AF426" s="661" t="s">
        <v>94</v>
      </c>
      <c r="AG426" s="661" t="s">
        <v>149</v>
      </c>
      <c r="AH426" s="661" t="s">
        <v>94</v>
      </c>
      <c r="AI426" s="661" t="s">
        <v>149</v>
      </c>
      <c r="AJ426" s="661" t="s">
        <v>94</v>
      </c>
      <c r="AK426" s="1332" t="s">
        <v>149</v>
      </c>
      <c r="AL426" s="661" t="s">
        <v>94</v>
      </c>
      <c r="AM426" s="1406" t="s">
        <v>76</v>
      </c>
      <c r="AN426" s="1407"/>
      <c r="AP426" s="387" t="s">
        <v>260</v>
      </c>
      <c r="AQ426" s="387" t="s">
        <v>261</v>
      </c>
      <c r="AS426" s="1218" t="s">
        <v>165</v>
      </c>
      <c r="AT426" s="1219" t="s">
        <v>79</v>
      </c>
      <c r="AU426" s="1220" t="s">
        <v>80</v>
      </c>
    </row>
    <row r="427" spans="1:47" ht="15" thickBot="1" x14ac:dyDescent="0.35">
      <c r="B427" s="405">
        <v>38</v>
      </c>
      <c r="C427" s="399"/>
      <c r="D427" s="385" t="e">
        <f>VLOOKUP($B427,EventOrder,6,FALSE)</f>
        <v>#N/A</v>
      </c>
      <c r="E427" s="399"/>
      <c r="F427" s="385"/>
      <c r="G427" s="386" t="e">
        <f>VLOOKUP($B427,EventOrder,4,FALSE)</f>
        <v>#N/A</v>
      </c>
      <c r="H427" s="396" t="e">
        <f>IF(MID(G427,5,1)="F","F","M")</f>
        <v>#N/A</v>
      </c>
      <c r="I427" s="397" t="e">
        <f>VLOOKUP($B427,EventOrder,2,FALSE)</f>
        <v>#N/A</v>
      </c>
      <c r="K427" s="377"/>
      <c r="L427" s="667" t="s">
        <v>149</v>
      </c>
      <c r="M427" s="409" t="s">
        <v>264</v>
      </c>
      <c r="N427" s="409" t="s">
        <v>265</v>
      </c>
      <c r="O427" s="390" t="s">
        <v>266</v>
      </c>
      <c r="P427" s="391"/>
      <c r="Q427" s="392"/>
      <c r="R427" s="659" t="s">
        <v>94</v>
      </c>
      <c r="S427" s="409" t="s">
        <v>264</v>
      </c>
      <c r="T427" s="409" t="s">
        <v>265</v>
      </c>
      <c r="U427" s="390" t="s">
        <v>266</v>
      </c>
      <c r="V427" s="391"/>
      <c r="W427" s="671"/>
      <c r="Y427" s="415" t="s">
        <v>167</v>
      </c>
      <c r="Z427" s="658" t="s">
        <v>149</v>
      </c>
      <c r="AA427" s="659" t="s">
        <v>94</v>
      </c>
      <c r="AC427" s="666"/>
      <c r="AD427" s="668"/>
      <c r="AE427" s="768" t="s">
        <v>75</v>
      </c>
      <c r="AF427" s="768" t="s">
        <v>75</v>
      </c>
      <c r="AG427" s="768" t="s">
        <v>267</v>
      </c>
      <c r="AH427" s="768" t="s">
        <v>267</v>
      </c>
      <c r="AI427" s="768" t="s">
        <v>268</v>
      </c>
      <c r="AJ427" s="768" t="s">
        <v>268</v>
      </c>
      <c r="AK427" s="770" t="s">
        <v>269</v>
      </c>
      <c r="AL427" s="768" t="s">
        <v>269</v>
      </c>
      <c r="AM427" s="667" t="s">
        <v>149</v>
      </c>
      <c r="AN427" s="659" t="s">
        <v>94</v>
      </c>
      <c r="AP427" s="409" t="s">
        <v>264</v>
      </c>
      <c r="AQ427" s="409" t="s">
        <v>265</v>
      </c>
      <c r="AS427" s="1221" t="s">
        <v>270</v>
      </c>
      <c r="AT427" s="1222" t="s">
        <v>270</v>
      </c>
      <c r="AU427" s="1223" t="s">
        <v>270</v>
      </c>
    </row>
    <row r="428" spans="1:47" ht="15.6" x14ac:dyDescent="0.3">
      <c r="A428" s="416">
        <f>(B427*10)+1</f>
        <v>381</v>
      </c>
      <c r="B428" s="362" t="str">
        <f>'Event Details'!D$22</f>
        <v>S</v>
      </c>
      <c r="C428" s="381" t="str">
        <f>'Event Details'!E$22</f>
        <v>BRAT</v>
      </c>
      <c r="D428" s="379"/>
      <c r="E428" s="378"/>
      <c r="F428" s="363" t="e">
        <f>VLOOKUP($B427,IF($H427="F",TeamSheetFemale,TeamSheetMale),$Y428-1,FALSE)</f>
        <v>#N/A</v>
      </c>
      <c r="G428" s="380" t="e">
        <f>VLOOKUP($B427,IF($H427="F",TeamSheetFemale,TeamSheetMale),$Y428,FALSE)</f>
        <v>#N/A</v>
      </c>
      <c r="H428" s="363" t="e">
        <f>VLOOKUP($B427,IF($H427="F",TeamSheetFemale,TeamSheetMale),$Y428+1,FALSE)</f>
        <v>#N/A</v>
      </c>
      <c r="I428" s="364" t="e">
        <f>VLOOKUP($B427,IF($H427="F",TeamSheetFemale,TeamSheetMale),$Y428+2,FALSE)</f>
        <v>#N/A</v>
      </c>
      <c r="K428" s="393" t="s">
        <v>271</v>
      </c>
      <c r="L428" s="16" t="str">
        <f t="shared" ref="L428:L435" si="370">LEFT(M428,1)</f>
        <v/>
      </c>
      <c r="M428" s="926"/>
      <c r="N428" s="926"/>
      <c r="O428" s="394" t="str">
        <f>IF(LEN($M428)=1,VLOOKUP(LEFT($M428,1),B428:I435,5,FALSE),IF(LEN($M428)=2,VLOOKUP(LEFT($M428,1),B428:I435,7,FALSE),""))</f>
        <v/>
      </c>
      <c r="P428" s="395" t="str">
        <f>IF(LEN($M428)=1,VLOOKUP(LEFT($M428,1),B428:I435,6,FALSE),IF(LEN($M428)=2,VLOOKUP(LEFT($M428,1),B428:I435,8,FALSE),""))</f>
        <v/>
      </c>
      <c r="Q428" s="393" t="s">
        <v>271</v>
      </c>
      <c r="R428" s="146" t="str">
        <f t="shared" ref="R428:R435" si="371">LEFT(S428,1)</f>
        <v/>
      </c>
      <c r="S428" s="926"/>
      <c r="T428" s="926"/>
      <c r="U428" s="394" t="str">
        <f>IF(LEN($S428)=1,VLOOKUP(LEFT($S428,1),B428:I435,5,FALSE),IF(LEN($S428)=2,VLOOKUP(LEFT($S428,1),B428:I435,7,FALSE),""))</f>
        <v/>
      </c>
      <c r="V428" s="395" t="str">
        <f>IF(LEN($S428)=1,VLOOKUP(LEFT($S428,1),B428:I435,6,FALSE),IF(LEN($S428)=2,VLOOKUP(LEFT($S428,1),B428:I435,8,FALSE),""))</f>
        <v/>
      </c>
      <c r="W428" s="417">
        <f>AN$6</f>
        <v>8</v>
      </c>
      <c r="Y428" s="416">
        <v>7</v>
      </c>
      <c r="Z428" s="653">
        <f t="shared" ref="Z428:Z435" si="372">IF(LEN(M428)&gt;0,VLOOKUP(LEFT(M428,1),ShortName,5,FALSE),0)</f>
        <v>0</v>
      </c>
      <c r="AA428" s="138">
        <f t="shared" ref="AA428:AA435" si="373">IF(LEN(S428)&gt;0,VLOOKUP(LEFT(S428,1),ShortName,5,FALSE),0)</f>
        <v>0</v>
      </c>
      <c r="AC428" s="16" t="str">
        <f t="shared" ref="AC428:AD435" si="374">B428</f>
        <v>S</v>
      </c>
      <c r="AD428" s="419" t="str">
        <f t="shared" si="374"/>
        <v>BRAT</v>
      </c>
      <c r="AE428" s="635">
        <f>IF(ISNA(MATCH(AC428,N428:N437,0)),0,VLOOKUP(AC428,N428:S437,5,FALSE))</f>
        <v>0</v>
      </c>
      <c r="AF428" s="635" t="str">
        <f>IF(ISNA(MATCH(AC428,T428:T437,0))," ",VLOOKUP(AC428,T428:Y437,5,FALSE))</f>
        <v xml:space="preserve"> </v>
      </c>
      <c r="AG428" s="635">
        <f>IF(ISNA(MATCH(AC428,L428:L435,0)),0,VLOOKUP(AC428,L428:N435,3,FALSE))</f>
        <v>0</v>
      </c>
      <c r="AH428" s="635">
        <f>IF(ISNA(MATCH(AC428,R428:R435,0)),0,VLOOKUP(AC428,R428:T435,3,FALSE))</f>
        <v>0</v>
      </c>
      <c r="AI428" s="635">
        <f>IF(ISNA(MATCH(AC428,L428:L435,0)),0,VLOOKUP(AC428,L428:P435,4,FALSE))</f>
        <v>0</v>
      </c>
      <c r="AJ428" s="635">
        <f>IF(ISNA(MATCH(AC428,R428:R435,0)),0,VLOOKUP(AC428,R428:U435,4,FALSE))</f>
        <v>0</v>
      </c>
      <c r="AK428" s="49">
        <f t="shared" ref="AK428:AK435" si="375">IF(AM428=0,0,AN$6-(AM428-1))</f>
        <v>0</v>
      </c>
      <c r="AL428" s="49">
        <f t="shared" ref="AL428:AL435" si="376">IF(AN428=0,0,AN$6-(AN428-1))</f>
        <v>0</v>
      </c>
      <c r="AM428" s="49">
        <f>IF(ISNA(MATCH(AC428,L428:L435,0)),0,VLOOKUP(AC428,L428:W435,AM$1,FALSE))</f>
        <v>0</v>
      </c>
      <c r="AN428" s="138">
        <f>IF(ISNA(MATCH(AC428,R428:R435,0)),0,VLOOKUP(AC428,R428:W435,AN$1,FALSE))</f>
        <v>0</v>
      </c>
      <c r="AP428" s="926"/>
      <c r="AQ428" s="926"/>
      <c r="AS428" s="32">
        <f>IF(LEN(N428)&gt;0,1,0)</f>
        <v>0</v>
      </c>
      <c r="AT428" s="32" t="e">
        <f>IF(AND(AS428=1,H427="M"),1,0)</f>
        <v>#N/A</v>
      </c>
      <c r="AU428" s="32" t="e">
        <f>IF(AND(AS428=1,H427="F"),1,0)</f>
        <v>#N/A</v>
      </c>
    </row>
    <row r="429" spans="1:47" ht="15.6" x14ac:dyDescent="0.3">
      <c r="A429" s="417">
        <f>A428+1</f>
        <v>382</v>
      </c>
      <c r="B429" s="362" t="str">
        <f>'Event Details'!D$23</f>
        <v>U</v>
      </c>
      <c r="C429" s="381" t="str">
        <f>'Event Details'!E$23</f>
        <v>Kidder &amp; Stourport</v>
      </c>
      <c r="D429" s="379"/>
      <c r="E429" s="378"/>
      <c r="F429" s="363" t="e">
        <f>VLOOKUP($B427,IF($H427="F",TeamSheetFemale,TeamSheetMale),$Y429-1,FALSE)</f>
        <v>#N/A</v>
      </c>
      <c r="G429" s="380" t="e">
        <f>VLOOKUP($B427,IF($H427="F",TeamSheetFemale,TeamSheetMale),$Y429,FALSE)</f>
        <v>#N/A</v>
      </c>
      <c r="H429" s="363" t="e">
        <f>VLOOKUP($B427,IF($H427="F",TeamSheetFemale,TeamSheetMale),$Y429+1,FALSE)</f>
        <v>#N/A</v>
      </c>
      <c r="I429" s="364" t="e">
        <f>VLOOKUP($B427,IF($H427="F",TeamSheetFemale,TeamSheetMale),$Y429+2,FALSE)</f>
        <v>#N/A</v>
      </c>
      <c r="K429" s="341" t="s">
        <v>272</v>
      </c>
      <c r="L429" s="16" t="str">
        <f t="shared" si="370"/>
        <v/>
      </c>
      <c r="M429" s="927"/>
      <c r="N429" s="927"/>
      <c r="O429" s="353" t="str">
        <f>IF(LEN($M429)=1,VLOOKUP(LEFT($M429,1),B428:I435,5,FALSE),IF(LEN($M429)=2,VLOOKUP(LEFT($M429,1),B428:I435,7,FALSE),""))</f>
        <v/>
      </c>
      <c r="P429" s="373" t="str">
        <f>IF(LEN($M429)=1,VLOOKUP(LEFT($M429,1),B428:I435,6,FALSE),IF(LEN($M429)=2,VLOOKUP(LEFT($M429,1),B428:I435,8,FALSE),""))</f>
        <v/>
      </c>
      <c r="Q429" s="341" t="s">
        <v>272</v>
      </c>
      <c r="R429" s="146" t="str">
        <f t="shared" si="371"/>
        <v/>
      </c>
      <c r="S429" s="927"/>
      <c r="T429" s="927"/>
      <c r="U429" s="353" t="str">
        <f>IF(LEN($S429)=1,VLOOKUP(LEFT($S429,1),B428:I435,5,FALSE),IF(LEN($S429)=2,VLOOKUP(LEFT($S429,1),B428:I435,7,FALSE),""))</f>
        <v/>
      </c>
      <c r="V429" s="373" t="str">
        <f>IF(LEN($S429)=1,VLOOKUP(LEFT($S429,1),B428:I435,6,FALSE),IF(LEN($S429)=2,VLOOKUP(LEFT($S429,1),B428:I435,8,FALSE),""))</f>
        <v/>
      </c>
      <c r="W429" s="417">
        <f>W428-1</f>
        <v>7</v>
      </c>
      <c r="Y429" s="417">
        <v>12</v>
      </c>
      <c r="Z429" s="16">
        <f t="shared" si="372"/>
        <v>0</v>
      </c>
      <c r="AA429" s="146">
        <f t="shared" si="373"/>
        <v>0</v>
      </c>
      <c r="AC429" s="16" t="str">
        <f t="shared" si="374"/>
        <v>U</v>
      </c>
      <c r="AD429" s="419" t="str">
        <f t="shared" si="374"/>
        <v>Kidder &amp; Stourport</v>
      </c>
      <c r="AE429" s="419">
        <f>IF(ISNA(MATCH(AC429,N428:N437,0)),0,VLOOKUP(AC429,N428:S437,5,FALSE))</f>
        <v>0</v>
      </c>
      <c r="AF429" s="419" t="str">
        <f>IF(ISNA(MATCH(AC429,T428:T437,0))," ",VLOOKUP(AC429,T428:Y437,5,FALSE))</f>
        <v xml:space="preserve"> </v>
      </c>
      <c r="AG429" s="419">
        <f>IF(ISNA(MATCH(AC429,L428:L435,0)),0,VLOOKUP(AC429,L428:N435,3,FALSE))</f>
        <v>0</v>
      </c>
      <c r="AH429" s="419">
        <f>IF(ISNA(MATCH(AC429,R428:R435,0)),0,VLOOKUP(AC429,R428:T435,3,FALSE))</f>
        <v>0</v>
      </c>
      <c r="AI429" s="419">
        <f>IF(ISNA(MATCH(AC429,L428:L435,0)),0,VLOOKUP(AC429,L428:P435,4,FALSE))</f>
        <v>0</v>
      </c>
      <c r="AJ429" s="419">
        <f>IF(ISNA(MATCH(AC429,R428:R435,0)),0,VLOOKUP(AC429,R428:U435,4,FALSE))</f>
        <v>0</v>
      </c>
      <c r="AK429" s="32">
        <f t="shared" si="375"/>
        <v>0</v>
      </c>
      <c r="AL429" s="32">
        <f t="shared" si="376"/>
        <v>0</v>
      </c>
      <c r="AM429" s="32">
        <f>IF(ISNA(MATCH(AC429,L428:L435,0)),0,VLOOKUP(AC429,L428:W435,AM$1,FALSE))</f>
        <v>0</v>
      </c>
      <c r="AN429" s="146">
        <f>IF(ISNA(MATCH(AC429,R428:R435,0)),0,VLOOKUP(AC429,R428:W435,AN$1,FALSE))</f>
        <v>0</v>
      </c>
      <c r="AP429" s="927"/>
      <c r="AQ429" s="927"/>
    </row>
    <row r="430" spans="1:47" ht="15.6" x14ac:dyDescent="0.3">
      <c r="A430" s="417">
        <f t="shared" ref="A430:A435" si="377">A429+1</f>
        <v>383</v>
      </c>
      <c r="B430" s="362" t="str">
        <f>'Event Details'!D$24</f>
        <v>G</v>
      </c>
      <c r="C430" s="381" t="str">
        <f>'Event Details'!E$24</f>
        <v>Royal Sutton</v>
      </c>
      <c r="D430" s="379"/>
      <c r="E430" s="378"/>
      <c r="F430" s="363" t="e">
        <f>VLOOKUP($B427,IF($H427="F",TeamSheetFemale,TeamSheetMale),$Y430-1,FALSE)</f>
        <v>#N/A</v>
      </c>
      <c r="G430" s="380" t="e">
        <f>VLOOKUP($B427,IF($H427="F",TeamSheetFemale,TeamSheetMale),$Y430,FALSE)</f>
        <v>#N/A</v>
      </c>
      <c r="H430" s="363" t="e">
        <f>VLOOKUP($B427,IF($H427="F",TeamSheetFemale,TeamSheetMale),$Y430+1,FALSE)</f>
        <v>#N/A</v>
      </c>
      <c r="I430" s="364" t="e">
        <f>VLOOKUP($B427,IF($H427="F",TeamSheetFemale,TeamSheetMale),$Y430+2,FALSE)</f>
        <v>#N/A</v>
      </c>
      <c r="K430" s="341" t="s">
        <v>273</v>
      </c>
      <c r="L430" s="16" t="str">
        <f t="shared" si="370"/>
        <v/>
      </c>
      <c r="M430" s="927"/>
      <c r="N430" s="927"/>
      <c r="O430" s="353" t="str">
        <f>IF(LEN($M430)=1,VLOOKUP(LEFT($M430,1),B428:I435,5,FALSE),IF(LEN($M430)=2,VLOOKUP(LEFT($M430,1),B428:I435,7,FALSE),""))</f>
        <v/>
      </c>
      <c r="P430" s="373" t="str">
        <f>IF(LEN($M430)=1,VLOOKUP(LEFT($M430,1),B428:I435,6,FALSE),IF(LEN($M430)=2,VLOOKUP(LEFT($M430,1),B428:I435,8,FALSE),""))</f>
        <v/>
      </c>
      <c r="Q430" s="341" t="s">
        <v>273</v>
      </c>
      <c r="R430" s="146" t="str">
        <f t="shared" si="371"/>
        <v/>
      </c>
      <c r="S430" s="927"/>
      <c r="T430" s="927"/>
      <c r="U430" s="353" t="str">
        <f>IF(LEN($S430)=1,VLOOKUP(LEFT($S430,1),B428:I435,5,FALSE),IF(LEN($S430)=2,VLOOKUP(LEFT($S430,1),B428:I435,7,FALSE),""))</f>
        <v/>
      </c>
      <c r="V430" s="373" t="str">
        <f>IF(LEN($S430)=1,VLOOKUP(LEFT($S430,1),B428:I435,6,FALSE),IF(LEN($S430)=2,VLOOKUP(LEFT($S430,1),B428:I435,8,FALSE),""))</f>
        <v/>
      </c>
      <c r="W430" s="417">
        <f t="shared" ref="W430:W435" si="378">W429-1</f>
        <v>6</v>
      </c>
      <c r="Y430" s="417">
        <v>17</v>
      </c>
      <c r="Z430" s="16">
        <f t="shared" si="372"/>
        <v>0</v>
      </c>
      <c r="AA430" s="146">
        <f t="shared" si="373"/>
        <v>0</v>
      </c>
      <c r="AB430" s="32"/>
      <c r="AC430" s="16" t="str">
        <f t="shared" si="374"/>
        <v>G</v>
      </c>
      <c r="AD430" s="419" t="str">
        <f t="shared" si="374"/>
        <v>Royal Sutton</v>
      </c>
      <c r="AE430" s="419">
        <f>IF(ISNA(MATCH(AC430,N428:N437,0)),0,VLOOKUP(AC430,N428:S437,5,FALSE))</f>
        <v>0</v>
      </c>
      <c r="AF430" s="419" t="str">
        <f>IF(ISNA(MATCH(AC430,T428:T437,0))," ",VLOOKUP(AC430,T428:Y437,5,FALSE))</f>
        <v xml:space="preserve"> </v>
      </c>
      <c r="AG430" s="419">
        <f>IF(ISNA(MATCH(AC430,L428:L435,0)),0,VLOOKUP(AC430,L428:N435,3,FALSE))</f>
        <v>0</v>
      </c>
      <c r="AH430" s="419">
        <f>IF(ISNA(MATCH(AC430,R428:R435,0)),0,VLOOKUP(AC430,R428:T435,3,FALSE))</f>
        <v>0</v>
      </c>
      <c r="AI430" s="419">
        <f>IF(ISNA(MATCH(AC430,L428:L435,0)),0,VLOOKUP(AC430,L428:P435,4,FALSE))</f>
        <v>0</v>
      </c>
      <c r="AJ430" s="419">
        <f>IF(ISNA(MATCH(AC430,R428:R435,0)),0,VLOOKUP(AC430,R428:U435,4,FALSE))</f>
        <v>0</v>
      </c>
      <c r="AK430" s="32">
        <f t="shared" si="375"/>
        <v>0</v>
      </c>
      <c r="AL430" s="32">
        <f t="shared" si="376"/>
        <v>0</v>
      </c>
      <c r="AM430" s="32">
        <f>IF(ISNA(MATCH(AC430,L428:L435,0)),0,VLOOKUP(AC430,L428:W435,AM$1,FALSE))</f>
        <v>0</v>
      </c>
      <c r="AN430" s="146">
        <f>IF(ISNA(MATCH(AC430,R428:R435,0)),0,VLOOKUP(AC430,R428:W435,AN$1,FALSE))</f>
        <v>0</v>
      </c>
      <c r="AP430" s="927"/>
      <c r="AQ430" s="927"/>
    </row>
    <row r="431" spans="1:47" ht="15.6" x14ac:dyDescent="0.3">
      <c r="A431" s="417">
        <f t="shared" si="377"/>
        <v>384</v>
      </c>
      <c r="B431" s="362" t="str">
        <f>'Event Details'!D$25</f>
        <v>R</v>
      </c>
      <c r="C431" s="381" t="str">
        <f>'Event Details'!E$25</f>
        <v>Rugby &amp; N'hampton</v>
      </c>
      <c r="D431" s="379"/>
      <c r="E431" s="378"/>
      <c r="F431" s="363" t="e">
        <f>VLOOKUP($B427,IF($H427="F",TeamSheetFemale,TeamSheetMale),$Y431-1,FALSE)</f>
        <v>#N/A</v>
      </c>
      <c r="G431" s="380" t="e">
        <f>VLOOKUP($B427,IF($H427="F",TeamSheetFemale,TeamSheetMale),$Y431,FALSE)</f>
        <v>#N/A</v>
      </c>
      <c r="H431" s="363" t="e">
        <f>VLOOKUP($B427,IF($H427="F",TeamSheetFemale,TeamSheetMale),$Y431+1,FALSE)</f>
        <v>#N/A</v>
      </c>
      <c r="I431" s="364" t="e">
        <f>VLOOKUP($B427,IF($H427="F",TeamSheetFemale,TeamSheetMale),$Y431+2,FALSE)</f>
        <v>#N/A</v>
      </c>
      <c r="K431" s="341" t="s">
        <v>274</v>
      </c>
      <c r="L431" s="16" t="str">
        <f t="shared" si="370"/>
        <v/>
      </c>
      <c r="M431" s="927"/>
      <c r="N431" s="927"/>
      <c r="O431" s="353" t="str">
        <f>IF(LEN($M431)=1,VLOOKUP(LEFT($M431,1),B428:I435,5,FALSE),IF(LEN($M431)=2,VLOOKUP(LEFT($M431,1),B428:I435,7,FALSE),""))</f>
        <v/>
      </c>
      <c r="P431" s="373" t="str">
        <f>IF(LEN($M431)=1,VLOOKUP(LEFT($M431,1),B428:I435,6,FALSE),IF(LEN($M431)=2,VLOOKUP(LEFT($M431,1),B428:I435,8,FALSE),""))</f>
        <v/>
      </c>
      <c r="Q431" s="341" t="s">
        <v>274</v>
      </c>
      <c r="R431" s="146" t="str">
        <f t="shared" si="371"/>
        <v/>
      </c>
      <c r="S431" s="927"/>
      <c r="T431" s="927"/>
      <c r="U431" s="353" t="str">
        <f>IF(LEN($S431)=1,VLOOKUP(LEFT($S431,1),B428:I435,5,FALSE),IF(LEN($S431)=2,VLOOKUP(LEFT($S431,1),B428:I435,7,FALSE),""))</f>
        <v/>
      </c>
      <c r="V431" s="373" t="str">
        <f>IF(LEN($S431)=1,VLOOKUP(LEFT($S431,1),B428:I435,6,FALSE),IF(LEN($S431)=2,VLOOKUP(LEFT($S431,1),B428:I435,8,FALSE),""))</f>
        <v/>
      </c>
      <c r="W431" s="417">
        <f t="shared" si="378"/>
        <v>5</v>
      </c>
      <c r="Y431" s="417">
        <v>22</v>
      </c>
      <c r="Z431" s="16">
        <f t="shared" si="372"/>
        <v>0</v>
      </c>
      <c r="AA431" s="146">
        <f t="shared" si="373"/>
        <v>0</v>
      </c>
      <c r="AB431" s="32"/>
      <c r="AC431" s="16" t="str">
        <f t="shared" si="374"/>
        <v>R</v>
      </c>
      <c r="AD431" s="419" t="str">
        <f t="shared" si="374"/>
        <v>Rugby &amp; N'hampton</v>
      </c>
      <c r="AE431" s="419">
        <f>IF(ISNA(MATCH(AC431,N428:N437,0)),0,VLOOKUP(AC431,N428:S437,5,FALSE))</f>
        <v>0</v>
      </c>
      <c r="AF431" s="419" t="str">
        <f>IF(ISNA(MATCH(AC431,T428:T437,0))," ",VLOOKUP(AC431,T428:Y437,5,FALSE))</f>
        <v xml:space="preserve"> </v>
      </c>
      <c r="AG431" s="419">
        <f>IF(ISNA(MATCH(AC431,L428:L435,0)),0,VLOOKUP(AC431,L428:N435,3,FALSE))</f>
        <v>0</v>
      </c>
      <c r="AH431" s="419">
        <f>IF(ISNA(MATCH(AC431,R428:R435,0)),0,VLOOKUP(AC431,R428:T435,3,FALSE))</f>
        <v>0</v>
      </c>
      <c r="AI431" s="419">
        <f>IF(ISNA(MATCH(AC431,L428:L435,0)),0,VLOOKUP(AC431,L428:P435,4,FALSE))</f>
        <v>0</v>
      </c>
      <c r="AJ431" s="419">
        <f>IF(ISNA(MATCH(AC431,R428:R435,0)),0,VLOOKUP(AC431,R428:U435,4,FALSE))</f>
        <v>0</v>
      </c>
      <c r="AK431" s="32">
        <f t="shared" si="375"/>
        <v>0</v>
      </c>
      <c r="AL431" s="32">
        <f t="shared" si="376"/>
        <v>0</v>
      </c>
      <c r="AM431" s="32">
        <f>IF(ISNA(MATCH(AC431,L428:L435,0)),0,VLOOKUP(AC431,L428:W435,AM$1,FALSE))</f>
        <v>0</v>
      </c>
      <c r="AN431" s="146">
        <f>IF(ISNA(MATCH(AC431,R428:R435,0)),0,VLOOKUP(AC431,R428:W435,AN$1,FALSE))</f>
        <v>0</v>
      </c>
      <c r="AP431" s="927"/>
      <c r="AQ431" s="927"/>
    </row>
    <row r="432" spans="1:47" ht="15.6" x14ac:dyDescent="0.3">
      <c r="A432" s="417">
        <f t="shared" si="377"/>
        <v>385</v>
      </c>
      <c r="B432" s="362" t="str">
        <f>'Event Details'!D$26</f>
        <v>M</v>
      </c>
      <c r="C432" s="381" t="str">
        <f>'Event Details'!E$26</f>
        <v>Solihull &amp; S.Heath</v>
      </c>
      <c r="D432" s="379"/>
      <c r="E432" s="378"/>
      <c r="F432" s="363" t="e">
        <f>VLOOKUP($B427,IF($H427="F",TeamSheetFemale,TeamSheetMale),$Y432-1,FALSE)</f>
        <v>#N/A</v>
      </c>
      <c r="G432" s="380" t="e">
        <f>VLOOKUP($B427,IF($H427="F",TeamSheetFemale,TeamSheetMale),$Y432,FALSE)</f>
        <v>#N/A</v>
      </c>
      <c r="H432" s="363" t="e">
        <f>VLOOKUP($B427,IF($H427="F",TeamSheetFemale,TeamSheetMale),$Y432+1,FALSE)</f>
        <v>#N/A</v>
      </c>
      <c r="I432" s="364" t="e">
        <f>VLOOKUP($B427,IF($H427="F",TeamSheetFemale,TeamSheetMale),$Y432+2,FALSE)</f>
        <v>#N/A</v>
      </c>
      <c r="K432" s="341" t="s">
        <v>275</v>
      </c>
      <c r="L432" s="16" t="str">
        <f t="shared" si="370"/>
        <v/>
      </c>
      <c r="M432" s="927"/>
      <c r="N432" s="927"/>
      <c r="O432" s="353" t="str">
        <f>IF(LEN($M432)=1,VLOOKUP(LEFT($M432,1),B428:I435,5,FALSE),IF(LEN($M432)=2,VLOOKUP(LEFT($M432,1),B428:I435,7,FALSE),""))</f>
        <v/>
      </c>
      <c r="P432" s="373" t="str">
        <f>IF(LEN($M432)=1,VLOOKUP(LEFT($M432,1),B428:I435,6,FALSE),IF(LEN($M432)=2,VLOOKUP(LEFT($M432,1),B428:I435,8,FALSE),""))</f>
        <v/>
      </c>
      <c r="Q432" s="341" t="s">
        <v>275</v>
      </c>
      <c r="R432" s="146" t="str">
        <f t="shared" si="371"/>
        <v/>
      </c>
      <c r="S432" s="927"/>
      <c r="T432" s="927"/>
      <c r="U432" s="353" t="str">
        <f>IF(LEN($S432)=1,VLOOKUP(LEFT($S432,1),B428:I435,5,FALSE),IF(LEN($S432)=2,VLOOKUP(LEFT($S432,1),B428:I435,7,FALSE),""))</f>
        <v/>
      </c>
      <c r="V432" s="373" t="str">
        <f>IF(LEN($S432)=1,VLOOKUP(LEFT($S432,1),B428:I435,6,FALSE),IF(LEN($S432)=2,VLOOKUP(LEFT($S432,1),B428:I435,8,FALSE),""))</f>
        <v/>
      </c>
      <c r="W432" s="417">
        <f t="shared" si="378"/>
        <v>4</v>
      </c>
      <c r="Y432" s="417">
        <v>27</v>
      </c>
      <c r="Z432" s="16">
        <f t="shared" si="372"/>
        <v>0</v>
      </c>
      <c r="AA432" s="146">
        <f t="shared" si="373"/>
        <v>0</v>
      </c>
      <c r="AB432" s="32"/>
      <c r="AC432" s="16" t="str">
        <f t="shared" si="374"/>
        <v>M</v>
      </c>
      <c r="AD432" s="419" t="str">
        <f t="shared" si="374"/>
        <v>Solihull &amp; S.Heath</v>
      </c>
      <c r="AE432" s="419">
        <f>IF(ISNA(MATCH(AC432,N428:N437,0)),0,VLOOKUP(AC432,N428:S437,5,FALSE))</f>
        <v>0</v>
      </c>
      <c r="AF432" s="419" t="str">
        <f>IF(ISNA(MATCH(AC432,T428:T437,0))," ",VLOOKUP(AC432,T428:Y437,5,FALSE))</f>
        <v xml:space="preserve"> </v>
      </c>
      <c r="AG432" s="419">
        <f>IF(ISNA(MATCH(AC432,L428:L435,0)),0,VLOOKUP(AC432,L428:N435,3,FALSE))</f>
        <v>0</v>
      </c>
      <c r="AH432" s="419">
        <f>IF(ISNA(MATCH(AC432,R428:R435,0)),0,VLOOKUP(AC432,R428:T435,3,FALSE))</f>
        <v>0</v>
      </c>
      <c r="AI432" s="419">
        <f>IF(ISNA(MATCH(AC432,L428:L435,0)),0,VLOOKUP(AC432,L428:P435,4,FALSE))</f>
        <v>0</v>
      </c>
      <c r="AJ432" s="419">
        <f>IF(ISNA(MATCH(AC432,R428:R435,0)),0,VLOOKUP(AC432,R428:U435,4,FALSE))</f>
        <v>0</v>
      </c>
      <c r="AK432" s="32">
        <f t="shared" si="375"/>
        <v>0</v>
      </c>
      <c r="AL432" s="32">
        <f t="shared" si="376"/>
        <v>0</v>
      </c>
      <c r="AM432" s="32">
        <f>IF(ISNA(MATCH(AC432,L428:L435,0)),0,VLOOKUP(AC432,L428:W435,AM$1,FALSE))</f>
        <v>0</v>
      </c>
      <c r="AN432" s="146">
        <f>IF(ISNA(MATCH(AC432,R428:R435,0)),0,VLOOKUP(AC432,R428:W435,AN$1,FALSE))</f>
        <v>0</v>
      </c>
      <c r="AP432" s="927"/>
      <c r="AQ432" s="927"/>
    </row>
    <row r="433" spans="1:47" ht="15.6" x14ac:dyDescent="0.3">
      <c r="A433" s="417">
        <f t="shared" si="377"/>
        <v>386</v>
      </c>
      <c r="B433" s="362" t="str">
        <f>'Event Details'!D$27</f>
        <v>D</v>
      </c>
      <c r="C433" s="381" t="str">
        <f>'Event Details'!E$27</f>
        <v>Stratford</v>
      </c>
      <c r="D433" s="379"/>
      <c r="E433" s="378"/>
      <c r="F433" s="363" t="e">
        <f>VLOOKUP($B427,IF($H427="F",TeamSheetFemale,TeamSheetMale),$Y433-1,FALSE)</f>
        <v>#N/A</v>
      </c>
      <c r="G433" s="380" t="e">
        <f>VLOOKUP($B427,IF($H427="F",TeamSheetFemale,TeamSheetMale),$Y433,FALSE)</f>
        <v>#N/A</v>
      </c>
      <c r="H433" s="363" t="e">
        <f>VLOOKUP($B427,IF($H427="F",TeamSheetFemale,TeamSheetMale),$Y433+1,FALSE)</f>
        <v>#N/A</v>
      </c>
      <c r="I433" s="364" t="e">
        <f>VLOOKUP($B427,IF($H427="F",TeamSheetFemale,TeamSheetMale),$Y433+2,FALSE)</f>
        <v>#N/A</v>
      </c>
      <c r="K433" s="341" t="s">
        <v>276</v>
      </c>
      <c r="L433" s="16" t="str">
        <f t="shared" si="370"/>
        <v/>
      </c>
      <c r="M433" s="927"/>
      <c r="N433" s="927"/>
      <c r="O433" s="353" t="str">
        <f>IF(LEN($M433)=1,VLOOKUP(LEFT($M433,1),B428:I435,5,FALSE),IF(LEN($M433)=2,VLOOKUP(LEFT($M433,1),B428:I435,7,FALSE),""))</f>
        <v/>
      </c>
      <c r="P433" s="373" t="str">
        <f>IF(LEN($M433)=1,VLOOKUP(LEFT($M433,1),B428:I435,6,FALSE),IF(LEN($M433)=2,VLOOKUP(LEFT($M433,1),B428:I435,8,FALSE),""))</f>
        <v/>
      </c>
      <c r="Q433" s="341" t="s">
        <v>276</v>
      </c>
      <c r="R433" s="146" t="str">
        <f t="shared" si="371"/>
        <v/>
      </c>
      <c r="S433" s="927"/>
      <c r="T433" s="927"/>
      <c r="U433" s="353" t="str">
        <f>IF(LEN($S433)=1,VLOOKUP(LEFT($S433,1),B428:I435,5,FALSE),IF(LEN($S433)=2,VLOOKUP(LEFT($S433,1),B428:I435,7,FALSE),""))</f>
        <v/>
      </c>
      <c r="V433" s="373" t="str">
        <f>IF(LEN($S433)=1,VLOOKUP(LEFT($S433,1),B428:I435,6,FALSE),IF(LEN($S433)=2,VLOOKUP(LEFT($S433,1),B428:I435,8,FALSE),""))</f>
        <v/>
      </c>
      <c r="W433" s="417">
        <f t="shared" si="378"/>
        <v>3</v>
      </c>
      <c r="Y433" s="417">
        <v>32</v>
      </c>
      <c r="Z433" s="16">
        <f t="shared" si="372"/>
        <v>0</v>
      </c>
      <c r="AA433" s="146">
        <f t="shared" si="373"/>
        <v>0</v>
      </c>
      <c r="AB433" s="32"/>
      <c r="AC433" s="16" t="str">
        <f t="shared" si="374"/>
        <v>D</v>
      </c>
      <c r="AD433" s="419" t="str">
        <f t="shared" si="374"/>
        <v>Stratford</v>
      </c>
      <c r="AE433" s="419">
        <f>IF(ISNA(MATCH(AC433,N428:N437,0)),0,VLOOKUP(AC433,N428:S437,5,FALSE))</f>
        <v>0</v>
      </c>
      <c r="AF433" s="419" t="str">
        <f>IF(ISNA(MATCH(AC433,T428:T437,0))," ",VLOOKUP(AC433,T428:Y437,5,FALSE))</f>
        <v xml:space="preserve"> </v>
      </c>
      <c r="AG433" s="419">
        <f>IF(ISNA(MATCH(AC433,L428:L435,0)),0,VLOOKUP(AC433,L428:N435,3,FALSE))</f>
        <v>0</v>
      </c>
      <c r="AH433" s="419">
        <f>IF(ISNA(MATCH(AC433,R428:R435,0)),0,VLOOKUP(AC433,R428:T435,3,FALSE))</f>
        <v>0</v>
      </c>
      <c r="AI433" s="419">
        <f>IF(ISNA(MATCH(AC433,L428:L435,0)),0,VLOOKUP(AC433,L428:P435,4,FALSE))</f>
        <v>0</v>
      </c>
      <c r="AJ433" s="419">
        <f>IF(ISNA(MATCH(AC433,R428:R435,0)),0,VLOOKUP(AC433,R428:U435,4,FALSE))</f>
        <v>0</v>
      </c>
      <c r="AK433" s="32">
        <f t="shared" si="375"/>
        <v>0</v>
      </c>
      <c r="AL433" s="32">
        <f t="shared" si="376"/>
        <v>0</v>
      </c>
      <c r="AM433" s="32">
        <f>IF(ISNA(MATCH(AC433,L428:L435,0)),0,VLOOKUP(AC433,L428:W435,AM$1,FALSE))</f>
        <v>0</v>
      </c>
      <c r="AN433" s="146">
        <f>IF(ISNA(MATCH(AC433,R428:R435,0)),0,VLOOKUP(AC433,R428:W435,AN$1,FALSE))</f>
        <v>0</v>
      </c>
      <c r="AP433" s="927"/>
      <c r="AQ433" s="927"/>
    </row>
    <row r="434" spans="1:47" ht="15.6" x14ac:dyDescent="0.3">
      <c r="A434" s="417">
        <f t="shared" si="377"/>
        <v>387</v>
      </c>
      <c r="B434" s="362" t="str">
        <f>'Event Details'!D$28</f>
        <v>F</v>
      </c>
      <c r="C434" s="381" t="str">
        <f>'Event Details'!E$28</f>
        <v>Tamworth</v>
      </c>
      <c r="D434" s="379"/>
      <c r="E434" s="378"/>
      <c r="F434" s="363" t="e">
        <f>VLOOKUP($B427,IF($H427="F",TeamSheetFemale,TeamSheetMale),$Y434-1,FALSE)</f>
        <v>#N/A</v>
      </c>
      <c r="G434" s="380" t="e">
        <f>VLOOKUP($B427,IF($H427="F",TeamSheetFemale,TeamSheetMale),$Y434,FALSE)</f>
        <v>#N/A</v>
      </c>
      <c r="H434" s="363" t="e">
        <f>VLOOKUP($B427,IF($H427="F",TeamSheetFemale,TeamSheetMale),$Y434+1,FALSE)</f>
        <v>#N/A</v>
      </c>
      <c r="I434" s="364" t="e">
        <f>VLOOKUP($B427,IF($H427="F",TeamSheetFemale,TeamSheetMale),$Y434+2,FALSE)</f>
        <v>#N/A</v>
      </c>
      <c r="K434" s="341" t="s">
        <v>277</v>
      </c>
      <c r="L434" s="16" t="str">
        <f t="shared" si="370"/>
        <v/>
      </c>
      <c r="M434" s="931"/>
      <c r="N434" s="927"/>
      <c r="O434" s="353" t="str">
        <f>IF(LEN($M434)=1,VLOOKUP(LEFT($M434,1),B428:I435,5,FALSE),IF(LEN($M434)=2,VLOOKUP(LEFT($M434,1),B428:I435,7,FALSE),""))</f>
        <v/>
      </c>
      <c r="P434" s="373" t="str">
        <f>IF(LEN($M434)=1,VLOOKUP(LEFT($M434,1),B428:I435,6,FALSE),IF(LEN($M434)=2,VLOOKUP(LEFT($M434,1),B428:I435,8,FALSE),""))</f>
        <v/>
      </c>
      <c r="Q434" s="341" t="s">
        <v>277</v>
      </c>
      <c r="R434" s="146" t="str">
        <f t="shared" si="371"/>
        <v/>
      </c>
      <c r="S434" s="931"/>
      <c r="T434" s="927"/>
      <c r="U434" s="353" t="str">
        <f>IF(LEN($S434)=1,VLOOKUP(LEFT($S434,1),B428:I435,5,FALSE),IF(LEN($S434)=2,VLOOKUP(LEFT($S434,1),B428:I435,7,FALSE),""))</f>
        <v/>
      </c>
      <c r="V434" s="373" t="str">
        <f>IF(LEN($S434)=1,VLOOKUP(LEFT($S434,1),B428:I435,6,FALSE),IF(LEN($S434)=2,VLOOKUP(LEFT($S434,1),B428:I435,8,FALSE),""))</f>
        <v/>
      </c>
      <c r="W434" s="417">
        <f t="shared" si="378"/>
        <v>2</v>
      </c>
      <c r="Y434" s="417">
        <v>37</v>
      </c>
      <c r="Z434" s="16">
        <f t="shared" si="372"/>
        <v>0</v>
      </c>
      <c r="AA434" s="146">
        <f t="shared" si="373"/>
        <v>0</v>
      </c>
      <c r="AB434" s="32"/>
      <c r="AC434" s="16" t="str">
        <f t="shared" si="374"/>
        <v>F</v>
      </c>
      <c r="AD434" s="419" t="str">
        <f t="shared" si="374"/>
        <v>Tamworth</v>
      </c>
      <c r="AE434" s="419">
        <f>IF(ISNA(MATCH(AC434,N426:N435,0)),0,VLOOKUP(AC434,N426:S435,5,FALSE))</f>
        <v>0</v>
      </c>
      <c r="AF434" s="419" t="str">
        <f>IF(ISNA(MATCH(AC434,T426:T435,0))," ",VLOOKUP(AC434,T426:Y435,5,FALSE))</f>
        <v xml:space="preserve"> </v>
      </c>
      <c r="AG434" s="419">
        <f>IF(ISNA(MATCH(AC434,L428:L435,0)),0,VLOOKUP(AC434,L428:N435,3,FALSE))</f>
        <v>0</v>
      </c>
      <c r="AH434" s="419">
        <f>IF(ISNA(MATCH(AC434,R428:R435,0)),0,VLOOKUP(AC434,R428:T435,3,FALSE))</f>
        <v>0</v>
      </c>
      <c r="AI434" s="419">
        <f>IF(ISNA(MATCH(AC434,L428:L435,0)),0,VLOOKUP(AC434,L428:P435,4,FALSE))</f>
        <v>0</v>
      </c>
      <c r="AJ434" s="419">
        <f>IF(ISNA(MATCH(AC434,R428:R435,0)),0,VLOOKUP(AC434,R428:U435,4,FALSE))</f>
        <v>0</v>
      </c>
      <c r="AK434" s="32">
        <f t="shared" si="375"/>
        <v>0</v>
      </c>
      <c r="AL434" s="32">
        <f t="shared" si="376"/>
        <v>0</v>
      </c>
      <c r="AM434" s="32">
        <f>IF(ISNA(MATCH(AC434,L428:L435,0)),0,VLOOKUP(AC434,L428:W435,AM$1,FALSE))</f>
        <v>0</v>
      </c>
      <c r="AN434" s="146">
        <f>IF(ISNA(MATCH(AC434,R428:R435,0)),0,VLOOKUP(AC434,R428:W435,AN$1,FALSE))</f>
        <v>0</v>
      </c>
      <c r="AP434" s="931"/>
      <c r="AQ434" s="927"/>
    </row>
    <row r="435" spans="1:47" ht="16.2" thickBot="1" x14ac:dyDescent="0.35">
      <c r="A435" s="418">
        <f t="shared" si="377"/>
        <v>388</v>
      </c>
      <c r="B435" s="365" t="str">
        <f>'Event Details'!D$29</f>
        <v>Y</v>
      </c>
      <c r="C435" s="366" t="str">
        <f>'Event Details'!E$29</f>
        <v>Worcester</v>
      </c>
      <c r="D435" s="361"/>
      <c r="E435" s="370"/>
      <c r="F435" s="367" t="e">
        <f>VLOOKUP($B427,IF($H427="F",TeamSheetFemale,TeamSheetMale),$Y435-1,FALSE)</f>
        <v>#N/A</v>
      </c>
      <c r="G435" s="368" t="e">
        <f>VLOOKUP($B427,IF($H427="F",TeamSheetFemale,TeamSheetMale),$Y435,FALSE)</f>
        <v>#N/A</v>
      </c>
      <c r="H435" s="367" t="e">
        <f>VLOOKUP($B427,IF($H427="F",TeamSheetFemale,TeamSheetMale),$Y435+1,FALSE)</f>
        <v>#N/A</v>
      </c>
      <c r="I435" s="369" t="e">
        <f>VLOOKUP($B427,IF($H427="F",TeamSheetFemale,TeamSheetMale),$Y435+2,FALSE)</f>
        <v>#N/A</v>
      </c>
      <c r="K435" s="346" t="s">
        <v>278</v>
      </c>
      <c r="L435" s="25" t="str">
        <f t="shared" si="370"/>
        <v/>
      </c>
      <c r="M435" s="928"/>
      <c r="N435" s="932"/>
      <c r="O435" s="375" t="str">
        <f>IF(LEN($M435)=1,VLOOKUP(LEFT($M435,1),B428:I435,5,FALSE),IF(LEN($M435)=2,VLOOKUP(LEFT($M435,1),B428:I435,7,FALSE),""))</f>
        <v/>
      </c>
      <c r="P435" s="376" t="str">
        <f>IF(LEN($M435)=1,VLOOKUP(LEFT($M435,1),B428:I435,6,FALSE),IF(LEN($M435)=2,VLOOKUP(LEFT($M435,1),B428:I435,8,FALSE),""))</f>
        <v/>
      </c>
      <c r="Q435" s="346" t="s">
        <v>278</v>
      </c>
      <c r="R435" s="523" t="str">
        <f t="shared" si="371"/>
        <v/>
      </c>
      <c r="S435" s="928"/>
      <c r="T435" s="932"/>
      <c r="U435" s="375" t="str">
        <f>IF(LEN($S435)=1,VLOOKUP(LEFT($S435,1),B428:I435,5,FALSE),IF(LEN($S435)=2,VLOOKUP(LEFT($S435,1),B428:I435,7,FALSE),""))</f>
        <v/>
      </c>
      <c r="V435" s="376" t="str">
        <f>IF(LEN($S435)=1,VLOOKUP(LEFT($S435,1),B428:I435,6,FALSE),IF(LEN($S435)=2,VLOOKUP(LEFT($S435,1),B428:I435,8,FALSE),""))</f>
        <v/>
      </c>
      <c r="W435" s="418">
        <f t="shared" si="378"/>
        <v>1</v>
      </c>
      <c r="Y435" s="418">
        <v>42</v>
      </c>
      <c r="Z435" s="25">
        <f t="shared" si="372"/>
        <v>0</v>
      </c>
      <c r="AA435" s="523">
        <f t="shared" si="373"/>
        <v>0</v>
      </c>
      <c r="AB435" s="32"/>
      <c r="AC435" s="25" t="str">
        <f t="shared" si="374"/>
        <v>Y</v>
      </c>
      <c r="AD435" s="624" t="str">
        <f t="shared" si="374"/>
        <v>Worcester</v>
      </c>
      <c r="AE435" s="624">
        <f>IF(ISNA(MATCH(AC435,N427:N436,0)),0,VLOOKUP(AC435,N427:S436,5,FALSE))</f>
        <v>0</v>
      </c>
      <c r="AF435" s="624" t="str">
        <f t="shared" ref="AF435" si="379">IF(ISNA(MATCH(AC435,T427:T436,0))," ",VLOOKUP(AC435,T427:Y436,5,FALSE))</f>
        <v xml:space="preserve"> </v>
      </c>
      <c r="AG435" s="624">
        <f>IF(ISNA(MATCH(AC435,L428:L435,0)),0,VLOOKUP(AC435,L428:N435,3,FALSE))</f>
        <v>0</v>
      </c>
      <c r="AH435" s="624">
        <f>IF(ISNA(MATCH(AC435,R428:R435,0)),0,VLOOKUP(AC435,R428:T435,3,FALSE))</f>
        <v>0</v>
      </c>
      <c r="AI435" s="624">
        <f>IF(ISNA(MATCH(AC435,L428:L435,0)),0,VLOOKUP(AC435,L428:P435,4,FALSE))</f>
        <v>0</v>
      </c>
      <c r="AJ435" s="624">
        <f>IF(ISNA(MATCH(AC435,R428:R435,0)),0,VLOOKUP(AC435,R428:U435,4,FALSE))</f>
        <v>0</v>
      </c>
      <c r="AK435" s="116">
        <f t="shared" si="375"/>
        <v>0</v>
      </c>
      <c r="AL435" s="116">
        <f t="shared" si="376"/>
        <v>0</v>
      </c>
      <c r="AM435" s="116">
        <f>IF(ISNA(MATCH(AC435,L428:L435,0)),0,VLOOKUP(AC435,L428:W435,AM$1,FALSE))</f>
        <v>0</v>
      </c>
      <c r="AN435" s="523">
        <f>IF(ISNA(MATCH(AC435,R428:R435,0)),0,VLOOKUP(AC435,R428:W435,AN$1,FALSE))</f>
        <v>0</v>
      </c>
      <c r="AP435" s="928"/>
      <c r="AQ435" s="932"/>
    </row>
    <row r="436" spans="1:47" ht="15" thickBot="1" x14ac:dyDescent="0.35">
      <c r="M436" s="276"/>
      <c r="N436" s="307"/>
      <c r="S436" s="276"/>
      <c r="T436" s="307"/>
      <c r="AP436" s="276"/>
      <c r="AQ436" s="307"/>
    </row>
    <row r="437" spans="1:47" x14ac:dyDescent="0.3">
      <c r="B437" s="400" t="s">
        <v>258</v>
      </c>
      <c r="C437" s="398"/>
      <c r="D437" s="401" t="s">
        <v>165</v>
      </c>
      <c r="E437" s="398"/>
      <c r="F437" s="398"/>
      <c r="G437" s="402" t="s">
        <v>259</v>
      </c>
      <c r="H437" s="403" t="s">
        <v>249</v>
      </c>
      <c r="I437" s="404" t="s">
        <v>168</v>
      </c>
      <c r="K437" s="360"/>
      <c r="L437" s="661"/>
      <c r="M437" s="387" t="s">
        <v>260</v>
      </c>
      <c r="N437" s="387" t="s">
        <v>261</v>
      </c>
      <c r="O437" s="387" t="s">
        <v>262</v>
      </c>
      <c r="P437" s="388" t="s">
        <v>75</v>
      </c>
      <c r="Q437" s="412"/>
      <c r="R437" s="657"/>
      <c r="S437" s="387" t="s">
        <v>260</v>
      </c>
      <c r="T437" s="387" t="s">
        <v>261</v>
      </c>
      <c r="U437" s="387" t="s">
        <v>262</v>
      </c>
      <c r="V437" s="388" t="s">
        <v>75</v>
      </c>
      <c r="W437" s="672" t="s">
        <v>76</v>
      </c>
      <c r="Y437" s="654" t="s">
        <v>263</v>
      </c>
      <c r="Z437" s="656" t="s">
        <v>74</v>
      </c>
      <c r="AA437" s="657" t="s">
        <v>75</v>
      </c>
      <c r="AC437" s="665" t="s">
        <v>71</v>
      </c>
      <c r="AD437" s="657" t="s">
        <v>86</v>
      </c>
      <c r="AE437" s="661" t="s">
        <v>149</v>
      </c>
      <c r="AF437" s="661" t="s">
        <v>94</v>
      </c>
      <c r="AG437" s="661" t="s">
        <v>149</v>
      </c>
      <c r="AH437" s="661" t="s">
        <v>94</v>
      </c>
      <c r="AI437" s="661" t="s">
        <v>149</v>
      </c>
      <c r="AJ437" s="661" t="s">
        <v>94</v>
      </c>
      <c r="AK437" s="1332" t="s">
        <v>149</v>
      </c>
      <c r="AL437" s="661" t="s">
        <v>94</v>
      </c>
      <c r="AM437" s="1406" t="s">
        <v>76</v>
      </c>
      <c r="AN437" s="1407"/>
      <c r="AP437" s="387" t="s">
        <v>260</v>
      </c>
      <c r="AQ437" s="387" t="s">
        <v>261</v>
      </c>
      <c r="AS437" s="1218" t="s">
        <v>165</v>
      </c>
      <c r="AT437" s="1219" t="s">
        <v>79</v>
      </c>
      <c r="AU437" s="1220" t="s">
        <v>80</v>
      </c>
    </row>
    <row r="438" spans="1:47" ht="15" thickBot="1" x14ac:dyDescent="0.35">
      <c r="B438" s="405">
        <v>39</v>
      </c>
      <c r="C438" s="399"/>
      <c r="D438" s="385" t="str">
        <f>VLOOKUP($B438,EventOrder,6,FALSE)</f>
        <v xml:space="preserve">100m </v>
      </c>
      <c r="E438" s="399"/>
      <c r="F438" s="385"/>
      <c r="G438" s="386" t="str">
        <f>VLOOKUP($B438,EventOrder,4,FALSE)</f>
        <v>U14 Female</v>
      </c>
      <c r="H438" s="396" t="str">
        <f>IF(MID(G438,5,1)="F","F","M")</f>
        <v>F</v>
      </c>
      <c r="I438" s="397">
        <f>VLOOKUP($B438,EventOrder,2,FALSE)</f>
        <v>2.2000000000000002</v>
      </c>
      <c r="K438" s="372"/>
      <c r="L438" s="667" t="s">
        <v>149</v>
      </c>
      <c r="M438" s="409" t="s">
        <v>264</v>
      </c>
      <c r="N438" s="409" t="s">
        <v>265</v>
      </c>
      <c r="O438" s="409" t="s">
        <v>266</v>
      </c>
      <c r="P438" s="408"/>
      <c r="Q438" s="413"/>
      <c r="R438" s="659" t="s">
        <v>94</v>
      </c>
      <c r="S438" s="409" t="s">
        <v>264</v>
      </c>
      <c r="T438" s="409" t="s">
        <v>265</v>
      </c>
      <c r="U438" s="409" t="s">
        <v>266</v>
      </c>
      <c r="V438" s="408"/>
      <c r="W438" s="671"/>
      <c r="Y438" s="655" t="s">
        <v>167</v>
      </c>
      <c r="Z438" s="658" t="s">
        <v>149</v>
      </c>
      <c r="AA438" s="659" t="s">
        <v>94</v>
      </c>
      <c r="AC438" s="666"/>
      <c r="AD438" s="668"/>
      <c r="AE438" s="768" t="s">
        <v>75</v>
      </c>
      <c r="AF438" s="768" t="s">
        <v>75</v>
      </c>
      <c r="AG438" s="768" t="s">
        <v>267</v>
      </c>
      <c r="AH438" s="768" t="s">
        <v>267</v>
      </c>
      <c r="AI438" s="768" t="s">
        <v>268</v>
      </c>
      <c r="AJ438" s="768" t="s">
        <v>268</v>
      </c>
      <c r="AK438" s="770" t="s">
        <v>269</v>
      </c>
      <c r="AL438" s="768" t="s">
        <v>269</v>
      </c>
      <c r="AM438" s="667" t="s">
        <v>149</v>
      </c>
      <c r="AN438" s="659" t="s">
        <v>94</v>
      </c>
      <c r="AP438" s="409" t="s">
        <v>264</v>
      </c>
      <c r="AQ438" s="409" t="s">
        <v>265</v>
      </c>
      <c r="AS438" s="1221" t="s">
        <v>270</v>
      </c>
      <c r="AT438" s="1222" t="s">
        <v>270</v>
      </c>
      <c r="AU438" s="1223" t="s">
        <v>270</v>
      </c>
    </row>
    <row r="439" spans="1:47" ht="15.6" x14ac:dyDescent="0.3">
      <c r="A439" s="416">
        <f>(B438*10)+1</f>
        <v>391</v>
      </c>
      <c r="B439" s="362" t="str">
        <f>'Event Details'!D$22</f>
        <v>S</v>
      </c>
      <c r="C439" s="381" t="str">
        <f>'Event Details'!E$22</f>
        <v>BRAT</v>
      </c>
      <c r="D439" s="379"/>
      <c r="E439" s="378"/>
      <c r="F439" s="363" t="str">
        <f>VLOOKUP($B438,IF($H438="F",TeamSheetFemale,TeamSheetMale),$Y439-1,FALSE)</f>
        <v>S</v>
      </c>
      <c r="G439" s="380" t="str">
        <f>VLOOKUP($B438,IF($H438="F",TeamSheetFemale,TeamSheetMale),$Y439,FALSE)</f>
        <v>Agnes thomson</v>
      </c>
      <c r="H439" s="363" t="str">
        <f>VLOOKUP($B438,IF($H438="F",TeamSheetFemale,TeamSheetMale),$Y439+1,FALSE)</f>
        <v>SS</v>
      </c>
      <c r="I439" s="364" t="str">
        <f>VLOOKUP($B438,IF($H438="F",TeamSheetFemale,TeamSheetMale),$Y439+2,FALSE)</f>
        <v>Savannah wedderburn</v>
      </c>
      <c r="K439" s="393" t="s">
        <v>271</v>
      </c>
      <c r="L439" s="16" t="str">
        <f t="shared" ref="L439:L446" si="380">LEFT(M439,1)</f>
        <v>U</v>
      </c>
      <c r="M439" s="926" t="s">
        <v>130</v>
      </c>
      <c r="N439" s="926">
        <v>13.5</v>
      </c>
      <c r="O439" s="394" t="str">
        <f>IF(LEN($M439)=1,VLOOKUP(LEFT($M439,1),B439:I446,5,FALSE),IF(LEN($M439)=2,VLOOKUP(LEFT($M439,1),B439:I446,7,FALSE),""))</f>
        <v>U</v>
      </c>
      <c r="P439" s="395" t="str">
        <f>IF(LEN($M439)=1,VLOOKUP(LEFT($M439,1),B439:I446,6,FALSE),IF(LEN($M439)=2,VLOOKUP(LEFT($M439,1),B439:I446,8,FALSE),""))</f>
        <v>Pippa Richards</v>
      </c>
      <c r="Q439" s="406" t="s">
        <v>271</v>
      </c>
      <c r="R439" s="146" t="str">
        <f t="shared" ref="R439:R446" si="381">LEFT(S439,1)</f>
        <v>S</v>
      </c>
      <c r="S439" s="926" t="s">
        <v>818</v>
      </c>
      <c r="T439" s="926">
        <v>14.5</v>
      </c>
      <c r="U439" s="394" t="str">
        <f>IF(LEN($S439)=1,VLOOKUP(LEFT($S439,1),B439:I446,5,FALSE),IF(LEN($S439)=2,VLOOKUP(LEFT($S439,1),B439:I446,7,FALSE),""))</f>
        <v>SS</v>
      </c>
      <c r="V439" s="395" t="str">
        <f>IF(LEN($S439)=1,VLOOKUP(LEFT($S439,1),B439:I446,6,FALSE),IF(LEN($S439)=2,VLOOKUP(LEFT($S439,1),B439:I446,8,FALSE),""))</f>
        <v>Savannah wedderburn</v>
      </c>
      <c r="W439" s="417">
        <f>AN$6</f>
        <v>8</v>
      </c>
      <c r="Y439" s="653">
        <v>7</v>
      </c>
      <c r="Z439" s="653" t="str">
        <f t="shared" ref="Z439:Z446" si="382">IF(LEN(M439)&gt;0,VLOOKUP(LEFT(M439,1),ShortName,5,FALSE),0)</f>
        <v>K&amp;S</v>
      </c>
      <c r="AA439" s="138" t="str">
        <f t="shared" ref="AA439:AA446" si="383">IF(LEN(S439)&gt;0,VLOOKUP(LEFT(S439,1),ShortName,5,FALSE),0)</f>
        <v>BRAT</v>
      </c>
      <c r="AC439" s="16" t="str">
        <f t="shared" ref="AC439:AD446" si="384">B439</f>
        <v>S</v>
      </c>
      <c r="AD439" s="419" t="str">
        <f t="shared" si="384"/>
        <v>BRAT</v>
      </c>
      <c r="AE439" s="635">
        <f>IF(ISNA(MATCH(AC439,N439:N448,0)),0,VLOOKUP(AC439,N439:S448,5,FALSE))</f>
        <v>0</v>
      </c>
      <c r="AF439" s="635" t="str">
        <f>IF(ISNA(MATCH(AC439,T439:T448,0))," ",VLOOKUP(AC439,T439:Y448,5,FALSE))</f>
        <v xml:space="preserve"> </v>
      </c>
      <c r="AG439" s="635">
        <f>IF(ISNA(MATCH(AC439,L439:L446,0)),0,VLOOKUP(AC439,L439:N446,3,FALSE))</f>
        <v>14.4</v>
      </c>
      <c r="AH439" s="635">
        <f>IF(ISNA(MATCH(AC439,R439:R446,0)),0,VLOOKUP(AC439,R439:T446,3,FALSE))</f>
        <v>14.5</v>
      </c>
      <c r="AI439" s="635" t="str">
        <f>IF(ISNA(MATCH(AC439,L439:L446,0)),0,VLOOKUP(AC439,L439:P446,4,FALSE))</f>
        <v>S</v>
      </c>
      <c r="AJ439" s="635" t="str">
        <f>IF(ISNA(MATCH(AC439,R439:R446,0)),0,VLOOKUP(AC439,R439:U446,4,FALSE))</f>
        <v>SS</v>
      </c>
      <c r="AK439" s="49">
        <f t="shared" ref="AK439:AK446" si="385">IF(AM439=0,0,AN$6-(AM439-1))</f>
        <v>6</v>
      </c>
      <c r="AL439" s="49">
        <f t="shared" ref="AL439:AL446" si="386">IF(AN439=0,0,AN$6-(AN439-1))</f>
        <v>1</v>
      </c>
      <c r="AM439" s="49">
        <f>IF(ISNA(MATCH(AC439,L439:L446,0)),0,VLOOKUP(AC439,L439:W446,AM$1,FALSE))</f>
        <v>3</v>
      </c>
      <c r="AN439" s="138">
        <f>IF(ISNA(MATCH(AC439,R439:R446,0)),0,VLOOKUP(AC439,R439:W446,AN$1,FALSE))</f>
        <v>8</v>
      </c>
      <c r="AP439" s="926"/>
      <c r="AQ439" s="926"/>
      <c r="AS439" s="32">
        <f>IF(LEN(N439)&gt;0,1,0)</f>
        <v>1</v>
      </c>
      <c r="AT439" s="32">
        <f>IF(AND(AS439=1,H438="M"),1,0)</f>
        <v>0</v>
      </c>
      <c r="AU439" s="32">
        <f>IF(AND(AS439=1,H438="F"),1,0)</f>
        <v>1</v>
      </c>
    </row>
    <row r="440" spans="1:47" ht="15.6" x14ac:dyDescent="0.3">
      <c r="A440" s="417">
        <f>A439+1</f>
        <v>392</v>
      </c>
      <c r="B440" s="362" t="str">
        <f>'Event Details'!D$23</f>
        <v>U</v>
      </c>
      <c r="C440" s="381" t="str">
        <f>'Event Details'!E$23</f>
        <v>Kidder &amp; Stourport</v>
      </c>
      <c r="D440" s="379"/>
      <c r="E440" s="378"/>
      <c r="F440" s="363" t="str">
        <f>VLOOKUP($B438,IF($H438="F",TeamSheetFemale,TeamSheetMale),$Y440-1,FALSE)</f>
        <v>U</v>
      </c>
      <c r="G440" s="380" t="str">
        <f>VLOOKUP($B438,IF($H438="F",TeamSheetFemale,TeamSheetMale),$Y440,FALSE)</f>
        <v>Pippa Richards</v>
      </c>
      <c r="H440" s="363" t="str">
        <f>VLOOKUP($B438,IF($H438="F",TeamSheetFemale,TeamSheetMale),$Y440+1,FALSE)</f>
        <v>UU</v>
      </c>
      <c r="I440" s="364" t="str">
        <f>VLOOKUP($B438,IF($H438="F",TeamSheetFemale,TeamSheetMale),$Y440+2,FALSE)</f>
        <v>Matilda Kiernan</v>
      </c>
      <c r="K440" s="341" t="s">
        <v>272</v>
      </c>
      <c r="L440" s="16" t="str">
        <f t="shared" si="380"/>
        <v>M</v>
      </c>
      <c r="M440" s="927" t="s">
        <v>127</v>
      </c>
      <c r="N440" s="927">
        <v>13.5</v>
      </c>
      <c r="O440" s="354" t="str">
        <f>IF(LEN($M440)=1,VLOOKUP(LEFT($M440,1),B439:I446,5,FALSE),IF(LEN($M440)=2,VLOOKUP(LEFT($M440,1),B439:I446,7,FALSE),""))</f>
        <v>M</v>
      </c>
      <c r="P440" s="410" t="str">
        <f>IF(LEN($M440)=1,VLOOKUP(LEFT($M440,1),B439:I446,6,FALSE),IF(LEN($M440)=2,VLOOKUP(LEFT($M440,1),B439:I446,8,FALSE),""))</f>
        <v>Ava Blundell</v>
      </c>
      <c r="Q440" s="371" t="s">
        <v>272</v>
      </c>
      <c r="R440" s="146" t="str">
        <f t="shared" si="381"/>
        <v>D</v>
      </c>
      <c r="S440" s="927" t="s">
        <v>513</v>
      </c>
      <c r="T440" s="927">
        <v>14.5</v>
      </c>
      <c r="U440" s="354" t="str">
        <f>IF(LEN($S440)=1,VLOOKUP(LEFT($S440,1),B439:I446,5,FALSE),IF(LEN($S440)=2,VLOOKUP(LEFT($S440,1),B439:I446,7,FALSE),""))</f>
        <v>DD</v>
      </c>
      <c r="V440" s="410" t="str">
        <f>IF(LEN($S440)=1,VLOOKUP(LEFT($S440,1),B439:I446,6,FALSE),IF(LEN($S440)=2,VLOOKUP(LEFT($S440,1),B439:I446,8,FALSE),""))</f>
        <v>Sara Clewer</v>
      </c>
      <c r="W440" s="417">
        <f>W439-1</f>
        <v>7</v>
      </c>
      <c r="Y440" s="16">
        <v>12</v>
      </c>
      <c r="Z440" s="16" t="str">
        <f t="shared" si="382"/>
        <v>Sol</v>
      </c>
      <c r="AA440" s="146" t="str">
        <f t="shared" si="383"/>
        <v>Strat</v>
      </c>
      <c r="AC440" s="16" t="str">
        <f t="shared" si="384"/>
        <v>U</v>
      </c>
      <c r="AD440" s="419" t="str">
        <f t="shared" si="384"/>
        <v>Kidder &amp; Stourport</v>
      </c>
      <c r="AE440" s="419">
        <f>IF(ISNA(MATCH(AC440,N439:N448,0)),0,VLOOKUP(AC440,N439:S448,5,FALSE))</f>
        <v>0</v>
      </c>
      <c r="AF440" s="419" t="str">
        <f>IF(ISNA(MATCH(AC440,T439:T448,0))," ",VLOOKUP(AC440,T439:Y448,5,FALSE))</f>
        <v xml:space="preserve"> </v>
      </c>
      <c r="AG440" s="419">
        <f>IF(ISNA(MATCH(AC440,L439:L446,0)),0,VLOOKUP(AC440,L439:N446,3,FALSE))</f>
        <v>13.5</v>
      </c>
      <c r="AH440" s="419">
        <f>IF(ISNA(MATCH(AC440,R439:R446,0)),0,VLOOKUP(AC440,R439:T446,3,FALSE))</f>
        <v>15.1</v>
      </c>
      <c r="AI440" s="419" t="str">
        <f>IF(ISNA(MATCH(AC440,L439:L446,0)),0,VLOOKUP(AC440,L439:P446,4,FALSE))</f>
        <v>U</v>
      </c>
      <c r="AJ440" s="419" t="str">
        <f>IF(ISNA(MATCH(AC440,R439:R446,0)),0,VLOOKUP(AC440,R439:U446,4,FALSE))</f>
        <v>UU</v>
      </c>
      <c r="AK440" s="32">
        <f t="shared" si="385"/>
        <v>1</v>
      </c>
      <c r="AL440" s="32">
        <f t="shared" si="386"/>
        <v>6</v>
      </c>
      <c r="AM440" s="32">
        <f>IF(ISNA(MATCH(AC440,L439:L446,0)),0,VLOOKUP(AC440,L439:W446,AM$1,FALSE))</f>
        <v>8</v>
      </c>
      <c r="AN440" s="146">
        <f>IF(ISNA(MATCH(AC440,R439:R446,0)),0,VLOOKUP(AC440,R439:W446,AN$1,FALSE))</f>
        <v>3</v>
      </c>
      <c r="AP440" s="927"/>
      <c r="AQ440" s="927"/>
    </row>
    <row r="441" spans="1:47" ht="15.6" x14ac:dyDescent="0.3">
      <c r="A441" s="417">
        <f t="shared" ref="A441:A446" si="387">A440+1</f>
        <v>393</v>
      </c>
      <c r="B441" s="362" t="str">
        <f>'Event Details'!D$24</f>
        <v>G</v>
      </c>
      <c r="C441" s="381" t="str">
        <f>'Event Details'!E$24</f>
        <v>Royal Sutton</v>
      </c>
      <c r="D441" s="379"/>
      <c r="E441" s="378"/>
      <c r="F441" s="363" t="str">
        <f>VLOOKUP($B438,IF($H438="F",TeamSheetFemale,TeamSheetMale),$Y441-1,FALSE)</f>
        <v>G</v>
      </c>
      <c r="G441" s="380" t="str">
        <f>VLOOKUP($B438,IF($H438="F",TeamSheetFemale,TeamSheetMale),$Y441,FALSE)</f>
        <v>Annabelle Ani</v>
      </c>
      <c r="H441" s="363" t="str">
        <f>VLOOKUP($B438,IF($H438="F",TeamSheetFemale,TeamSheetMale),$Y441+1,FALSE)</f>
        <v>GG</v>
      </c>
      <c r="I441" s="364" t="str">
        <f>VLOOKUP($B438,IF($H438="F",TeamSheetFemale,TeamSheetMale),$Y441+2,FALSE)</f>
        <v>Brooke Butler</v>
      </c>
      <c r="K441" s="341" t="s">
        <v>273</v>
      </c>
      <c r="L441" s="16" t="str">
        <f t="shared" si="380"/>
        <v>G</v>
      </c>
      <c r="M441" s="927" t="s">
        <v>110</v>
      </c>
      <c r="N441" s="927">
        <v>13.7</v>
      </c>
      <c r="O441" s="354" t="str">
        <f>IF(LEN($M441)=1,VLOOKUP(LEFT($M441,1),B439:I446,5,FALSE),IF(LEN($M441)=2,VLOOKUP(LEFT($M441,1),B439:I446,7,FALSE),""))</f>
        <v>G</v>
      </c>
      <c r="P441" s="410" t="str">
        <f>IF(LEN($M441)=1,VLOOKUP(LEFT($M441,1),B439:I446,6,FALSE),IF(LEN($M441)=2,VLOOKUP(LEFT($M441,1),B439:I446,8,FALSE),""))</f>
        <v>Annabelle Ani</v>
      </c>
      <c r="Q441" s="371" t="s">
        <v>273</v>
      </c>
      <c r="R441" s="146" t="str">
        <f t="shared" si="381"/>
        <v>M</v>
      </c>
      <c r="S441" s="927" t="s">
        <v>821</v>
      </c>
      <c r="T441" s="927">
        <v>14.5</v>
      </c>
      <c r="U441" s="354" t="str">
        <f>IF(LEN($S441)=1,VLOOKUP(LEFT($S441,1),B439:I446,5,FALSE),IF(LEN($S441)=2,VLOOKUP(LEFT($S441,1),B439:I446,7,FALSE),""))</f>
        <v>MM</v>
      </c>
      <c r="V441" s="410" t="str">
        <f>IF(LEN($S441)=1,VLOOKUP(LEFT($S441,1),B439:I446,6,FALSE),IF(LEN($S441)=2,VLOOKUP(LEFT($S441,1),B439:I446,8,FALSE),""))</f>
        <v>Ava Collett</v>
      </c>
      <c r="W441" s="417">
        <f t="shared" ref="W441:W446" si="388">W440-1</f>
        <v>6</v>
      </c>
      <c r="Y441" s="16">
        <v>17</v>
      </c>
      <c r="Z441" s="16" t="str">
        <f t="shared" si="382"/>
        <v>Royal</v>
      </c>
      <c r="AA441" s="146" t="str">
        <f t="shared" si="383"/>
        <v>Sol</v>
      </c>
      <c r="AC441" s="16" t="str">
        <f t="shared" si="384"/>
        <v>G</v>
      </c>
      <c r="AD441" s="419" t="str">
        <f t="shared" si="384"/>
        <v>Royal Sutton</v>
      </c>
      <c r="AE441" s="419">
        <f>IF(ISNA(MATCH(AC441,N439:N448,0)),0,VLOOKUP(AC441,N439:S448,5,FALSE))</f>
        <v>0</v>
      </c>
      <c r="AF441" s="419" t="str">
        <f>IF(ISNA(MATCH(AC441,T439:T448,0))," ",VLOOKUP(AC441,T439:Y448,5,FALSE))</f>
        <v xml:space="preserve"> </v>
      </c>
      <c r="AG441" s="419">
        <f>IF(ISNA(MATCH(AC441,L439:L446,0)),0,VLOOKUP(AC441,L439:N446,3,FALSE))</f>
        <v>13.7</v>
      </c>
      <c r="AH441" s="419">
        <f>IF(ISNA(MATCH(AC441,R439:R446,0)),0,VLOOKUP(AC441,R439:T446,3,FALSE))</f>
        <v>14.7</v>
      </c>
      <c r="AI441" s="419" t="str">
        <f>IF(ISNA(MATCH(AC441,L439:L446,0)),0,VLOOKUP(AC441,L439:P446,4,FALSE))</f>
        <v>G</v>
      </c>
      <c r="AJ441" s="419" t="str">
        <f>IF(ISNA(MATCH(AC441,R439:R446,0)),0,VLOOKUP(AC441,R439:U446,4,FALSE))</f>
        <v>GG</v>
      </c>
      <c r="AK441" s="32">
        <f t="shared" si="385"/>
        <v>3</v>
      </c>
      <c r="AL441" s="32">
        <f t="shared" si="386"/>
        <v>4</v>
      </c>
      <c r="AM441" s="32">
        <f>IF(ISNA(MATCH(AC441,L439:L446,0)),0,VLOOKUP(AC441,L439:W446,AM$1,FALSE))</f>
        <v>6</v>
      </c>
      <c r="AN441" s="146">
        <f>IF(ISNA(MATCH(AC441,R439:R446,0)),0,VLOOKUP(AC441,R439:W446,AN$1,FALSE))</f>
        <v>5</v>
      </c>
      <c r="AP441" s="927"/>
      <c r="AQ441" s="927"/>
    </row>
    <row r="442" spans="1:47" ht="15.6" x14ac:dyDescent="0.3">
      <c r="A442" s="417">
        <f t="shared" si="387"/>
        <v>394</v>
      </c>
      <c r="B442" s="362" t="str">
        <f>'Event Details'!D$25</f>
        <v>R</v>
      </c>
      <c r="C442" s="381" t="str">
        <f>'Event Details'!E$25</f>
        <v>Rugby &amp; N'hampton</v>
      </c>
      <c r="D442" s="379"/>
      <c r="E442" s="378"/>
      <c r="F442" s="363" t="str">
        <f>VLOOKUP($B438,IF($H438="F",TeamSheetFemale,TeamSheetMale),$Y442-1,FALSE)</f>
        <v>R</v>
      </c>
      <c r="G442" s="380" t="str">
        <f>VLOOKUP($B438,IF($H438="F",TeamSheetFemale,TeamSheetMale),$Y442,FALSE)</f>
        <v>Reese Ridgway</v>
      </c>
      <c r="H442" s="363" t="str">
        <f>VLOOKUP($B438,IF($H438="F",TeamSheetFemale,TeamSheetMale),$Y442+1,FALSE)</f>
        <v>RR</v>
      </c>
      <c r="I442" s="364" t="str">
        <f>VLOOKUP($B438,IF($H438="F",TeamSheetFemale,TeamSheetMale),$Y442+2,FALSE)</f>
        <v>Matilda Famuyiwa</v>
      </c>
      <c r="K442" s="341" t="s">
        <v>274</v>
      </c>
      <c r="L442" s="16" t="str">
        <f t="shared" si="380"/>
        <v>F</v>
      </c>
      <c r="M442" s="927" t="s">
        <v>142</v>
      </c>
      <c r="N442" s="927">
        <v>14.2</v>
      </c>
      <c r="O442" s="354" t="str">
        <f>IF(LEN($M442)=1,VLOOKUP(LEFT($M442,1),B439:I446,5,FALSE),IF(LEN($M442)=2,VLOOKUP(LEFT($M442,1),B439:I446,7,FALSE),""))</f>
        <v>F</v>
      </c>
      <c r="P442" s="410" t="str">
        <f>IF(LEN($M442)=1,VLOOKUP(LEFT($M442,1),B439:I446,6,FALSE),IF(LEN($M442)=2,VLOOKUP(LEFT($M442,1),B439:I446,8,FALSE),""))</f>
        <v>Freya Draycott</v>
      </c>
      <c r="Q442" s="371" t="s">
        <v>274</v>
      </c>
      <c r="R442" s="146" t="str">
        <f t="shared" si="381"/>
        <v>G</v>
      </c>
      <c r="S442" s="927" t="s">
        <v>820</v>
      </c>
      <c r="T442" s="927">
        <v>14.7</v>
      </c>
      <c r="U442" s="354" t="str">
        <f>IF(LEN($S442)=1,VLOOKUP(LEFT($S442,1),B439:I446,5,FALSE),IF(LEN($S442)=2,VLOOKUP(LEFT($S442,1),B439:I446,7,FALSE),""))</f>
        <v>GG</v>
      </c>
      <c r="V442" s="410" t="str">
        <f>IF(LEN($S442)=1,VLOOKUP(LEFT($S442,1),B439:I446,6,FALSE),IF(LEN($S442)=2,VLOOKUP(LEFT($S442,1),B439:I446,8,FALSE),""))</f>
        <v>Brooke Butler</v>
      </c>
      <c r="W442" s="417">
        <f t="shared" si="388"/>
        <v>5</v>
      </c>
      <c r="Y442" s="16">
        <v>22</v>
      </c>
      <c r="Z442" s="16" t="str">
        <f t="shared" si="382"/>
        <v>Tam</v>
      </c>
      <c r="AA442" s="146" t="str">
        <f t="shared" si="383"/>
        <v>Royal</v>
      </c>
      <c r="AC442" s="16" t="str">
        <f t="shared" si="384"/>
        <v>R</v>
      </c>
      <c r="AD442" s="419" t="str">
        <f t="shared" si="384"/>
        <v>Rugby &amp; N'hampton</v>
      </c>
      <c r="AE442" s="419">
        <f>IF(ISNA(MATCH(AC442,N439:N448,0)),0,VLOOKUP(AC442,N439:S448,5,FALSE))</f>
        <v>0</v>
      </c>
      <c r="AF442" s="419" t="str">
        <f>IF(ISNA(MATCH(AC442,T439:T448,0))," ",VLOOKUP(AC442,T439:Y448,5,FALSE))</f>
        <v xml:space="preserve"> </v>
      </c>
      <c r="AG442" s="419">
        <f>IF(ISNA(MATCH(AC442,L439:L446,0)),0,VLOOKUP(AC442,L439:N446,3,FALSE))</f>
        <v>14.4</v>
      </c>
      <c r="AH442" s="419">
        <f>IF(ISNA(MATCH(AC442,R439:R446,0)),0,VLOOKUP(AC442,R439:T446,3,FALSE))</f>
        <v>14.9</v>
      </c>
      <c r="AI442" s="419" t="str">
        <f>IF(ISNA(MATCH(AC442,L439:L446,0)),0,VLOOKUP(AC442,L439:P446,4,FALSE))</f>
        <v>R</v>
      </c>
      <c r="AJ442" s="419" t="str">
        <f>IF(ISNA(MATCH(AC442,R439:R446,0)),0,VLOOKUP(AC442,R439:U446,4,FALSE))</f>
        <v>RR</v>
      </c>
      <c r="AK442" s="32">
        <f t="shared" si="385"/>
        <v>5</v>
      </c>
      <c r="AL442" s="32">
        <f t="shared" si="386"/>
        <v>5</v>
      </c>
      <c r="AM442" s="32">
        <f>IF(ISNA(MATCH(AC442,L439:L446,0)),0,VLOOKUP(AC442,L439:W446,AM$1,FALSE))</f>
        <v>4</v>
      </c>
      <c r="AN442" s="146">
        <f>IF(ISNA(MATCH(AC442,R439:R446,0)),0,VLOOKUP(AC442,R439:W446,AN$1,FALSE))</f>
        <v>4</v>
      </c>
      <c r="AP442" s="927"/>
      <c r="AQ442" s="927"/>
    </row>
    <row r="443" spans="1:47" ht="15.6" x14ac:dyDescent="0.3">
      <c r="A443" s="417">
        <f t="shared" si="387"/>
        <v>395</v>
      </c>
      <c r="B443" s="362" t="str">
        <f>'Event Details'!D$26</f>
        <v>M</v>
      </c>
      <c r="C443" s="381" t="str">
        <f>'Event Details'!E$26</f>
        <v>Solihull &amp; S.Heath</v>
      </c>
      <c r="D443" s="379"/>
      <c r="E443" s="378"/>
      <c r="F443" s="363" t="str">
        <f>VLOOKUP($B438,IF($H438="F",TeamSheetFemale,TeamSheetMale),$Y443-1,FALSE)</f>
        <v>M</v>
      </c>
      <c r="G443" s="380" t="str">
        <f>VLOOKUP($B438,IF($H438="F",TeamSheetFemale,TeamSheetMale),$Y443,FALSE)</f>
        <v>Ava Blundell</v>
      </c>
      <c r="H443" s="363" t="str">
        <f>VLOOKUP($B438,IF($H438="F",TeamSheetFemale,TeamSheetMale),$Y443+1,FALSE)</f>
        <v>MM</v>
      </c>
      <c r="I443" s="364" t="str">
        <f>VLOOKUP($B438,IF($H438="F",TeamSheetFemale,TeamSheetMale),$Y443+2,FALSE)</f>
        <v>Ava Collett</v>
      </c>
      <c r="K443" s="341" t="s">
        <v>275</v>
      </c>
      <c r="L443" s="16" t="str">
        <f t="shared" si="380"/>
        <v>R</v>
      </c>
      <c r="M443" s="927" t="s">
        <v>118</v>
      </c>
      <c r="N443" s="927">
        <v>14.4</v>
      </c>
      <c r="O443" s="354" t="str">
        <f>IF(LEN($M443)=1,VLOOKUP(LEFT($M443,1),B439:I446,5,FALSE),IF(LEN($M443)=2,VLOOKUP(LEFT($M443,1),B439:I446,7,FALSE),""))</f>
        <v>R</v>
      </c>
      <c r="P443" s="410" t="str">
        <f>IF(LEN($M443)=1,VLOOKUP(LEFT($M443,1),B439:I446,6,FALSE),IF(LEN($M443)=2,VLOOKUP(LEFT($M443,1),B439:I446,8,FALSE),""))</f>
        <v>Reese Ridgway</v>
      </c>
      <c r="Q443" s="371" t="s">
        <v>275</v>
      </c>
      <c r="R443" s="146" t="str">
        <f t="shared" si="381"/>
        <v>R</v>
      </c>
      <c r="S443" s="927" t="s">
        <v>819</v>
      </c>
      <c r="T443" s="927">
        <v>14.9</v>
      </c>
      <c r="U443" s="354" t="str">
        <f>IF(LEN($S443)=1,VLOOKUP(LEFT($S443,1),B439:I446,5,FALSE),IF(LEN($S443)=2,VLOOKUP(LEFT($S443,1),B439:I446,7,FALSE),""))</f>
        <v>RR</v>
      </c>
      <c r="V443" s="410" t="str">
        <f>IF(LEN($S443)=1,VLOOKUP(LEFT($S443,1),B439:I446,6,FALSE),IF(LEN($S443)=2,VLOOKUP(LEFT($S443,1),B439:I446,8,FALSE),""))</f>
        <v>Matilda Famuyiwa</v>
      </c>
      <c r="W443" s="417">
        <f t="shared" si="388"/>
        <v>4</v>
      </c>
      <c r="Y443" s="16">
        <v>27</v>
      </c>
      <c r="Z443" s="16" t="str">
        <f t="shared" si="382"/>
        <v>Rugby</v>
      </c>
      <c r="AA443" s="146" t="str">
        <f t="shared" si="383"/>
        <v>Rugby</v>
      </c>
      <c r="AC443" s="16" t="str">
        <f t="shared" si="384"/>
        <v>M</v>
      </c>
      <c r="AD443" s="419" t="str">
        <f t="shared" si="384"/>
        <v>Solihull &amp; S.Heath</v>
      </c>
      <c r="AE443" s="419">
        <f>IF(ISNA(MATCH(AC443,N439:N448,0)),0,VLOOKUP(AC443,N439:S448,5,FALSE))</f>
        <v>0</v>
      </c>
      <c r="AF443" s="419" t="str">
        <f>IF(ISNA(MATCH(AC443,T439:T448,0))," ",VLOOKUP(AC443,T439:Y448,5,FALSE))</f>
        <v xml:space="preserve"> </v>
      </c>
      <c r="AG443" s="419">
        <f>IF(ISNA(MATCH(AC443,L439:L446,0)),0,VLOOKUP(AC443,L439:N446,3,FALSE))</f>
        <v>13.5</v>
      </c>
      <c r="AH443" s="419">
        <f>IF(ISNA(MATCH(AC443,R439:R446,0)),0,VLOOKUP(AC443,R439:T446,3,FALSE))</f>
        <v>14.5</v>
      </c>
      <c r="AI443" s="419" t="str">
        <f>IF(ISNA(MATCH(AC443,L439:L446,0)),0,VLOOKUP(AC443,L439:P446,4,FALSE))</f>
        <v>M</v>
      </c>
      <c r="AJ443" s="419" t="str">
        <f>IF(ISNA(MATCH(AC443,R439:R446,0)),0,VLOOKUP(AC443,R439:U446,4,FALSE))</f>
        <v>MM</v>
      </c>
      <c r="AK443" s="32">
        <f t="shared" si="385"/>
        <v>2</v>
      </c>
      <c r="AL443" s="32">
        <f t="shared" si="386"/>
        <v>3</v>
      </c>
      <c r="AM443" s="32">
        <f>IF(ISNA(MATCH(AC443,L439:L446,0)),0,VLOOKUP(AC443,L439:W446,AM$1,FALSE))</f>
        <v>7</v>
      </c>
      <c r="AN443" s="146">
        <f>IF(ISNA(MATCH(AC443,R439:R446,0)),0,VLOOKUP(AC443,R439:W446,AN$1,FALSE))</f>
        <v>6</v>
      </c>
      <c r="AP443" s="927"/>
      <c r="AQ443" s="927"/>
    </row>
    <row r="444" spans="1:47" ht="15.6" x14ac:dyDescent="0.3">
      <c r="A444" s="417">
        <f t="shared" si="387"/>
        <v>396</v>
      </c>
      <c r="B444" s="362" t="str">
        <f>'Event Details'!D$27</f>
        <v>D</v>
      </c>
      <c r="C444" s="381" t="str">
        <f>'Event Details'!E$27</f>
        <v>Stratford</v>
      </c>
      <c r="D444" s="379"/>
      <c r="E444" s="378"/>
      <c r="F444" s="363" t="str">
        <f>VLOOKUP($B438,IF($H438="F",TeamSheetFemale,TeamSheetMale),$Y444-1,FALSE)</f>
        <v>D</v>
      </c>
      <c r="G444" s="380" t="str">
        <f>VLOOKUP($B438,IF($H438="F",TeamSheetFemale,TeamSheetMale),$Y444,FALSE)</f>
        <v>Evangeline Harris</v>
      </c>
      <c r="H444" s="363" t="str">
        <f>VLOOKUP($B438,IF($H438="F",TeamSheetFemale,TeamSheetMale),$Y444+1,FALSE)</f>
        <v>DD</v>
      </c>
      <c r="I444" s="364" t="str">
        <f>VLOOKUP($B438,IF($H438="F",TeamSheetFemale,TeamSheetMale),$Y444+2,FALSE)</f>
        <v>Sara Clewer</v>
      </c>
      <c r="K444" s="341" t="s">
        <v>276</v>
      </c>
      <c r="L444" s="16" t="str">
        <f t="shared" si="380"/>
        <v>S</v>
      </c>
      <c r="M444" s="927" t="s">
        <v>100</v>
      </c>
      <c r="N444" s="927">
        <v>14.4</v>
      </c>
      <c r="O444" s="354" t="str">
        <f>IF(LEN($M444)=1,VLOOKUP(LEFT($M444,1),B439:I446,5,FALSE),IF(LEN($M444)=2,VLOOKUP(LEFT($M444,1),B439:I446,7,FALSE),""))</f>
        <v>S</v>
      </c>
      <c r="P444" s="410" t="str">
        <f>IF(LEN($M444)=1,VLOOKUP(LEFT($M444,1),B439:I446,6,FALSE),IF(LEN($M444)=2,VLOOKUP(LEFT($M444,1),B439:I446,8,FALSE),""))</f>
        <v>Agnes thomson</v>
      </c>
      <c r="Q444" s="371" t="s">
        <v>276</v>
      </c>
      <c r="R444" s="146" t="str">
        <f t="shared" si="381"/>
        <v>U</v>
      </c>
      <c r="S444" s="927" t="s">
        <v>726</v>
      </c>
      <c r="T444" s="927">
        <v>15.1</v>
      </c>
      <c r="U444" s="354" t="str">
        <f>IF(LEN($S444)=1,VLOOKUP(LEFT($S444,1),B439:I446,5,FALSE),IF(LEN($S444)=2,VLOOKUP(LEFT($S444,1),B439:I446,7,FALSE),""))</f>
        <v>UU</v>
      </c>
      <c r="V444" s="410" t="str">
        <f>IF(LEN($S444)=1,VLOOKUP(LEFT($S444,1),B439:I446,6,FALSE),IF(LEN($S444)=2,VLOOKUP(LEFT($S444,1),B439:I446,8,FALSE),""))</f>
        <v>Matilda Kiernan</v>
      </c>
      <c r="W444" s="417">
        <f t="shared" si="388"/>
        <v>3</v>
      </c>
      <c r="Y444" s="16">
        <v>32</v>
      </c>
      <c r="Z444" s="16" t="str">
        <f t="shared" si="382"/>
        <v>BRAT</v>
      </c>
      <c r="AA444" s="146" t="str">
        <f t="shared" si="383"/>
        <v>K&amp;S</v>
      </c>
      <c r="AC444" s="16" t="str">
        <f t="shared" si="384"/>
        <v>D</v>
      </c>
      <c r="AD444" s="419" t="str">
        <f t="shared" si="384"/>
        <v>Stratford</v>
      </c>
      <c r="AE444" s="419">
        <f>IF(ISNA(MATCH(AC444,N439:N448,0)),0,VLOOKUP(AC444,N439:S448,5,FALSE))</f>
        <v>0</v>
      </c>
      <c r="AF444" s="419" t="str">
        <f>IF(ISNA(MATCH(AC444,T439:T448,0))," ",VLOOKUP(AC444,T439:Y448,5,FALSE))</f>
        <v xml:space="preserve"> </v>
      </c>
      <c r="AG444" s="419">
        <f>IF(ISNA(MATCH(AC444,L439:L446,0)),0,VLOOKUP(AC444,L439:N446,3,FALSE))</f>
        <v>14.9</v>
      </c>
      <c r="AH444" s="419">
        <f>IF(ISNA(MATCH(AC444,R439:R446,0)),0,VLOOKUP(AC444,R439:T446,3,FALSE))</f>
        <v>14.5</v>
      </c>
      <c r="AI444" s="419" t="str">
        <f>IF(ISNA(MATCH(AC444,L439:L446,0)),0,VLOOKUP(AC444,L439:P446,4,FALSE))</f>
        <v>D</v>
      </c>
      <c r="AJ444" s="419" t="str">
        <f>IF(ISNA(MATCH(AC444,R439:R446,0)),0,VLOOKUP(AC444,R439:U446,4,FALSE))</f>
        <v>DD</v>
      </c>
      <c r="AK444" s="32">
        <f t="shared" si="385"/>
        <v>8</v>
      </c>
      <c r="AL444" s="32">
        <f t="shared" si="386"/>
        <v>2</v>
      </c>
      <c r="AM444" s="32">
        <f>IF(ISNA(MATCH(AC444,L439:L446,0)),0,VLOOKUP(AC444,L439:W446,AM$1,FALSE))</f>
        <v>1</v>
      </c>
      <c r="AN444" s="146">
        <f>IF(ISNA(MATCH(AC444,R439:R446,0)),0,VLOOKUP(AC444,R439:W446,AN$1,FALSE))</f>
        <v>7</v>
      </c>
      <c r="AP444" s="927"/>
      <c r="AQ444" s="927"/>
    </row>
    <row r="445" spans="1:47" ht="15.6" x14ac:dyDescent="0.3">
      <c r="A445" s="417">
        <f t="shared" si="387"/>
        <v>397</v>
      </c>
      <c r="B445" s="362" t="str">
        <f>'Event Details'!D$28</f>
        <v>F</v>
      </c>
      <c r="C445" s="381" t="str">
        <f>'Event Details'!E$28</f>
        <v>Tamworth</v>
      </c>
      <c r="D445" s="379"/>
      <c r="E445" s="378"/>
      <c r="F445" s="363" t="str">
        <f>VLOOKUP($B438,IF($H438="F",TeamSheetFemale,TeamSheetMale),$Y445-1,FALSE)</f>
        <v>F</v>
      </c>
      <c r="G445" s="380" t="str">
        <f>VLOOKUP($B438,IF($H438="F",TeamSheetFemale,TeamSheetMale),$Y445,FALSE)</f>
        <v>Freya Draycott</v>
      </c>
      <c r="H445" s="363" t="str">
        <f>VLOOKUP($B438,IF($H438="F",TeamSheetFemale,TeamSheetMale),$Y445+1,FALSE)</f>
        <v>FF</v>
      </c>
      <c r="I445" s="364" t="str">
        <f>VLOOKUP($B438,IF($H438="F",TeamSheetFemale,TeamSheetMale),$Y445+2,FALSE)</f>
        <v>Evie Smith</v>
      </c>
      <c r="K445" s="341" t="s">
        <v>277</v>
      </c>
      <c r="L445" s="16" t="str">
        <f t="shared" si="380"/>
        <v>Y</v>
      </c>
      <c r="M445" s="927" t="s">
        <v>151</v>
      </c>
      <c r="N445" s="927">
        <v>14.7</v>
      </c>
      <c r="O445" s="354" t="str">
        <f>IF(LEN($M445)=1,VLOOKUP(LEFT($M445,1),B439:I446,5,FALSE),IF(LEN($M445)=2,VLOOKUP(LEFT($M445,1),B439:I446,7,FALSE),""))</f>
        <v>Y</v>
      </c>
      <c r="P445" s="410" t="str">
        <f>IF(LEN($M445)=1,VLOOKUP(LEFT($M445,1),B439:I446,6,FALSE),IF(LEN($M445)=2,VLOOKUP(LEFT($M445,1),B439:I446,8,FALSE),""))</f>
        <v>Isla Porter</v>
      </c>
      <c r="Q445" s="371" t="s">
        <v>277</v>
      </c>
      <c r="R445" s="146" t="str">
        <f t="shared" si="381"/>
        <v>F</v>
      </c>
      <c r="S445" s="927" t="s">
        <v>576</v>
      </c>
      <c r="T445" s="927">
        <v>15.3</v>
      </c>
      <c r="U445" s="354" t="str">
        <f>IF(LEN($S445)=1,VLOOKUP(LEFT($S445,1),B439:I446,5,FALSE),IF(LEN($S445)=2,VLOOKUP(LEFT($S445,1),B439:I446,7,FALSE),""))</f>
        <v>FF</v>
      </c>
      <c r="V445" s="410" t="str">
        <f>IF(LEN($S445)=1,VLOOKUP(LEFT($S445,1),B439:I446,6,FALSE),IF(LEN($S445)=2,VLOOKUP(LEFT($S445,1),B439:I446,8,FALSE),""))</f>
        <v>Evie Smith</v>
      </c>
      <c r="W445" s="417">
        <f t="shared" si="388"/>
        <v>2</v>
      </c>
      <c r="Y445" s="16">
        <v>37</v>
      </c>
      <c r="Z445" s="16" t="str">
        <f t="shared" si="382"/>
        <v>Worc</v>
      </c>
      <c r="AA445" s="146" t="str">
        <f t="shared" si="383"/>
        <v>Tam</v>
      </c>
      <c r="AC445" s="16" t="str">
        <f t="shared" si="384"/>
        <v>F</v>
      </c>
      <c r="AD445" s="419" t="str">
        <f t="shared" si="384"/>
        <v>Tamworth</v>
      </c>
      <c r="AE445" s="419">
        <f>IF(ISNA(MATCH(AC445,N437:N446,0)),0,VLOOKUP(AC445,N437:S446,5,FALSE))</f>
        <v>0</v>
      </c>
      <c r="AF445" s="419" t="str">
        <f>IF(ISNA(MATCH(AC445,T437:T446,0))," ",VLOOKUP(AC445,T437:Y446,5,FALSE))</f>
        <v xml:space="preserve"> </v>
      </c>
      <c r="AG445" s="419">
        <f>IF(ISNA(MATCH(AC445,L439:L446,0)),0,VLOOKUP(AC445,L439:N446,3,FALSE))</f>
        <v>14.2</v>
      </c>
      <c r="AH445" s="419">
        <f>IF(ISNA(MATCH(AC445,R439:R446,0)),0,VLOOKUP(AC445,R439:T446,3,FALSE))</f>
        <v>15.3</v>
      </c>
      <c r="AI445" s="419" t="str">
        <f>IF(ISNA(MATCH(AC445,L439:L446,0)),0,VLOOKUP(AC445,L439:P446,4,FALSE))</f>
        <v>F</v>
      </c>
      <c r="AJ445" s="419" t="str">
        <f>IF(ISNA(MATCH(AC445,R439:R446,0)),0,VLOOKUP(AC445,R439:U446,4,FALSE))</f>
        <v>FF</v>
      </c>
      <c r="AK445" s="32">
        <f t="shared" si="385"/>
        <v>4</v>
      </c>
      <c r="AL445" s="32">
        <f t="shared" si="386"/>
        <v>7</v>
      </c>
      <c r="AM445" s="32">
        <f>IF(ISNA(MATCH(AC445,L439:L446,0)),0,VLOOKUP(AC445,L439:W446,AM$1,FALSE))</f>
        <v>5</v>
      </c>
      <c r="AN445" s="146">
        <f>IF(ISNA(MATCH(AC445,R439:R446,0)),0,VLOOKUP(AC445,R439:W446,AN$1,FALSE))</f>
        <v>2</v>
      </c>
      <c r="AP445" s="927"/>
      <c r="AQ445" s="927"/>
    </row>
    <row r="446" spans="1:47" ht="16.2" thickBot="1" x14ac:dyDescent="0.35">
      <c r="A446" s="418">
        <f t="shared" si="387"/>
        <v>398</v>
      </c>
      <c r="B446" s="365" t="str">
        <f>'Event Details'!D$29</f>
        <v>Y</v>
      </c>
      <c r="C446" s="366" t="str">
        <f>'Event Details'!E$29</f>
        <v>Worcester</v>
      </c>
      <c r="D446" s="361"/>
      <c r="E446" s="370"/>
      <c r="F446" s="367" t="str">
        <f>VLOOKUP($B438,IF($H438="F",TeamSheetFemale,TeamSheetMale),$Y446-1,FALSE)</f>
        <v>Y</v>
      </c>
      <c r="G446" s="368" t="str">
        <f>VLOOKUP($B438,IF($H438="F",TeamSheetFemale,TeamSheetMale),$Y446,FALSE)</f>
        <v>Isla Porter</v>
      </c>
      <c r="H446" s="367" t="str">
        <f>VLOOKUP($B438,IF($H438="F",TeamSheetFemale,TeamSheetMale),$Y446+1,FALSE)</f>
        <v>YY</v>
      </c>
      <c r="I446" s="369" t="str">
        <f>VLOOKUP($B438,IF($H438="F",TeamSheetFemale,TeamSheetMale),$Y446+2,FALSE)</f>
        <v>Esme Dyer</v>
      </c>
      <c r="K446" s="346" t="s">
        <v>278</v>
      </c>
      <c r="L446" s="25" t="str">
        <f t="shared" si="380"/>
        <v>D</v>
      </c>
      <c r="M446" s="932" t="s">
        <v>136</v>
      </c>
      <c r="N446" s="932">
        <v>14.9</v>
      </c>
      <c r="O446" s="374" t="str">
        <f>IF(LEN($M446)=1,VLOOKUP(LEFT($M446,1),B439:I446,5,FALSE),IF(LEN($M446)=2,VLOOKUP(LEFT($M446,1),B439:I446,7,FALSE),""))</f>
        <v>D</v>
      </c>
      <c r="P446" s="411" t="str">
        <f>IF(LEN($M446)=1,VLOOKUP(LEFT($M446,1),B439:I446,6,FALSE),IF(LEN($M446)=2,VLOOKUP(LEFT($M446,1),B439:I446,8,FALSE),""))</f>
        <v>Evangeline Harris</v>
      </c>
      <c r="Q446" s="407" t="s">
        <v>278</v>
      </c>
      <c r="R446" s="523" t="str">
        <f t="shared" si="381"/>
        <v>Y</v>
      </c>
      <c r="S446" s="932" t="s">
        <v>822</v>
      </c>
      <c r="T446" s="932">
        <v>15.8</v>
      </c>
      <c r="U446" s="374" t="str">
        <f>IF(LEN($S446)=1,VLOOKUP(LEFT($S446,1),B439:I446,5,FALSE),IF(LEN($S446)=2,VLOOKUP(LEFT($S446,1),B439:I446,7,FALSE),""))</f>
        <v>YY</v>
      </c>
      <c r="V446" s="411" t="str">
        <f>IF(LEN($S446)=1,VLOOKUP(LEFT($S446,1),B439:I446,6,FALSE),IF(LEN($S446)=2,VLOOKUP(LEFT($S446,1),B439:I446,8,FALSE),""))</f>
        <v>Esme Dyer</v>
      </c>
      <c r="W446" s="418">
        <f t="shared" si="388"/>
        <v>1</v>
      </c>
      <c r="Y446" s="25">
        <v>42</v>
      </c>
      <c r="Z446" s="25" t="str">
        <f t="shared" si="382"/>
        <v>Strat</v>
      </c>
      <c r="AA446" s="523" t="str">
        <f t="shared" si="383"/>
        <v>Worc</v>
      </c>
      <c r="AC446" s="25" t="str">
        <f t="shared" si="384"/>
        <v>Y</v>
      </c>
      <c r="AD446" s="624" t="str">
        <f t="shared" si="384"/>
        <v>Worcester</v>
      </c>
      <c r="AE446" s="624">
        <f>IF(ISNA(MATCH(AC446,N438:N447,0)),0,VLOOKUP(AC446,N438:S447,5,FALSE))</f>
        <v>0</v>
      </c>
      <c r="AF446" s="624" t="str">
        <f t="shared" ref="AF446" si="389">IF(ISNA(MATCH(AC446,T438:T447,0))," ",VLOOKUP(AC446,T438:Y447,5,FALSE))</f>
        <v xml:space="preserve"> </v>
      </c>
      <c r="AG446" s="624">
        <f>IF(ISNA(MATCH(AC446,L439:L446,0)),0,VLOOKUP(AC446,L439:N446,3,FALSE))</f>
        <v>14.7</v>
      </c>
      <c r="AH446" s="624">
        <f>IF(ISNA(MATCH(AC446,R439:R446,0)),0,VLOOKUP(AC446,R439:T446,3,FALSE))</f>
        <v>15.8</v>
      </c>
      <c r="AI446" s="624" t="str">
        <f>IF(ISNA(MATCH(AC446,L439:L446,0)),0,VLOOKUP(AC446,L439:P446,4,FALSE))</f>
        <v>Y</v>
      </c>
      <c r="AJ446" s="624" t="str">
        <f>IF(ISNA(MATCH(AC446,R439:R446,0)),0,VLOOKUP(AC446,R439:U446,4,FALSE))</f>
        <v>YY</v>
      </c>
      <c r="AK446" s="116">
        <f t="shared" si="385"/>
        <v>7</v>
      </c>
      <c r="AL446" s="116">
        <f t="shared" si="386"/>
        <v>8</v>
      </c>
      <c r="AM446" s="116">
        <f>IF(ISNA(MATCH(AC446,L439:L446,0)),0,VLOOKUP(AC446,L439:W446,AM$1,FALSE))</f>
        <v>2</v>
      </c>
      <c r="AN446" s="523">
        <f>IF(ISNA(MATCH(AC446,R439:R446,0)),0,VLOOKUP(AC446,R439:W446,AN$1,FALSE))</f>
        <v>1</v>
      </c>
      <c r="AP446" s="932"/>
      <c r="AQ446" s="932"/>
    </row>
    <row r="447" spans="1:47" ht="15" thickBot="1" x14ac:dyDescent="0.35">
      <c r="M447" s="276"/>
      <c r="N447" s="307"/>
      <c r="S447" s="276"/>
      <c r="T447" s="307"/>
      <c r="AP447" s="276"/>
      <c r="AQ447" s="307"/>
    </row>
    <row r="448" spans="1:47" x14ac:dyDescent="0.3">
      <c r="B448" s="400" t="s">
        <v>258</v>
      </c>
      <c r="C448" s="398"/>
      <c r="D448" s="401" t="s">
        <v>165</v>
      </c>
      <c r="E448" s="398"/>
      <c r="F448" s="398"/>
      <c r="G448" s="402" t="s">
        <v>259</v>
      </c>
      <c r="H448" s="403" t="s">
        <v>249</v>
      </c>
      <c r="I448" s="404" t="s">
        <v>168</v>
      </c>
      <c r="K448" s="360"/>
      <c r="L448" s="661"/>
      <c r="M448" s="387" t="s">
        <v>260</v>
      </c>
      <c r="N448" s="387" t="s">
        <v>261</v>
      </c>
      <c r="O448" s="387" t="s">
        <v>262</v>
      </c>
      <c r="P448" s="388" t="s">
        <v>75</v>
      </c>
      <c r="Q448" s="389"/>
      <c r="R448" s="657"/>
      <c r="S448" s="387" t="s">
        <v>260</v>
      </c>
      <c r="T448" s="387" t="s">
        <v>261</v>
      </c>
      <c r="U448" s="387" t="s">
        <v>262</v>
      </c>
      <c r="V448" s="388" t="s">
        <v>75</v>
      </c>
      <c r="W448" s="672" t="s">
        <v>76</v>
      </c>
      <c r="Y448" s="414" t="s">
        <v>263</v>
      </c>
      <c r="Z448" s="656" t="s">
        <v>74</v>
      </c>
      <c r="AA448" s="657" t="s">
        <v>75</v>
      </c>
      <c r="AC448" s="665" t="s">
        <v>71</v>
      </c>
      <c r="AD448" s="657" t="s">
        <v>86</v>
      </c>
      <c r="AE448" s="661" t="s">
        <v>149</v>
      </c>
      <c r="AF448" s="661" t="s">
        <v>94</v>
      </c>
      <c r="AG448" s="661" t="s">
        <v>149</v>
      </c>
      <c r="AH448" s="661" t="s">
        <v>94</v>
      </c>
      <c r="AI448" s="661" t="s">
        <v>149</v>
      </c>
      <c r="AJ448" s="661" t="s">
        <v>94</v>
      </c>
      <c r="AK448" s="1332" t="s">
        <v>149</v>
      </c>
      <c r="AL448" s="661" t="s">
        <v>94</v>
      </c>
      <c r="AM448" s="1406" t="s">
        <v>76</v>
      </c>
      <c r="AN448" s="1407"/>
      <c r="AP448" s="387" t="s">
        <v>260</v>
      </c>
      <c r="AQ448" s="387" t="s">
        <v>261</v>
      </c>
      <c r="AS448" s="1218" t="s">
        <v>165</v>
      </c>
      <c r="AT448" s="1219" t="s">
        <v>79</v>
      </c>
      <c r="AU448" s="1220" t="s">
        <v>80</v>
      </c>
    </row>
    <row r="449" spans="1:47" ht="15" thickBot="1" x14ac:dyDescent="0.35">
      <c r="B449" s="405">
        <v>40</v>
      </c>
      <c r="C449" s="399"/>
      <c r="D449" s="385" t="str">
        <f>VLOOKUP($B449,EventOrder,6,FALSE)</f>
        <v>Long Jump Pit 2</v>
      </c>
      <c r="E449" s="399"/>
      <c r="F449" s="385"/>
      <c r="G449" s="386" t="str">
        <f>VLOOKUP($B449,EventOrder,4,FALSE)</f>
        <v>U12 Female</v>
      </c>
      <c r="H449" s="396" t="str">
        <f>IF(MID(G449,5,1)="F","F","M")</f>
        <v>F</v>
      </c>
      <c r="I449" s="397">
        <f>VLOOKUP($B449,EventOrder,2,FALSE)</f>
        <v>2.1</v>
      </c>
      <c r="K449" s="377"/>
      <c r="L449" s="667" t="s">
        <v>149</v>
      </c>
      <c r="M449" s="409" t="s">
        <v>264</v>
      </c>
      <c r="N449" s="409" t="s">
        <v>265</v>
      </c>
      <c r="O449" s="390" t="s">
        <v>266</v>
      </c>
      <c r="P449" s="391"/>
      <c r="Q449" s="392"/>
      <c r="R449" s="659" t="s">
        <v>94</v>
      </c>
      <c r="S449" s="409" t="s">
        <v>264</v>
      </c>
      <c r="T449" s="409" t="s">
        <v>265</v>
      </c>
      <c r="U449" s="390" t="s">
        <v>266</v>
      </c>
      <c r="V449" s="391"/>
      <c r="W449" s="671"/>
      <c r="Y449" s="415" t="s">
        <v>167</v>
      </c>
      <c r="Z449" s="658" t="s">
        <v>149</v>
      </c>
      <c r="AA449" s="659" t="s">
        <v>94</v>
      </c>
      <c r="AC449" s="666"/>
      <c r="AD449" s="668"/>
      <c r="AE449" s="768" t="s">
        <v>75</v>
      </c>
      <c r="AF449" s="768" t="s">
        <v>75</v>
      </c>
      <c r="AG449" s="768" t="s">
        <v>267</v>
      </c>
      <c r="AH449" s="768" t="s">
        <v>267</v>
      </c>
      <c r="AI449" s="768" t="s">
        <v>268</v>
      </c>
      <c r="AJ449" s="768" t="s">
        <v>268</v>
      </c>
      <c r="AK449" s="770" t="s">
        <v>269</v>
      </c>
      <c r="AL449" s="768" t="s">
        <v>269</v>
      </c>
      <c r="AM449" s="667" t="s">
        <v>149</v>
      </c>
      <c r="AN449" s="659" t="s">
        <v>94</v>
      </c>
      <c r="AP449" s="409" t="s">
        <v>264</v>
      </c>
      <c r="AQ449" s="409" t="s">
        <v>265</v>
      </c>
      <c r="AS449" s="1221" t="s">
        <v>270</v>
      </c>
      <c r="AT449" s="1222" t="s">
        <v>270</v>
      </c>
      <c r="AU449" s="1223" t="s">
        <v>270</v>
      </c>
    </row>
    <row r="450" spans="1:47" ht="15.6" x14ac:dyDescent="0.3">
      <c r="A450" s="416">
        <f>(B449*10)+1</f>
        <v>401</v>
      </c>
      <c r="B450" s="362" t="str">
        <f>'Event Details'!D$22</f>
        <v>S</v>
      </c>
      <c r="C450" s="381" t="str">
        <f>'Event Details'!E$22</f>
        <v>BRAT</v>
      </c>
      <c r="D450" s="379"/>
      <c r="E450" s="378"/>
      <c r="F450" s="363" t="str">
        <f>VLOOKUP($B449,IF($H449="F",TeamSheetFemale,TeamSheetMale),$Y450-1,FALSE)</f>
        <v>S</v>
      </c>
      <c r="G450" s="380" t="str">
        <f>VLOOKUP($B449,IF($H449="F",TeamSheetFemale,TeamSheetMale),$Y450,FALSE)</f>
        <v>Beatrice-Rosie Follows</v>
      </c>
      <c r="H450" s="363" t="str">
        <f>VLOOKUP($B449,IF($H449="F",TeamSheetFemale,TeamSheetMale),$Y450+1,FALSE)</f>
        <v>SS</v>
      </c>
      <c r="I450" s="364" t="str">
        <f>VLOOKUP($B449,IF($H449="F",TeamSheetFemale,TeamSheetMale),$Y450+2,FALSE)</f>
        <v>Azucena Cereceda</v>
      </c>
      <c r="K450" s="393" t="s">
        <v>271</v>
      </c>
      <c r="L450" s="16" t="str">
        <f t="shared" ref="L450:L457" si="390">LEFT(M450,1)</f>
        <v>G</v>
      </c>
      <c r="M450" s="926" t="s">
        <v>110</v>
      </c>
      <c r="N450" s="926">
        <v>3.86</v>
      </c>
      <c r="O450" s="394" t="str">
        <f>IF(LEN($M450)=1,VLOOKUP(LEFT($M450,1),B450:I457,5,FALSE),IF(LEN($M450)=2,VLOOKUP(LEFT($M450,1),B450:I457,7,FALSE),""))</f>
        <v>G</v>
      </c>
      <c r="P450" s="395" t="str">
        <f>IF(LEN($M450)=1,VLOOKUP(LEFT($M450,1),B450:I457,6,FALSE),IF(LEN($M450)=2,VLOOKUP(LEFT($M450,1),B450:I457,8,FALSE),""))</f>
        <v xml:space="preserve">Taylor Upton </v>
      </c>
      <c r="Q450" s="393" t="s">
        <v>271</v>
      </c>
      <c r="R450" s="146" t="str">
        <f t="shared" ref="R450:R457" si="391">LEFT(S450,1)</f>
        <v>R</v>
      </c>
      <c r="S450" s="926" t="s">
        <v>819</v>
      </c>
      <c r="T450" s="926">
        <v>3.56</v>
      </c>
      <c r="U450" s="394" t="str">
        <f>IF(LEN($S450)=1,VLOOKUP(LEFT($S450,1),B450:I457,5,FALSE),IF(LEN($S450)=2,VLOOKUP(LEFT($S450,1),B450:I457,7,FALSE),""))</f>
        <v>RR</v>
      </c>
      <c r="V450" s="395" t="str">
        <f>IF(LEN($S450)=1,VLOOKUP(LEFT($S450,1),B450:I457,6,FALSE),IF(LEN($S450)=2,VLOOKUP(LEFT($S450,1),B450:I457,8,FALSE),""))</f>
        <v>Rosie Warrilow</v>
      </c>
      <c r="W450" s="417">
        <f>AN$6</f>
        <v>8</v>
      </c>
      <c r="Y450" s="416">
        <v>7</v>
      </c>
      <c r="Z450" s="653" t="str">
        <f t="shared" ref="Z450:Z457" si="392">IF(LEN(M450)&gt;0,VLOOKUP(LEFT(M450,1),ShortName,5,FALSE),0)</f>
        <v>Royal</v>
      </c>
      <c r="AA450" s="138" t="str">
        <f t="shared" ref="AA450:AA457" si="393">IF(LEN(S450)&gt;0,VLOOKUP(LEFT(S450,1),ShortName,5,FALSE),0)</f>
        <v>Rugby</v>
      </c>
      <c r="AC450" s="16" t="str">
        <f t="shared" ref="AC450:AD457" si="394">B450</f>
        <v>S</v>
      </c>
      <c r="AD450" s="419" t="str">
        <f t="shared" si="394"/>
        <v>BRAT</v>
      </c>
      <c r="AE450" s="635">
        <f>IF(ISNA(MATCH(AC450,N450:N459,0)),0,VLOOKUP(AC450,N450:S459,5,FALSE))</f>
        <v>0</v>
      </c>
      <c r="AF450" s="635" t="str">
        <f>IF(ISNA(MATCH(AC450,T450:T459,0))," ",VLOOKUP(AC450,T450:Y459,5,FALSE))</f>
        <v xml:space="preserve"> </v>
      </c>
      <c r="AG450" s="635">
        <f>IF(ISNA(MATCH(AC450,L450:L457,0)),0,VLOOKUP(AC450,L450:N457,3,FALSE))</f>
        <v>2.98</v>
      </c>
      <c r="AH450" s="635">
        <f>IF(ISNA(MATCH(AC450,R450:R457,0)),0,VLOOKUP(AC450,R450:T457,3,FALSE))</f>
        <v>0</v>
      </c>
      <c r="AI450" s="635" t="str">
        <f>IF(ISNA(MATCH(AC450,L450:L457,0)),0,VLOOKUP(AC450,L450:P457,4,FALSE))</f>
        <v>SS</v>
      </c>
      <c r="AJ450" s="635">
        <f>IF(ISNA(MATCH(AC450,R450:R457,0)),0,VLOOKUP(AC450,R450:U457,4,FALSE))</f>
        <v>0</v>
      </c>
      <c r="AK450" s="49">
        <f t="shared" ref="AK450:AK457" si="395">IF(AM450=0,0,AN$6-(AM450-1))</f>
        <v>8</v>
      </c>
      <c r="AL450" s="49">
        <f t="shared" ref="AL450:AL457" si="396">IF(AN450=0,0,AN$6-(AN450-1))</f>
        <v>0</v>
      </c>
      <c r="AM450" s="49">
        <f>IF(ISNA(MATCH(AC450,L450:L457,0)),0,VLOOKUP(AC450,L450:W457,AM$1,FALSE))</f>
        <v>1</v>
      </c>
      <c r="AN450" s="138">
        <f>IF(ISNA(MATCH(AC450,R450:R457,0)),0,VLOOKUP(AC450,R450:W457,AN$1,FALSE))</f>
        <v>0</v>
      </c>
      <c r="AP450" s="926"/>
      <c r="AQ450" s="926"/>
      <c r="AS450" s="32">
        <f>IF(LEN(N450)&gt;0,1,0)</f>
        <v>1</v>
      </c>
      <c r="AT450" s="32">
        <f>IF(AND(AS450=1,H449="M"),1,0)</f>
        <v>0</v>
      </c>
      <c r="AU450" s="32">
        <f>IF(AND(AS450=1,H449="F"),1,0)</f>
        <v>1</v>
      </c>
    </row>
    <row r="451" spans="1:47" ht="15.6" x14ac:dyDescent="0.3">
      <c r="A451" s="417">
        <f>A450+1</f>
        <v>402</v>
      </c>
      <c r="B451" s="362" t="str">
        <f>'Event Details'!D$23</f>
        <v>U</v>
      </c>
      <c r="C451" s="381" t="str">
        <f>'Event Details'!E$23</f>
        <v>Kidder &amp; Stourport</v>
      </c>
      <c r="D451" s="379"/>
      <c r="E451" s="378"/>
      <c r="F451" s="363" t="str">
        <f>VLOOKUP($B449,IF($H449="F",TeamSheetFemale,TeamSheetMale),$Y451-1,FALSE)</f>
        <v>U</v>
      </c>
      <c r="G451" s="380" t="str">
        <f>VLOOKUP($B449,IF($H449="F",TeamSheetFemale,TeamSheetMale),$Y451,FALSE)</f>
        <v xml:space="preserve">Alice Thompson </v>
      </c>
      <c r="H451" s="363" t="str">
        <f>VLOOKUP($B449,IF($H449="F",TeamSheetFemale,TeamSheetMale),$Y451+1,FALSE)</f>
        <v>UU</v>
      </c>
      <c r="I451" s="364" t="str">
        <f>VLOOKUP($B449,IF($H449="F",TeamSheetFemale,TeamSheetMale),$Y451+2,FALSE)</f>
        <v xml:space="preserve">Polly Richards </v>
      </c>
      <c r="K451" s="341" t="s">
        <v>272</v>
      </c>
      <c r="L451" s="16" t="str">
        <f t="shared" si="390"/>
        <v>R</v>
      </c>
      <c r="M451" s="927" t="s">
        <v>118</v>
      </c>
      <c r="N451" s="927">
        <v>3.82</v>
      </c>
      <c r="O451" s="353" t="str">
        <f>IF(LEN($M451)=1,VLOOKUP(LEFT($M451,1),B450:I457,5,FALSE),IF(LEN($M451)=2,VLOOKUP(LEFT($M451,1),B450:I457,7,FALSE),""))</f>
        <v>R</v>
      </c>
      <c r="P451" s="373" t="str">
        <f>IF(LEN($M451)=1,VLOOKUP(LEFT($M451,1),B450:I457,6,FALSE),IF(LEN($M451)=2,VLOOKUP(LEFT($M451,1),B450:I457,8,FALSE),""))</f>
        <v>Layla Phelan</v>
      </c>
      <c r="Q451" s="341" t="s">
        <v>272</v>
      </c>
      <c r="R451" s="146" t="str">
        <f t="shared" si="391"/>
        <v>D</v>
      </c>
      <c r="S451" s="927" t="s">
        <v>513</v>
      </c>
      <c r="T451" s="927">
        <v>3.48</v>
      </c>
      <c r="U451" s="353" t="str">
        <f>IF(LEN($S451)=1,VLOOKUP(LEFT($S451,1),B450:I457,5,FALSE),IF(LEN($S451)=2,VLOOKUP(LEFT($S451,1),B450:I457,7,FALSE),""))</f>
        <v>DD</v>
      </c>
      <c r="V451" s="373" t="str">
        <f>IF(LEN($S451)=1,VLOOKUP(LEFT($S451,1),B450:I457,6,FALSE),IF(LEN($S451)=2,VLOOKUP(LEFT($S451,1),B450:I457,8,FALSE),""))</f>
        <v>Elsie Gould</v>
      </c>
      <c r="W451" s="417">
        <f>W450-1</f>
        <v>7</v>
      </c>
      <c r="Y451" s="417">
        <v>12</v>
      </c>
      <c r="Z451" s="16" t="str">
        <f t="shared" si="392"/>
        <v>Rugby</v>
      </c>
      <c r="AA451" s="146" t="str">
        <f t="shared" si="393"/>
        <v>Strat</v>
      </c>
      <c r="AC451" s="16" t="str">
        <f t="shared" si="394"/>
        <v>U</v>
      </c>
      <c r="AD451" s="419" t="str">
        <f t="shared" si="394"/>
        <v>Kidder &amp; Stourport</v>
      </c>
      <c r="AE451" s="419">
        <f>IF(ISNA(MATCH(AC451,N450:N459,0)),0,VLOOKUP(AC451,N450:S459,5,FALSE))</f>
        <v>0</v>
      </c>
      <c r="AF451" s="419" t="str">
        <f>IF(ISNA(MATCH(AC451,T450:T459,0))," ",VLOOKUP(AC451,T450:Y459,5,FALSE))</f>
        <v xml:space="preserve"> </v>
      </c>
      <c r="AG451" s="419">
        <f>IF(ISNA(MATCH(AC451,L450:L457,0)),0,VLOOKUP(AC451,L450:N457,3,FALSE))</f>
        <v>3.45</v>
      </c>
      <c r="AH451" s="419">
        <f>IF(ISNA(MATCH(AC451,R450:R457,0)),0,VLOOKUP(AC451,R450:T457,3,FALSE))</f>
        <v>2.63</v>
      </c>
      <c r="AI451" s="419" t="str">
        <f>IF(ISNA(MATCH(AC451,L450:L457,0)),0,VLOOKUP(AC451,L450:P457,4,FALSE))</f>
        <v>U</v>
      </c>
      <c r="AJ451" s="419" t="str">
        <f>IF(ISNA(MATCH(AC451,R450:R457,0)),0,VLOOKUP(AC451,R450:U457,4,FALSE))</f>
        <v>UU</v>
      </c>
      <c r="AK451" s="32">
        <f t="shared" si="395"/>
        <v>6</v>
      </c>
      <c r="AL451" s="32">
        <f t="shared" si="396"/>
        <v>7</v>
      </c>
      <c r="AM451" s="32">
        <f>IF(ISNA(MATCH(AC451,L450:L457,0)),0,VLOOKUP(AC451,L450:W457,AM$1,FALSE))</f>
        <v>3</v>
      </c>
      <c r="AN451" s="146">
        <f>IF(ISNA(MATCH(AC451,R450:R457,0)),0,VLOOKUP(AC451,R450:W457,AN$1,FALSE))</f>
        <v>2</v>
      </c>
      <c r="AP451" s="927"/>
      <c r="AQ451" s="927"/>
    </row>
    <row r="452" spans="1:47" ht="15.6" x14ac:dyDescent="0.3">
      <c r="A452" s="417">
        <f t="shared" ref="A452:A457" si="397">A451+1</f>
        <v>403</v>
      </c>
      <c r="B452" s="362" t="str">
        <f>'Event Details'!D$24</f>
        <v>G</v>
      </c>
      <c r="C452" s="381" t="str">
        <f>'Event Details'!E$24</f>
        <v>Royal Sutton</v>
      </c>
      <c r="D452" s="379"/>
      <c r="E452" s="378"/>
      <c r="F452" s="363" t="str">
        <f>VLOOKUP($B449,IF($H449="F",TeamSheetFemale,TeamSheetMale),$Y452-1,FALSE)</f>
        <v>G</v>
      </c>
      <c r="G452" s="380" t="str">
        <f>VLOOKUP($B449,IF($H449="F",TeamSheetFemale,TeamSheetMale),$Y452,FALSE)</f>
        <v xml:space="preserve">Taylor Upton </v>
      </c>
      <c r="H452" s="363" t="str">
        <f>VLOOKUP($B449,IF($H449="F",TeamSheetFemale,TeamSheetMale),$Y452+1,FALSE)</f>
        <v>GG</v>
      </c>
      <c r="I452" s="364" t="str">
        <f>VLOOKUP($B449,IF($H449="F",TeamSheetFemale,TeamSheetMale),$Y452+2,FALSE)</f>
        <v xml:space="preserve">Isabelle wakeman </v>
      </c>
      <c r="K452" s="341" t="s">
        <v>273</v>
      </c>
      <c r="L452" s="16" t="str">
        <f t="shared" si="390"/>
        <v>D</v>
      </c>
      <c r="M452" s="927" t="s">
        <v>136</v>
      </c>
      <c r="N452" s="927">
        <v>3.79</v>
      </c>
      <c r="O452" s="353" t="str">
        <f>IF(LEN($M452)=1,VLOOKUP(LEFT($M452,1),B450:I457,5,FALSE),IF(LEN($M452)=2,VLOOKUP(LEFT($M452,1),B450:I457,7,FALSE),""))</f>
        <v>D</v>
      </c>
      <c r="P452" s="373" t="str">
        <f>IF(LEN($M452)=1,VLOOKUP(LEFT($M452,1),B450:I457,6,FALSE),IF(LEN($M452)=2,VLOOKUP(LEFT($M452,1),B450:I457,8,FALSE),""))</f>
        <v>Saskia Atkins</v>
      </c>
      <c r="Q452" s="341" t="s">
        <v>273</v>
      </c>
      <c r="R452" s="146" t="str">
        <f t="shared" si="391"/>
        <v>G</v>
      </c>
      <c r="S452" s="927" t="s">
        <v>820</v>
      </c>
      <c r="T452" s="927">
        <v>3.36</v>
      </c>
      <c r="U452" s="353" t="str">
        <f>IF(LEN($S452)=1,VLOOKUP(LEFT($S452,1),B450:I457,5,FALSE),IF(LEN($S452)=2,VLOOKUP(LEFT($S452,1),B450:I457,7,FALSE),""))</f>
        <v>GG</v>
      </c>
      <c r="V452" s="373" t="str">
        <f>IF(LEN($S452)=1,VLOOKUP(LEFT($S452,1),B450:I457,6,FALSE),IF(LEN($S452)=2,VLOOKUP(LEFT($S452,1),B450:I457,8,FALSE),""))</f>
        <v xml:space="preserve">Isabelle wakeman </v>
      </c>
      <c r="W452" s="417">
        <f t="shared" ref="W452:W457" si="398">W451-1</f>
        <v>6</v>
      </c>
      <c r="Y452" s="417">
        <v>17</v>
      </c>
      <c r="Z452" s="16" t="str">
        <f t="shared" si="392"/>
        <v>Strat</v>
      </c>
      <c r="AA452" s="146" t="str">
        <f t="shared" si="393"/>
        <v>Royal</v>
      </c>
      <c r="AB452" s="32"/>
      <c r="AC452" s="16" t="str">
        <f t="shared" si="394"/>
        <v>G</v>
      </c>
      <c r="AD452" s="419" t="str">
        <f t="shared" si="394"/>
        <v>Royal Sutton</v>
      </c>
      <c r="AE452" s="419">
        <f>IF(ISNA(MATCH(AC452,N450:N459,0)),0,VLOOKUP(AC452,N450:S459,5,FALSE))</f>
        <v>0</v>
      </c>
      <c r="AF452" s="419" t="str">
        <f>IF(ISNA(MATCH(AC452,T450:T459,0))," ",VLOOKUP(AC452,T450:Y459,5,FALSE))</f>
        <v xml:space="preserve"> </v>
      </c>
      <c r="AG452" s="419">
        <f>IF(ISNA(MATCH(AC452,L450:L457,0)),0,VLOOKUP(AC452,L450:N457,3,FALSE))</f>
        <v>3.86</v>
      </c>
      <c r="AH452" s="419">
        <f>IF(ISNA(MATCH(AC452,R450:R457,0)),0,VLOOKUP(AC452,R450:T457,3,FALSE))</f>
        <v>3.36</v>
      </c>
      <c r="AI452" s="419" t="str">
        <f>IF(ISNA(MATCH(AC452,L450:L457,0)),0,VLOOKUP(AC452,L450:P457,4,FALSE))</f>
        <v>G</v>
      </c>
      <c r="AJ452" s="419" t="str">
        <f>IF(ISNA(MATCH(AC452,R450:R457,0)),0,VLOOKUP(AC452,R450:U457,4,FALSE))</f>
        <v>GG</v>
      </c>
      <c r="AK452" s="32">
        <f t="shared" si="395"/>
        <v>1</v>
      </c>
      <c r="AL452" s="32">
        <f t="shared" si="396"/>
        <v>3</v>
      </c>
      <c r="AM452" s="32">
        <f>IF(ISNA(MATCH(AC452,L450:L457,0)),0,VLOOKUP(AC452,L450:W457,AM$1,FALSE))</f>
        <v>8</v>
      </c>
      <c r="AN452" s="146">
        <f>IF(ISNA(MATCH(AC452,R450:R457,0)),0,VLOOKUP(AC452,R450:W457,AN$1,FALSE))</f>
        <v>6</v>
      </c>
      <c r="AP452" s="927"/>
      <c r="AQ452" s="927"/>
    </row>
    <row r="453" spans="1:47" ht="15.6" x14ac:dyDescent="0.3">
      <c r="A453" s="417">
        <f t="shared" si="397"/>
        <v>404</v>
      </c>
      <c r="B453" s="362" t="str">
        <f>'Event Details'!D$25</f>
        <v>R</v>
      </c>
      <c r="C453" s="381" t="str">
        <f>'Event Details'!E$25</f>
        <v>Rugby &amp; N'hampton</v>
      </c>
      <c r="D453" s="379"/>
      <c r="E453" s="378"/>
      <c r="F453" s="363" t="str">
        <f>VLOOKUP($B449,IF($H449="F",TeamSheetFemale,TeamSheetMale),$Y453-1,FALSE)</f>
        <v>R</v>
      </c>
      <c r="G453" s="380" t="str">
        <f>VLOOKUP($B449,IF($H449="F",TeamSheetFemale,TeamSheetMale),$Y453,FALSE)</f>
        <v>Layla Phelan</v>
      </c>
      <c r="H453" s="363" t="str">
        <f>VLOOKUP($B449,IF($H449="F",TeamSheetFemale,TeamSheetMale),$Y453+1,FALSE)</f>
        <v>RR</v>
      </c>
      <c r="I453" s="364" t="str">
        <f>VLOOKUP($B449,IF($H449="F",TeamSheetFemale,TeamSheetMale),$Y453+2,FALSE)</f>
        <v>Rosie Warrilow</v>
      </c>
      <c r="K453" s="341" t="s">
        <v>274</v>
      </c>
      <c r="L453" s="16" t="str">
        <f t="shared" si="390"/>
        <v>F</v>
      </c>
      <c r="M453" s="927" t="s">
        <v>142</v>
      </c>
      <c r="N453" s="927">
        <v>3.65</v>
      </c>
      <c r="O453" s="353" t="str">
        <f>IF(LEN($M453)=1,VLOOKUP(LEFT($M453,1),B450:I457,5,FALSE),IF(LEN($M453)=2,VLOOKUP(LEFT($M453,1),B450:I457,7,FALSE),""))</f>
        <v>F</v>
      </c>
      <c r="P453" s="373" t="str">
        <f>IF(LEN($M453)=1,VLOOKUP(LEFT($M453,1),B450:I457,6,FALSE),IF(LEN($M453)=2,VLOOKUP(LEFT($M453,1),B450:I457,8,FALSE),""))</f>
        <v>Eden Farmer</v>
      </c>
      <c r="Q453" s="341" t="s">
        <v>274</v>
      </c>
      <c r="R453" s="146" t="str">
        <f t="shared" si="391"/>
        <v>F</v>
      </c>
      <c r="S453" s="927" t="s">
        <v>576</v>
      </c>
      <c r="T453" s="927">
        <v>2.98</v>
      </c>
      <c r="U453" s="353" t="str">
        <f>IF(LEN($S453)=1,VLOOKUP(LEFT($S453,1),B450:I457,5,FALSE),IF(LEN($S453)=2,VLOOKUP(LEFT($S453,1),B450:I457,7,FALSE),""))</f>
        <v>FF</v>
      </c>
      <c r="V453" s="373" t="str">
        <f>IF(LEN($S453)=1,VLOOKUP(LEFT($S453,1),B450:I457,6,FALSE),IF(LEN($S453)=2,VLOOKUP(LEFT($S453,1),B450:I457,8,FALSE),""))</f>
        <v>Peppi-Rose Sweet</v>
      </c>
      <c r="W453" s="417">
        <f t="shared" si="398"/>
        <v>5</v>
      </c>
      <c r="Y453" s="417">
        <v>22</v>
      </c>
      <c r="Z453" s="16" t="str">
        <f t="shared" si="392"/>
        <v>Tam</v>
      </c>
      <c r="AA453" s="146" t="str">
        <f t="shared" si="393"/>
        <v>Tam</v>
      </c>
      <c r="AB453" s="32"/>
      <c r="AC453" s="16" t="str">
        <f t="shared" si="394"/>
        <v>R</v>
      </c>
      <c r="AD453" s="419" t="str">
        <f t="shared" si="394"/>
        <v>Rugby &amp; N'hampton</v>
      </c>
      <c r="AE453" s="419">
        <f>IF(ISNA(MATCH(AC453,N450:N459,0)),0,VLOOKUP(AC453,N450:S459,5,FALSE))</f>
        <v>0</v>
      </c>
      <c r="AF453" s="419" t="str">
        <f>IF(ISNA(MATCH(AC453,T450:T459,0))," ",VLOOKUP(AC453,T450:Y459,5,FALSE))</f>
        <v xml:space="preserve"> </v>
      </c>
      <c r="AG453" s="419">
        <f>IF(ISNA(MATCH(AC453,L450:L457,0)),0,VLOOKUP(AC453,L450:N457,3,FALSE))</f>
        <v>3.82</v>
      </c>
      <c r="AH453" s="419">
        <f>IF(ISNA(MATCH(AC453,R450:R457,0)),0,VLOOKUP(AC453,R450:T457,3,FALSE))</f>
        <v>3.56</v>
      </c>
      <c r="AI453" s="419" t="str">
        <f>IF(ISNA(MATCH(AC453,L450:L457,0)),0,VLOOKUP(AC453,L450:P457,4,FALSE))</f>
        <v>R</v>
      </c>
      <c r="AJ453" s="419" t="str">
        <f>IF(ISNA(MATCH(AC453,R450:R457,0)),0,VLOOKUP(AC453,R450:U457,4,FALSE))</f>
        <v>RR</v>
      </c>
      <c r="AK453" s="32">
        <f t="shared" si="395"/>
        <v>2</v>
      </c>
      <c r="AL453" s="32">
        <f t="shared" si="396"/>
        <v>1</v>
      </c>
      <c r="AM453" s="32">
        <f>IF(ISNA(MATCH(AC453,L450:L457,0)),0,VLOOKUP(AC453,L450:W457,AM$1,FALSE))</f>
        <v>7</v>
      </c>
      <c r="AN453" s="146">
        <f>IF(ISNA(MATCH(AC453,R450:R457,0)),0,VLOOKUP(AC453,R450:W457,AN$1,FALSE))</f>
        <v>8</v>
      </c>
      <c r="AP453" s="927"/>
      <c r="AQ453" s="927"/>
    </row>
    <row r="454" spans="1:47" ht="15.6" x14ac:dyDescent="0.3">
      <c r="A454" s="417">
        <f t="shared" si="397"/>
        <v>405</v>
      </c>
      <c r="B454" s="362" t="str">
        <f>'Event Details'!D$26</f>
        <v>M</v>
      </c>
      <c r="C454" s="381" t="str">
        <f>'Event Details'!E$26</f>
        <v>Solihull &amp; S.Heath</v>
      </c>
      <c r="D454" s="379"/>
      <c r="E454" s="378"/>
      <c r="F454" s="363" t="str">
        <f>VLOOKUP($B449,IF($H449="F",TeamSheetFemale,TeamSheetMale),$Y454-1,FALSE)</f>
        <v>M</v>
      </c>
      <c r="G454" s="380" t="str">
        <f>VLOOKUP($B449,IF($H449="F",TeamSheetFemale,TeamSheetMale),$Y454,FALSE)</f>
        <v>Jessica Blundell</v>
      </c>
      <c r="H454" s="363" t="str">
        <f>VLOOKUP($B449,IF($H449="F",TeamSheetFemale,TeamSheetMale),$Y454+1,FALSE)</f>
        <v>MM</v>
      </c>
      <c r="I454" s="364" t="str">
        <f>VLOOKUP($B449,IF($H449="F",TeamSheetFemale,TeamSheetMale),$Y454+2,FALSE)</f>
        <v>Elizabeth Fowler</v>
      </c>
      <c r="K454" s="341" t="s">
        <v>275</v>
      </c>
      <c r="L454" s="16" t="str">
        <f t="shared" si="390"/>
        <v>Y</v>
      </c>
      <c r="M454" s="927" t="s">
        <v>822</v>
      </c>
      <c r="N454" s="927">
        <v>3.53</v>
      </c>
      <c r="O454" s="353" t="str">
        <f>IF(LEN($M454)=1,VLOOKUP(LEFT($M454,1),B450:I457,5,FALSE),IF(LEN($M454)=2,VLOOKUP(LEFT($M454,1),B450:I457,7,FALSE),""))</f>
        <v>YY</v>
      </c>
      <c r="P454" s="373" t="str">
        <f>IF(LEN($M454)=1,VLOOKUP(LEFT($M454,1),B450:I457,6,FALSE),IF(LEN($M454)=2,VLOOKUP(LEFT($M454,1),B450:I457,8,FALSE),""))</f>
        <v>Megan Mabey</v>
      </c>
      <c r="Q454" s="341" t="s">
        <v>275</v>
      </c>
      <c r="R454" s="146" t="str">
        <f t="shared" si="391"/>
        <v>Y</v>
      </c>
      <c r="S454" s="927" t="s">
        <v>151</v>
      </c>
      <c r="T454" s="927">
        <v>2.83</v>
      </c>
      <c r="U454" s="353" t="str">
        <f>IF(LEN($S454)=1,VLOOKUP(LEFT($S454,1),B450:I457,5,FALSE),IF(LEN($S454)=2,VLOOKUP(LEFT($S454,1),B450:I457,7,FALSE),""))</f>
        <v>Y</v>
      </c>
      <c r="V454" s="373" t="str">
        <f>IF(LEN($S454)=1,VLOOKUP(LEFT($S454,1),B450:I457,6,FALSE),IF(LEN($S454)=2,VLOOKUP(LEFT($S454,1),B450:I457,8,FALSE),""))</f>
        <v>Ella Dyer</v>
      </c>
      <c r="W454" s="417">
        <f t="shared" si="398"/>
        <v>4</v>
      </c>
      <c r="Y454" s="417">
        <v>27</v>
      </c>
      <c r="Z454" s="16" t="str">
        <f t="shared" si="392"/>
        <v>Worc</v>
      </c>
      <c r="AA454" s="146" t="str">
        <f t="shared" si="393"/>
        <v>Worc</v>
      </c>
      <c r="AB454" s="32"/>
      <c r="AC454" s="16" t="str">
        <f t="shared" si="394"/>
        <v>M</v>
      </c>
      <c r="AD454" s="419" t="str">
        <f t="shared" si="394"/>
        <v>Solihull &amp; S.Heath</v>
      </c>
      <c r="AE454" s="419">
        <f>IF(ISNA(MATCH(AC454,N450:N459,0)),0,VLOOKUP(AC454,N450:S459,5,FALSE))</f>
        <v>0</v>
      </c>
      <c r="AF454" s="419" t="str">
        <f>IF(ISNA(MATCH(AC454,T450:T459,0))," ",VLOOKUP(AC454,T450:Y459,5,FALSE))</f>
        <v xml:space="preserve"> </v>
      </c>
      <c r="AG454" s="419">
        <f>IF(ISNA(MATCH(AC454,L450:L457,0)),0,VLOOKUP(AC454,L450:N457,3,FALSE))</f>
        <v>3.39</v>
      </c>
      <c r="AH454" s="419">
        <f>IF(ISNA(MATCH(AC454,R450:R457,0)),0,VLOOKUP(AC454,R450:T457,3,FALSE))</f>
        <v>2.76</v>
      </c>
      <c r="AI454" s="419" t="str">
        <f>IF(ISNA(MATCH(AC454,L450:L457,0)),0,VLOOKUP(AC454,L450:P457,4,FALSE))</f>
        <v>M</v>
      </c>
      <c r="AJ454" s="419" t="str">
        <f>IF(ISNA(MATCH(AC454,R450:R457,0)),0,VLOOKUP(AC454,R450:U457,4,FALSE))</f>
        <v>MM</v>
      </c>
      <c r="AK454" s="32">
        <f t="shared" si="395"/>
        <v>7</v>
      </c>
      <c r="AL454" s="32">
        <f t="shared" si="396"/>
        <v>6</v>
      </c>
      <c r="AM454" s="32">
        <f>IF(ISNA(MATCH(AC454,L450:L457,0)),0,VLOOKUP(AC454,L450:W457,AM$1,FALSE))</f>
        <v>2</v>
      </c>
      <c r="AN454" s="146">
        <f>IF(ISNA(MATCH(AC454,R450:R457,0)),0,VLOOKUP(AC454,R450:W457,AN$1,FALSE))</f>
        <v>3</v>
      </c>
      <c r="AP454" s="927"/>
      <c r="AQ454" s="927"/>
    </row>
    <row r="455" spans="1:47" ht="15.6" x14ac:dyDescent="0.3">
      <c r="A455" s="417">
        <f t="shared" si="397"/>
        <v>406</v>
      </c>
      <c r="B455" s="362" t="str">
        <f>'Event Details'!D$27</f>
        <v>D</v>
      </c>
      <c r="C455" s="381" t="str">
        <f>'Event Details'!E$27</f>
        <v>Stratford</v>
      </c>
      <c r="D455" s="379"/>
      <c r="E455" s="378"/>
      <c r="F455" s="363" t="str">
        <f>VLOOKUP($B449,IF($H449="F",TeamSheetFemale,TeamSheetMale),$Y455-1,FALSE)</f>
        <v>D</v>
      </c>
      <c r="G455" s="380" t="str">
        <f>VLOOKUP($B449,IF($H449="F",TeamSheetFemale,TeamSheetMale),$Y455,FALSE)</f>
        <v>Saskia Atkins</v>
      </c>
      <c r="H455" s="363" t="str">
        <f>VLOOKUP($B449,IF($H449="F",TeamSheetFemale,TeamSheetMale),$Y455+1,FALSE)</f>
        <v>DD</v>
      </c>
      <c r="I455" s="364" t="str">
        <f>VLOOKUP($B449,IF($H449="F",TeamSheetFemale,TeamSheetMale),$Y455+2,FALSE)</f>
        <v>Elsie Gould</v>
      </c>
      <c r="K455" s="341" t="s">
        <v>276</v>
      </c>
      <c r="L455" s="16" t="str">
        <f t="shared" si="390"/>
        <v>U</v>
      </c>
      <c r="M455" s="927" t="s">
        <v>130</v>
      </c>
      <c r="N455" s="927">
        <v>3.45</v>
      </c>
      <c r="O455" s="353" t="str">
        <f>IF(LEN($M455)=1,VLOOKUP(LEFT($M455,1),B450:I457,5,FALSE),IF(LEN($M455)=2,VLOOKUP(LEFT($M455,1),B450:I457,7,FALSE),""))</f>
        <v>U</v>
      </c>
      <c r="P455" s="373" t="str">
        <f>IF(LEN($M455)=1,VLOOKUP(LEFT($M455,1),B450:I457,6,FALSE),IF(LEN($M455)=2,VLOOKUP(LEFT($M455,1),B450:I457,8,FALSE),""))</f>
        <v xml:space="preserve">Alice Thompson </v>
      </c>
      <c r="Q455" s="341" t="s">
        <v>276</v>
      </c>
      <c r="R455" s="146" t="str">
        <f t="shared" si="391"/>
        <v>M</v>
      </c>
      <c r="S455" s="927" t="s">
        <v>821</v>
      </c>
      <c r="T455" s="927">
        <v>2.76</v>
      </c>
      <c r="U455" s="353" t="str">
        <f>IF(LEN($S455)=1,VLOOKUP(LEFT($S455,1),B450:I457,5,FALSE),IF(LEN($S455)=2,VLOOKUP(LEFT($S455,1),B450:I457,7,FALSE),""))</f>
        <v>MM</v>
      </c>
      <c r="V455" s="373" t="str">
        <f>IF(LEN($S455)=1,VLOOKUP(LEFT($S455,1),B450:I457,6,FALSE),IF(LEN($S455)=2,VLOOKUP(LEFT($S455,1),B450:I457,8,FALSE),""))</f>
        <v>Elizabeth Fowler</v>
      </c>
      <c r="W455" s="417">
        <f t="shared" si="398"/>
        <v>3</v>
      </c>
      <c r="Y455" s="417">
        <v>32</v>
      </c>
      <c r="Z455" s="16" t="str">
        <f t="shared" si="392"/>
        <v>K&amp;S</v>
      </c>
      <c r="AA455" s="146" t="str">
        <f t="shared" si="393"/>
        <v>Sol</v>
      </c>
      <c r="AB455" s="32"/>
      <c r="AC455" s="16" t="str">
        <f t="shared" si="394"/>
        <v>D</v>
      </c>
      <c r="AD455" s="419" t="str">
        <f t="shared" si="394"/>
        <v>Stratford</v>
      </c>
      <c r="AE455" s="419">
        <f>IF(ISNA(MATCH(AC455,N450:N459,0)),0,VLOOKUP(AC455,N450:S459,5,FALSE))</f>
        <v>0</v>
      </c>
      <c r="AF455" s="419" t="str">
        <f>IF(ISNA(MATCH(AC455,T450:T459,0))," ",VLOOKUP(AC455,T450:Y459,5,FALSE))</f>
        <v xml:space="preserve"> </v>
      </c>
      <c r="AG455" s="419">
        <f>IF(ISNA(MATCH(AC455,L450:L457,0)),0,VLOOKUP(AC455,L450:N457,3,FALSE))</f>
        <v>3.79</v>
      </c>
      <c r="AH455" s="419">
        <f>IF(ISNA(MATCH(AC455,R450:R457,0)),0,VLOOKUP(AC455,R450:T457,3,FALSE))</f>
        <v>3.48</v>
      </c>
      <c r="AI455" s="419" t="str">
        <f>IF(ISNA(MATCH(AC455,L450:L457,0)),0,VLOOKUP(AC455,L450:P457,4,FALSE))</f>
        <v>D</v>
      </c>
      <c r="AJ455" s="419" t="str">
        <f>IF(ISNA(MATCH(AC455,R450:R457,0)),0,VLOOKUP(AC455,R450:U457,4,FALSE))</f>
        <v>DD</v>
      </c>
      <c r="AK455" s="32">
        <f t="shared" si="395"/>
        <v>3</v>
      </c>
      <c r="AL455" s="32">
        <f t="shared" si="396"/>
        <v>2</v>
      </c>
      <c r="AM455" s="32">
        <f>IF(ISNA(MATCH(AC455,L450:L457,0)),0,VLOOKUP(AC455,L450:W457,AM$1,FALSE))</f>
        <v>6</v>
      </c>
      <c r="AN455" s="146">
        <f>IF(ISNA(MATCH(AC455,R450:R457,0)),0,VLOOKUP(AC455,R450:W457,AN$1,FALSE))</f>
        <v>7</v>
      </c>
      <c r="AP455" s="927"/>
      <c r="AQ455" s="927"/>
    </row>
    <row r="456" spans="1:47" ht="15.6" x14ac:dyDescent="0.3">
      <c r="A456" s="417">
        <f t="shared" si="397"/>
        <v>407</v>
      </c>
      <c r="B456" s="362" t="str">
        <f>'Event Details'!D$28</f>
        <v>F</v>
      </c>
      <c r="C456" s="381" t="str">
        <f>'Event Details'!E$28</f>
        <v>Tamworth</v>
      </c>
      <c r="D456" s="379"/>
      <c r="E456" s="378"/>
      <c r="F456" s="363" t="str">
        <f>VLOOKUP($B449,IF($H449="F",TeamSheetFemale,TeamSheetMale),$Y456-1,FALSE)</f>
        <v>F</v>
      </c>
      <c r="G456" s="380" t="str">
        <f>VLOOKUP($B449,IF($H449="F",TeamSheetFemale,TeamSheetMale),$Y456,FALSE)</f>
        <v>Eden Farmer</v>
      </c>
      <c r="H456" s="363" t="str">
        <f>VLOOKUP($B449,IF($H449="F",TeamSheetFemale,TeamSheetMale),$Y456+1,FALSE)</f>
        <v>FF</v>
      </c>
      <c r="I456" s="364" t="str">
        <f>VLOOKUP($B449,IF($H449="F",TeamSheetFemale,TeamSheetMale),$Y456+2,FALSE)</f>
        <v>Peppi-Rose Sweet</v>
      </c>
      <c r="K456" s="341" t="s">
        <v>277</v>
      </c>
      <c r="L456" s="16" t="str">
        <f t="shared" si="390"/>
        <v>M</v>
      </c>
      <c r="M456" s="927" t="s">
        <v>127</v>
      </c>
      <c r="N456" s="927">
        <v>3.39</v>
      </c>
      <c r="O456" s="353" t="str">
        <f>IF(LEN($M456)=1,VLOOKUP(LEFT($M456,1),B450:I457,5,FALSE),IF(LEN($M456)=2,VLOOKUP(LEFT($M456,1),B450:I457,7,FALSE),""))</f>
        <v>M</v>
      </c>
      <c r="P456" s="373" t="str">
        <f>IF(LEN($M456)=1,VLOOKUP(LEFT($M456,1),B450:I457,6,FALSE),IF(LEN($M456)=2,VLOOKUP(LEFT($M456,1),B450:I457,8,FALSE),""))</f>
        <v>Jessica Blundell</v>
      </c>
      <c r="Q456" s="341" t="s">
        <v>277</v>
      </c>
      <c r="R456" s="146" t="str">
        <f t="shared" si="391"/>
        <v>U</v>
      </c>
      <c r="S456" s="927" t="s">
        <v>726</v>
      </c>
      <c r="T456" s="927">
        <v>2.63</v>
      </c>
      <c r="U456" s="353" t="str">
        <f>IF(LEN($S456)=1,VLOOKUP(LEFT($S456,1),B450:I457,5,FALSE),IF(LEN($S456)=2,VLOOKUP(LEFT($S456,1),B450:I457,7,FALSE),""))</f>
        <v>UU</v>
      </c>
      <c r="V456" s="373" t="str">
        <f>IF(LEN($S456)=1,VLOOKUP(LEFT($S456,1),B450:I457,6,FALSE),IF(LEN($S456)=2,VLOOKUP(LEFT($S456,1),B450:I457,8,FALSE),""))</f>
        <v xml:space="preserve">Polly Richards </v>
      </c>
      <c r="W456" s="417">
        <f t="shared" si="398"/>
        <v>2</v>
      </c>
      <c r="Y456" s="417">
        <v>37</v>
      </c>
      <c r="Z456" s="16" t="str">
        <f t="shared" si="392"/>
        <v>Sol</v>
      </c>
      <c r="AA456" s="146" t="str">
        <f t="shared" si="393"/>
        <v>K&amp;S</v>
      </c>
      <c r="AB456" s="32"/>
      <c r="AC456" s="16" t="str">
        <f t="shared" si="394"/>
        <v>F</v>
      </c>
      <c r="AD456" s="419" t="str">
        <f t="shared" si="394"/>
        <v>Tamworth</v>
      </c>
      <c r="AE456" s="419">
        <f>IF(ISNA(MATCH(AC456,N448:N457,0)),0,VLOOKUP(AC456,N448:S457,5,FALSE))</f>
        <v>0</v>
      </c>
      <c r="AF456" s="419" t="str">
        <f>IF(ISNA(MATCH(AC456,T448:T457,0))," ",VLOOKUP(AC456,T448:Y457,5,FALSE))</f>
        <v xml:space="preserve"> </v>
      </c>
      <c r="AG456" s="419">
        <f>IF(ISNA(MATCH(AC456,L450:L457,0)),0,VLOOKUP(AC456,L450:N457,3,FALSE))</f>
        <v>3.65</v>
      </c>
      <c r="AH456" s="419">
        <f>IF(ISNA(MATCH(AC456,R450:R457,0)),0,VLOOKUP(AC456,R450:T457,3,FALSE))</f>
        <v>2.98</v>
      </c>
      <c r="AI456" s="419" t="str">
        <f>IF(ISNA(MATCH(AC456,L450:L457,0)),0,VLOOKUP(AC456,L450:P457,4,FALSE))</f>
        <v>F</v>
      </c>
      <c r="AJ456" s="419" t="str">
        <f>IF(ISNA(MATCH(AC456,R450:R457,0)),0,VLOOKUP(AC456,R450:U457,4,FALSE))</f>
        <v>FF</v>
      </c>
      <c r="AK456" s="32">
        <f t="shared" si="395"/>
        <v>4</v>
      </c>
      <c r="AL456" s="32">
        <f t="shared" si="396"/>
        <v>4</v>
      </c>
      <c r="AM456" s="32">
        <f>IF(ISNA(MATCH(AC456,L450:L457,0)),0,VLOOKUP(AC456,L450:W457,AM$1,FALSE))</f>
        <v>5</v>
      </c>
      <c r="AN456" s="146">
        <f>IF(ISNA(MATCH(AC456,R450:R457,0)),0,VLOOKUP(AC456,R450:W457,AN$1,FALSE))</f>
        <v>5</v>
      </c>
      <c r="AP456" s="927"/>
      <c r="AQ456" s="927"/>
    </row>
    <row r="457" spans="1:47" ht="16.2" thickBot="1" x14ac:dyDescent="0.35">
      <c r="A457" s="418">
        <f t="shared" si="397"/>
        <v>408</v>
      </c>
      <c r="B457" s="365" t="str">
        <f>'Event Details'!D$29</f>
        <v>Y</v>
      </c>
      <c r="C457" s="366" t="str">
        <f>'Event Details'!E$29</f>
        <v>Worcester</v>
      </c>
      <c r="D457" s="361"/>
      <c r="E457" s="370"/>
      <c r="F457" s="367" t="str">
        <f>VLOOKUP($B449,IF($H449="F",TeamSheetFemale,TeamSheetMale),$Y457-1,FALSE)</f>
        <v>Y</v>
      </c>
      <c r="G457" s="368" t="str">
        <f>VLOOKUP($B449,IF($H449="F",TeamSheetFemale,TeamSheetMale),$Y457,FALSE)</f>
        <v>Ella Dyer</v>
      </c>
      <c r="H457" s="367" t="str">
        <f>VLOOKUP($B449,IF($H449="F",TeamSheetFemale,TeamSheetMale),$Y457+1,FALSE)</f>
        <v>YY</v>
      </c>
      <c r="I457" s="369" t="str">
        <f>VLOOKUP($B449,IF($H449="F",TeamSheetFemale,TeamSheetMale),$Y457+2,FALSE)</f>
        <v>Megan Mabey</v>
      </c>
      <c r="K457" s="346" t="s">
        <v>278</v>
      </c>
      <c r="L457" s="25" t="str">
        <f t="shared" si="390"/>
        <v>S</v>
      </c>
      <c r="M457" s="932" t="s">
        <v>818</v>
      </c>
      <c r="N457" s="932">
        <v>2.98</v>
      </c>
      <c r="O457" s="375" t="str">
        <f>IF(LEN($M457)=1,VLOOKUP(LEFT($M457,1),B450:I457,5,FALSE),IF(LEN($M457)=2,VLOOKUP(LEFT($M457,1),B450:I457,7,FALSE),""))</f>
        <v>SS</v>
      </c>
      <c r="P457" s="376" t="str">
        <f>IF(LEN($M457)=1,VLOOKUP(LEFT($M457,1),B450:I457,6,FALSE),IF(LEN($M457)=2,VLOOKUP(LEFT($M457,1),B450:I457,8,FALSE),""))</f>
        <v>Azucena Cereceda</v>
      </c>
      <c r="Q457" s="346" t="s">
        <v>278</v>
      </c>
      <c r="R457" s="523" t="str">
        <f t="shared" si="391"/>
        <v/>
      </c>
      <c r="S457" s="932"/>
      <c r="T457" s="932"/>
      <c r="U457" s="375" t="str">
        <f>IF(LEN($S457)=1,VLOOKUP(LEFT($S457,1),B450:I457,5,FALSE),IF(LEN($S457)=2,VLOOKUP(LEFT($S457,1),B450:I457,7,FALSE),""))</f>
        <v/>
      </c>
      <c r="V457" s="376" t="str">
        <f>IF(LEN($S457)=1,VLOOKUP(LEFT($S457,1),B450:I457,6,FALSE),IF(LEN($S457)=2,VLOOKUP(LEFT($S457,1),B450:I457,8,FALSE),""))</f>
        <v/>
      </c>
      <c r="W457" s="418">
        <f t="shared" si="398"/>
        <v>1</v>
      </c>
      <c r="Y457" s="418">
        <v>42</v>
      </c>
      <c r="Z457" s="25" t="str">
        <f t="shared" si="392"/>
        <v>BRAT</v>
      </c>
      <c r="AA457" s="523">
        <f t="shared" si="393"/>
        <v>0</v>
      </c>
      <c r="AB457" s="32"/>
      <c r="AC457" s="25" t="str">
        <f t="shared" si="394"/>
        <v>Y</v>
      </c>
      <c r="AD457" s="624" t="str">
        <f t="shared" si="394"/>
        <v>Worcester</v>
      </c>
      <c r="AE457" s="624">
        <f>IF(ISNA(MATCH(AC457,N449:N458,0)),0,VLOOKUP(AC457,N449:S458,5,FALSE))</f>
        <v>0</v>
      </c>
      <c r="AF457" s="624" t="str">
        <f t="shared" ref="AF457" si="399">IF(ISNA(MATCH(AC457,T449:T458,0))," ",VLOOKUP(AC457,T449:Y458,5,FALSE))</f>
        <v xml:space="preserve"> </v>
      </c>
      <c r="AG457" s="624">
        <f>IF(ISNA(MATCH(AC457,L450:L457,0)),0,VLOOKUP(AC457,L450:N457,3,FALSE))</f>
        <v>3.53</v>
      </c>
      <c r="AH457" s="624">
        <f>IF(ISNA(MATCH(AC457,R450:R457,0)),0,VLOOKUP(AC457,R450:T457,3,FALSE))</f>
        <v>2.83</v>
      </c>
      <c r="AI457" s="624" t="str">
        <f>IF(ISNA(MATCH(AC457,L450:L457,0)),0,VLOOKUP(AC457,L450:P457,4,FALSE))</f>
        <v>YY</v>
      </c>
      <c r="AJ457" s="624" t="str">
        <f>IF(ISNA(MATCH(AC457,R450:R457,0)),0,VLOOKUP(AC457,R450:U457,4,FALSE))</f>
        <v>Y</v>
      </c>
      <c r="AK457" s="116">
        <f t="shared" si="395"/>
        <v>5</v>
      </c>
      <c r="AL457" s="116">
        <f t="shared" si="396"/>
        <v>5</v>
      </c>
      <c r="AM457" s="116">
        <f>IF(ISNA(MATCH(AC457,L450:L457,0)),0,VLOOKUP(AC457,L450:W457,AM$1,FALSE))</f>
        <v>4</v>
      </c>
      <c r="AN457" s="523">
        <f>IF(ISNA(MATCH(AC457,R450:R457,0)),0,VLOOKUP(AC457,R450:W457,AN$1,FALSE))</f>
        <v>4</v>
      </c>
      <c r="AP457" s="932"/>
      <c r="AQ457" s="932"/>
    </row>
    <row r="458" spans="1:47" ht="15" thickBot="1" x14ac:dyDescent="0.35">
      <c r="M458" s="276"/>
      <c r="N458" s="276"/>
      <c r="S458" s="276"/>
      <c r="T458" s="276"/>
      <c r="AP458" s="276"/>
      <c r="AQ458" s="276"/>
    </row>
    <row r="459" spans="1:47" x14ac:dyDescent="0.3">
      <c r="B459" s="400" t="s">
        <v>258</v>
      </c>
      <c r="C459" s="398"/>
      <c r="D459" s="401" t="s">
        <v>165</v>
      </c>
      <c r="E459" s="398"/>
      <c r="F459" s="398"/>
      <c r="G459" s="402" t="s">
        <v>259</v>
      </c>
      <c r="H459" s="403" t="s">
        <v>249</v>
      </c>
      <c r="I459" s="404" t="s">
        <v>168</v>
      </c>
      <c r="K459" s="360"/>
      <c r="L459" s="661"/>
      <c r="M459" s="387" t="s">
        <v>260</v>
      </c>
      <c r="N459" s="387" t="s">
        <v>261</v>
      </c>
      <c r="O459" s="387" t="s">
        <v>262</v>
      </c>
      <c r="P459" s="388" t="s">
        <v>75</v>
      </c>
      <c r="Q459" s="412"/>
      <c r="R459" s="657"/>
      <c r="S459" s="387" t="s">
        <v>260</v>
      </c>
      <c r="T459" s="387" t="s">
        <v>261</v>
      </c>
      <c r="U459" s="387" t="s">
        <v>262</v>
      </c>
      <c r="V459" s="388" t="s">
        <v>75</v>
      </c>
      <c r="W459" s="672" t="s">
        <v>76</v>
      </c>
      <c r="Y459" s="654" t="s">
        <v>263</v>
      </c>
      <c r="Z459" s="656" t="s">
        <v>74</v>
      </c>
      <c r="AA459" s="657" t="s">
        <v>75</v>
      </c>
      <c r="AC459" s="665" t="s">
        <v>71</v>
      </c>
      <c r="AD459" s="657" t="s">
        <v>86</v>
      </c>
      <c r="AE459" s="661" t="s">
        <v>149</v>
      </c>
      <c r="AF459" s="661" t="s">
        <v>94</v>
      </c>
      <c r="AG459" s="661" t="s">
        <v>149</v>
      </c>
      <c r="AH459" s="661" t="s">
        <v>94</v>
      </c>
      <c r="AI459" s="661" t="s">
        <v>149</v>
      </c>
      <c r="AJ459" s="661" t="s">
        <v>94</v>
      </c>
      <c r="AK459" s="1332" t="s">
        <v>149</v>
      </c>
      <c r="AL459" s="661" t="s">
        <v>94</v>
      </c>
      <c r="AM459" s="1406" t="s">
        <v>76</v>
      </c>
      <c r="AN459" s="1407"/>
      <c r="AP459" s="387" t="s">
        <v>260</v>
      </c>
      <c r="AQ459" s="387" t="s">
        <v>261</v>
      </c>
      <c r="AS459" s="1218" t="s">
        <v>165</v>
      </c>
      <c r="AT459" s="1219" t="s">
        <v>79</v>
      </c>
      <c r="AU459" s="1220" t="s">
        <v>80</v>
      </c>
    </row>
    <row r="460" spans="1:47" ht="15" thickBot="1" x14ac:dyDescent="0.35">
      <c r="B460" s="405">
        <v>41</v>
      </c>
      <c r="C460" s="399"/>
      <c r="D460" s="385" t="str">
        <f>VLOOKUP($B460,EventOrder,6,FALSE)</f>
        <v xml:space="preserve">100m </v>
      </c>
      <c r="E460" s="399"/>
      <c r="F460" s="385"/>
      <c r="G460" s="386" t="str">
        <f>VLOOKUP($B460,EventOrder,4,FALSE)</f>
        <v>U16 Female</v>
      </c>
      <c r="H460" s="396" t="str">
        <f>IF(MID(G460,5,1)="F","F","M")</f>
        <v>F</v>
      </c>
      <c r="I460" s="397">
        <f>VLOOKUP($B460,EventOrder,2,FALSE)</f>
        <v>2.25</v>
      </c>
      <c r="K460" s="372"/>
      <c r="L460" s="667" t="s">
        <v>149</v>
      </c>
      <c r="M460" s="409" t="s">
        <v>264</v>
      </c>
      <c r="N460" s="409" t="s">
        <v>265</v>
      </c>
      <c r="O460" s="409" t="s">
        <v>266</v>
      </c>
      <c r="P460" s="408"/>
      <c r="Q460" s="413"/>
      <c r="R460" s="659" t="s">
        <v>94</v>
      </c>
      <c r="S460" s="409" t="s">
        <v>264</v>
      </c>
      <c r="T460" s="409" t="s">
        <v>265</v>
      </c>
      <c r="U460" s="409" t="s">
        <v>266</v>
      </c>
      <c r="V460" s="408"/>
      <c r="W460" s="671"/>
      <c r="Y460" s="655" t="s">
        <v>167</v>
      </c>
      <c r="Z460" s="658" t="s">
        <v>149</v>
      </c>
      <c r="AA460" s="659" t="s">
        <v>94</v>
      </c>
      <c r="AC460" s="666"/>
      <c r="AD460" s="668"/>
      <c r="AE460" s="768" t="s">
        <v>75</v>
      </c>
      <c r="AF460" s="768" t="s">
        <v>75</v>
      </c>
      <c r="AG460" s="768" t="s">
        <v>267</v>
      </c>
      <c r="AH460" s="768" t="s">
        <v>267</v>
      </c>
      <c r="AI460" s="768" t="s">
        <v>268</v>
      </c>
      <c r="AJ460" s="768" t="s">
        <v>268</v>
      </c>
      <c r="AK460" s="770" t="s">
        <v>269</v>
      </c>
      <c r="AL460" s="768" t="s">
        <v>269</v>
      </c>
      <c r="AM460" s="667" t="s">
        <v>149</v>
      </c>
      <c r="AN460" s="659" t="s">
        <v>94</v>
      </c>
      <c r="AP460" s="409" t="s">
        <v>264</v>
      </c>
      <c r="AQ460" s="409" t="s">
        <v>265</v>
      </c>
      <c r="AS460" s="1221" t="s">
        <v>270</v>
      </c>
      <c r="AT460" s="1222" t="s">
        <v>270</v>
      </c>
      <c r="AU460" s="1223" t="s">
        <v>270</v>
      </c>
    </row>
    <row r="461" spans="1:47" ht="15.6" x14ac:dyDescent="0.3">
      <c r="A461" s="416">
        <f>(B460*10)+1</f>
        <v>411</v>
      </c>
      <c r="B461" s="362" t="str">
        <f>'Event Details'!D$22</f>
        <v>S</v>
      </c>
      <c r="C461" s="381" t="str">
        <f>'Event Details'!E$22</f>
        <v>BRAT</v>
      </c>
      <c r="D461" s="379"/>
      <c r="E461" s="378"/>
      <c r="F461" s="363" t="str">
        <f>VLOOKUP($B460,IF($H460="F",TeamSheetFemale,TeamSheetMale),$Y461-1,FALSE)</f>
        <v>S</v>
      </c>
      <c r="G461" s="380" t="str">
        <f>VLOOKUP($B460,IF($H460="F",TeamSheetFemale,TeamSheetMale),$Y461,FALSE)</f>
        <v xml:space="preserve">Araya Williams </v>
      </c>
      <c r="H461" s="363" t="str">
        <f>VLOOKUP($B460,IF($H460="F",TeamSheetFemale,TeamSheetMale),$Y461+1,FALSE)</f>
        <v>SS</v>
      </c>
      <c r="I461" s="364" t="str">
        <f>VLOOKUP($B460,IF($H460="F",TeamSheetFemale,TeamSheetMale),$Y461+2,FALSE)</f>
        <v>Tamera Campbell</v>
      </c>
      <c r="K461" s="393" t="s">
        <v>271</v>
      </c>
      <c r="L461" s="16" t="str">
        <f t="shared" ref="L461:L468" si="400">LEFT(M461,1)</f>
        <v>S</v>
      </c>
      <c r="M461" s="926" t="s">
        <v>100</v>
      </c>
      <c r="N461" s="926">
        <v>12.3</v>
      </c>
      <c r="O461" s="394" t="str">
        <f>IF(LEN($M461)=1,VLOOKUP(LEFT($M461,1),B461:I468,5,FALSE),IF(LEN($M461)=2,VLOOKUP(LEFT($M461,1),B461:I468,7,FALSE),""))</f>
        <v>S</v>
      </c>
      <c r="P461" s="395" t="str">
        <f>IF(LEN($M461)=1,VLOOKUP(LEFT($M461,1),B461:I468,6,FALSE),IF(LEN($M461)=2,VLOOKUP(LEFT($M461,1),B461:I468,8,FALSE),""))</f>
        <v xml:space="preserve">Araya Williams </v>
      </c>
      <c r="Q461" s="406" t="s">
        <v>271</v>
      </c>
      <c r="R461" s="146" t="str">
        <f t="shared" ref="R461:R468" si="401">LEFT(S461,1)</f>
        <v>S</v>
      </c>
      <c r="S461" s="926" t="s">
        <v>818</v>
      </c>
      <c r="T461" s="926">
        <v>13.2</v>
      </c>
      <c r="U461" s="394" t="str">
        <f>IF(LEN($S461)=1,VLOOKUP(LEFT($S461,1),B461:I468,5,FALSE),IF(LEN($S461)=2,VLOOKUP(LEFT($S461,1),B461:I468,7,FALSE),""))</f>
        <v>SS</v>
      </c>
      <c r="V461" s="395" t="str">
        <f>IF(LEN($S461)=1,VLOOKUP(LEFT($S461,1),B461:I468,6,FALSE),IF(LEN($S461)=2,VLOOKUP(LEFT($S461,1),B461:I468,8,FALSE),""))</f>
        <v>Tamera Campbell</v>
      </c>
      <c r="W461" s="417">
        <f>AN$6</f>
        <v>8</v>
      </c>
      <c r="Y461" s="653">
        <v>7</v>
      </c>
      <c r="Z461" s="653" t="str">
        <f t="shared" ref="Z461:Z468" si="402">IF(LEN(M461)&gt;0,VLOOKUP(LEFT(M461,1),ShortName,5,FALSE),0)</f>
        <v>BRAT</v>
      </c>
      <c r="AA461" s="138" t="str">
        <f t="shared" ref="AA461:AA468" si="403">IF(LEN(S461)&gt;0,VLOOKUP(LEFT(S461,1),ShortName,5,FALSE),0)</f>
        <v>BRAT</v>
      </c>
      <c r="AC461" s="16" t="str">
        <f t="shared" ref="AC461:AD468" si="404">B461</f>
        <v>S</v>
      </c>
      <c r="AD461" s="419" t="str">
        <f t="shared" si="404"/>
        <v>BRAT</v>
      </c>
      <c r="AE461" s="635">
        <f>IF(ISNA(MATCH(AC461,N461:N470,0)),0,VLOOKUP(AC461,N461:S470,5,FALSE))</f>
        <v>0</v>
      </c>
      <c r="AF461" s="635" t="str">
        <f>IF(ISNA(MATCH(AC461,T461:T470,0))," ",VLOOKUP(AC461,T461:Y470,5,FALSE))</f>
        <v xml:space="preserve"> </v>
      </c>
      <c r="AG461" s="635">
        <f>IF(ISNA(MATCH(AC461,L461:L468,0)),0,VLOOKUP(AC461,L461:N468,3,FALSE))</f>
        <v>12.3</v>
      </c>
      <c r="AH461" s="635">
        <f>IF(ISNA(MATCH(AC461,R461:R468,0)),0,VLOOKUP(AC461,R461:T468,3,FALSE))</f>
        <v>13.2</v>
      </c>
      <c r="AI461" s="635" t="str">
        <f>IF(ISNA(MATCH(AC461,L461:L468,0)),0,VLOOKUP(AC461,L461:P468,4,FALSE))</f>
        <v>S</v>
      </c>
      <c r="AJ461" s="635" t="str">
        <f>IF(ISNA(MATCH(AC461,R461:R468,0)),0,VLOOKUP(AC461,R461:U468,4,FALSE))</f>
        <v>SS</v>
      </c>
      <c r="AK461" s="49">
        <f t="shared" ref="AK461:AK468" si="405">IF(AM461=0,0,AN$6-(AM461-1))</f>
        <v>1</v>
      </c>
      <c r="AL461" s="49">
        <f t="shared" ref="AL461:AL468" si="406">IF(AN461=0,0,AN$6-(AN461-1))</f>
        <v>1</v>
      </c>
      <c r="AM461" s="49">
        <f>IF(ISNA(MATCH(AC461,L461:L468,0)),0,VLOOKUP(AC461,L461:W468,AM$1,FALSE))</f>
        <v>8</v>
      </c>
      <c r="AN461" s="138">
        <f>IF(ISNA(MATCH(AC461,R461:R468,0)),0,VLOOKUP(AC461,R461:W468,AN$1,FALSE))</f>
        <v>8</v>
      </c>
      <c r="AP461" s="926"/>
      <c r="AQ461" s="926"/>
      <c r="AS461" s="32">
        <f>IF(LEN(N461)&gt;0,1,0)</f>
        <v>1</v>
      </c>
      <c r="AT461" s="32">
        <f>IF(AND(AS461=1,H460="M"),1,0)</f>
        <v>0</v>
      </c>
      <c r="AU461" s="32">
        <f>IF(AND(AS461=1,H460="F"),1,0)</f>
        <v>1</v>
      </c>
    </row>
    <row r="462" spans="1:47" ht="15.6" x14ac:dyDescent="0.3">
      <c r="A462" s="417">
        <f>A461+1</f>
        <v>412</v>
      </c>
      <c r="B462" s="362" t="str">
        <f>'Event Details'!D$23</f>
        <v>U</v>
      </c>
      <c r="C462" s="381" t="str">
        <f>'Event Details'!E$23</f>
        <v>Kidder &amp; Stourport</v>
      </c>
      <c r="D462" s="379"/>
      <c r="E462" s="378"/>
      <c r="F462" s="363" t="str">
        <f>VLOOKUP($B460,IF($H460="F",TeamSheetFemale,TeamSheetMale),$Y462-1,FALSE)</f>
        <v>U</v>
      </c>
      <c r="G462" s="380" t="str">
        <f>VLOOKUP($B460,IF($H460="F",TeamSheetFemale,TeamSheetMale),$Y462,FALSE)</f>
        <v>Sophia Llewellyn</v>
      </c>
      <c r="H462" s="363" t="str">
        <f>VLOOKUP($B460,IF($H460="F",TeamSheetFemale,TeamSheetMale),$Y462+1,FALSE)</f>
        <v>UU</v>
      </c>
      <c r="I462" s="364" t="str">
        <f>VLOOKUP($B460,IF($H460="F",TeamSheetFemale,TeamSheetMale),$Y462+2,FALSE)</f>
        <v>Florence Aspinall</v>
      </c>
      <c r="K462" s="341" t="s">
        <v>272</v>
      </c>
      <c r="L462" s="16" t="str">
        <f t="shared" si="400"/>
        <v>Y</v>
      </c>
      <c r="M462" s="927" t="s">
        <v>151</v>
      </c>
      <c r="N462" s="927">
        <v>13</v>
      </c>
      <c r="O462" s="354" t="str">
        <f>IF(LEN($M462)=1,VLOOKUP(LEFT($M462,1),B461:I468,5,FALSE),IF(LEN($M462)=2,VLOOKUP(LEFT($M462,1),B461:I468,7,FALSE),""))</f>
        <v>Y</v>
      </c>
      <c r="P462" s="410" t="str">
        <f>IF(LEN($M462)=1,VLOOKUP(LEFT($M462,1),B461:I468,6,FALSE),IF(LEN($M462)=2,VLOOKUP(LEFT($M462,1),B461:I468,8,FALSE),""))</f>
        <v>Harriett Carey</v>
      </c>
      <c r="Q462" s="371" t="s">
        <v>272</v>
      </c>
      <c r="R462" s="146" t="str">
        <f t="shared" si="401"/>
        <v>F</v>
      </c>
      <c r="S462" s="927" t="s">
        <v>576</v>
      </c>
      <c r="T462" s="927">
        <v>13.2</v>
      </c>
      <c r="U462" s="354" t="str">
        <f>IF(LEN($S462)=1,VLOOKUP(LEFT($S462,1),B461:I468,5,FALSE),IF(LEN($S462)=2,VLOOKUP(LEFT($S462,1),B461:I468,7,FALSE),""))</f>
        <v>FF</v>
      </c>
      <c r="V462" s="410" t="str">
        <f>IF(LEN($S462)=1,VLOOKUP(LEFT($S462,1),B461:I468,6,FALSE),IF(LEN($S462)=2,VLOOKUP(LEFT($S462,1),B461:I468,8,FALSE),""))</f>
        <v>Emily Webb</v>
      </c>
      <c r="W462" s="417">
        <f>W461-1</f>
        <v>7</v>
      </c>
      <c r="Y462" s="16">
        <v>12</v>
      </c>
      <c r="Z462" s="16" t="str">
        <f t="shared" si="402"/>
        <v>Worc</v>
      </c>
      <c r="AA462" s="146" t="str">
        <f t="shared" si="403"/>
        <v>Tam</v>
      </c>
      <c r="AC462" s="16" t="str">
        <f t="shared" si="404"/>
        <v>U</v>
      </c>
      <c r="AD462" s="419" t="str">
        <f t="shared" si="404"/>
        <v>Kidder &amp; Stourport</v>
      </c>
      <c r="AE462" s="419">
        <f>IF(ISNA(MATCH(AC462,N461:N470,0)),0,VLOOKUP(AC462,N461:S470,5,FALSE))</f>
        <v>0</v>
      </c>
      <c r="AF462" s="419" t="str">
        <f>IF(ISNA(MATCH(AC462,T461:T470,0))," ",VLOOKUP(AC462,T461:Y470,5,FALSE))</f>
        <v xml:space="preserve"> </v>
      </c>
      <c r="AG462" s="419">
        <f>IF(ISNA(MATCH(AC462,L461:L468,0)),0,VLOOKUP(AC462,L461:N468,3,FALSE))</f>
        <v>14.2</v>
      </c>
      <c r="AH462" s="419">
        <f>IF(ISNA(MATCH(AC462,R461:R468,0)),0,VLOOKUP(AC462,R461:T468,3,FALSE))</f>
        <v>15.1</v>
      </c>
      <c r="AI462" s="419" t="str">
        <f>IF(ISNA(MATCH(AC462,L461:L468,0)),0,VLOOKUP(AC462,L461:P468,4,FALSE))</f>
        <v>U</v>
      </c>
      <c r="AJ462" s="419" t="str">
        <f>IF(ISNA(MATCH(AC462,R461:R468,0)),0,VLOOKUP(AC462,R461:U468,4,FALSE))</f>
        <v>UU</v>
      </c>
      <c r="AK462" s="32">
        <f t="shared" si="405"/>
        <v>8</v>
      </c>
      <c r="AL462" s="32">
        <f t="shared" si="406"/>
        <v>8</v>
      </c>
      <c r="AM462" s="32">
        <f>IF(ISNA(MATCH(AC462,L461:L468,0)),0,VLOOKUP(AC462,L461:W468,AM$1,FALSE))</f>
        <v>1</v>
      </c>
      <c r="AN462" s="146">
        <f>IF(ISNA(MATCH(AC462,R461:R468,0)),0,VLOOKUP(AC462,R461:W468,AN$1,FALSE))</f>
        <v>1</v>
      </c>
      <c r="AP462" s="927"/>
      <c r="AQ462" s="927"/>
    </row>
    <row r="463" spans="1:47" ht="15.6" x14ac:dyDescent="0.3">
      <c r="A463" s="417">
        <f t="shared" ref="A463:A468" si="407">A462+1</f>
        <v>413</v>
      </c>
      <c r="B463" s="362" t="str">
        <f>'Event Details'!D$24</f>
        <v>G</v>
      </c>
      <c r="C463" s="381" t="str">
        <f>'Event Details'!E$24</f>
        <v>Royal Sutton</v>
      </c>
      <c r="D463" s="379"/>
      <c r="E463" s="378"/>
      <c r="F463" s="363" t="str">
        <f>VLOOKUP($B460,IF($H460="F",TeamSheetFemale,TeamSheetMale),$Y463-1,FALSE)</f>
        <v>G</v>
      </c>
      <c r="G463" s="380" t="str">
        <f>VLOOKUP($B460,IF($H460="F",TeamSheetFemale,TeamSheetMale),$Y463,FALSE)</f>
        <v>Jessica Spiby</v>
      </c>
      <c r="H463" s="363" t="str">
        <f>VLOOKUP($B460,IF($H460="F",TeamSheetFemale,TeamSheetMale),$Y463+1,FALSE)</f>
        <v>GG</v>
      </c>
      <c r="I463" s="364" t="str">
        <f>VLOOKUP($B460,IF($H460="F",TeamSheetFemale,TeamSheetMale),$Y463+2,FALSE)</f>
        <v>Anisia Barton</v>
      </c>
      <c r="K463" s="341" t="s">
        <v>273</v>
      </c>
      <c r="L463" s="16" t="str">
        <f t="shared" si="400"/>
        <v>R</v>
      </c>
      <c r="M463" s="927" t="s">
        <v>118</v>
      </c>
      <c r="N463" s="927">
        <v>13</v>
      </c>
      <c r="O463" s="354" t="str">
        <f>IF(LEN($M463)=1,VLOOKUP(LEFT($M463,1),B461:I468,5,FALSE),IF(LEN($M463)=2,VLOOKUP(LEFT($M463,1),B461:I468,7,FALSE),""))</f>
        <v>R</v>
      </c>
      <c r="P463" s="410" t="str">
        <f>IF(LEN($M463)=1,VLOOKUP(LEFT($M463,1),B461:I468,6,FALSE),IF(LEN($M463)=2,VLOOKUP(LEFT($M463,1),B461:I468,8,FALSE),""))</f>
        <v>Millie-anna Snell</v>
      </c>
      <c r="Q463" s="371" t="s">
        <v>273</v>
      </c>
      <c r="R463" s="146" t="str">
        <f t="shared" si="401"/>
        <v>D</v>
      </c>
      <c r="S463" s="927" t="s">
        <v>513</v>
      </c>
      <c r="T463" s="927">
        <v>13.2</v>
      </c>
      <c r="U463" s="354" t="str">
        <f>IF(LEN($S463)=1,VLOOKUP(LEFT($S463,1),B461:I468,5,FALSE),IF(LEN($S463)=2,VLOOKUP(LEFT($S463,1),B461:I468,7,FALSE),""))</f>
        <v>DD</v>
      </c>
      <c r="V463" s="410" t="str">
        <f>IF(LEN($S463)=1,VLOOKUP(LEFT($S463,1),B461:I468,6,FALSE),IF(LEN($S463)=2,VLOOKUP(LEFT($S463,1),B461:I468,8,FALSE),""))</f>
        <v>Lottie Willis</v>
      </c>
      <c r="W463" s="417">
        <f t="shared" ref="W463:W468" si="408">W462-1</f>
        <v>6</v>
      </c>
      <c r="Y463" s="16">
        <v>17</v>
      </c>
      <c r="Z463" s="16" t="str">
        <f t="shared" si="402"/>
        <v>Rugby</v>
      </c>
      <c r="AA463" s="146" t="str">
        <f t="shared" si="403"/>
        <v>Strat</v>
      </c>
      <c r="AC463" s="16" t="str">
        <f t="shared" si="404"/>
        <v>G</v>
      </c>
      <c r="AD463" s="419" t="str">
        <f t="shared" si="404"/>
        <v>Royal Sutton</v>
      </c>
      <c r="AE463" s="419">
        <f>IF(ISNA(MATCH(AC463,N461:N470,0)),0,VLOOKUP(AC463,N461:S470,5,FALSE))</f>
        <v>0</v>
      </c>
      <c r="AF463" s="419" t="str">
        <f>IF(ISNA(MATCH(AC463,T461:T470,0))," ",VLOOKUP(AC463,T461:Y470,5,FALSE))</f>
        <v xml:space="preserve"> </v>
      </c>
      <c r="AG463" s="419">
        <f>IF(ISNA(MATCH(AC463,L461:L468,0)),0,VLOOKUP(AC463,L461:N468,3,FALSE))</f>
        <v>13.8</v>
      </c>
      <c r="AH463" s="419">
        <f>IF(ISNA(MATCH(AC463,R461:R468,0)),0,VLOOKUP(AC463,R461:T468,3,FALSE))</f>
        <v>14.2</v>
      </c>
      <c r="AI463" s="419" t="str">
        <f>IF(ISNA(MATCH(AC463,L461:L468,0)),0,VLOOKUP(AC463,L461:P468,4,FALSE))</f>
        <v>G</v>
      </c>
      <c r="AJ463" s="419" t="str">
        <f>IF(ISNA(MATCH(AC463,R461:R468,0)),0,VLOOKUP(AC463,R461:U468,4,FALSE))</f>
        <v>GG</v>
      </c>
      <c r="AK463" s="32">
        <f t="shared" si="405"/>
        <v>7</v>
      </c>
      <c r="AL463" s="32">
        <f t="shared" si="406"/>
        <v>5</v>
      </c>
      <c r="AM463" s="32">
        <f>IF(ISNA(MATCH(AC463,L461:L468,0)),0,VLOOKUP(AC463,L461:W468,AM$1,FALSE))</f>
        <v>2</v>
      </c>
      <c r="AN463" s="146">
        <f>IF(ISNA(MATCH(AC463,R461:R468,0)),0,VLOOKUP(AC463,R461:W468,AN$1,FALSE))</f>
        <v>4</v>
      </c>
      <c r="AP463" s="927"/>
      <c r="AQ463" s="927"/>
    </row>
    <row r="464" spans="1:47" ht="15.6" x14ac:dyDescent="0.3">
      <c r="A464" s="417">
        <f t="shared" si="407"/>
        <v>414</v>
      </c>
      <c r="B464" s="362" t="str">
        <f>'Event Details'!D$25</f>
        <v>R</v>
      </c>
      <c r="C464" s="381" t="str">
        <f>'Event Details'!E$25</f>
        <v>Rugby &amp; N'hampton</v>
      </c>
      <c r="D464" s="379"/>
      <c r="E464" s="378"/>
      <c r="F464" s="363" t="str">
        <f>VLOOKUP($B460,IF($H460="F",TeamSheetFemale,TeamSheetMale),$Y464-1,FALSE)</f>
        <v>R</v>
      </c>
      <c r="G464" s="380" t="str">
        <f>VLOOKUP($B460,IF($H460="F",TeamSheetFemale,TeamSheetMale),$Y464,FALSE)</f>
        <v>Millie-anna Snell</v>
      </c>
      <c r="H464" s="363" t="str">
        <f>VLOOKUP($B460,IF($H460="F",TeamSheetFemale,TeamSheetMale),$Y464+1,FALSE)</f>
        <v>RR</v>
      </c>
      <c r="I464" s="364" t="str">
        <f>VLOOKUP($B460,IF($H460="F",TeamSheetFemale,TeamSheetMale),$Y464+2,FALSE)</f>
        <v>Martha Kerr</v>
      </c>
      <c r="K464" s="341" t="s">
        <v>274</v>
      </c>
      <c r="L464" s="16" t="str">
        <f t="shared" si="400"/>
        <v>D</v>
      </c>
      <c r="M464" s="927" t="s">
        <v>136</v>
      </c>
      <c r="N464" s="927">
        <v>13.1</v>
      </c>
      <c r="O464" s="354" t="str">
        <f>IF(LEN($M464)=1,VLOOKUP(LEFT($M464,1),B461:I468,5,FALSE),IF(LEN($M464)=2,VLOOKUP(LEFT($M464,1),B461:I468,7,FALSE),""))</f>
        <v>D</v>
      </c>
      <c r="P464" s="410" t="str">
        <f>IF(LEN($M464)=1,VLOOKUP(LEFT($M464,1),B461:I468,6,FALSE),IF(LEN($M464)=2,VLOOKUP(LEFT($M464,1),B461:I468,8,FALSE),""))</f>
        <v xml:space="preserve">Niamh Williams </v>
      </c>
      <c r="Q464" s="371" t="s">
        <v>274</v>
      </c>
      <c r="R464" s="146" t="str">
        <f t="shared" si="401"/>
        <v>M</v>
      </c>
      <c r="S464" s="927" t="s">
        <v>821</v>
      </c>
      <c r="T464" s="927">
        <v>13.4</v>
      </c>
      <c r="U464" s="354" t="str">
        <f>IF(LEN($S464)=1,VLOOKUP(LEFT($S464,1),B461:I468,5,FALSE),IF(LEN($S464)=2,VLOOKUP(LEFT($S464,1),B461:I468,7,FALSE),""))</f>
        <v>MM</v>
      </c>
      <c r="V464" s="410" t="str">
        <f>IF(LEN($S464)=1,VLOOKUP(LEFT($S464,1),B461:I468,6,FALSE),IF(LEN($S464)=2,VLOOKUP(LEFT($S464,1),B461:I468,8,FALSE),""))</f>
        <v>Gabrielle Blake</v>
      </c>
      <c r="W464" s="417">
        <f t="shared" si="408"/>
        <v>5</v>
      </c>
      <c r="Y464" s="16">
        <v>22</v>
      </c>
      <c r="Z464" s="16" t="str">
        <f t="shared" si="402"/>
        <v>Strat</v>
      </c>
      <c r="AA464" s="146" t="str">
        <f t="shared" si="403"/>
        <v>Sol</v>
      </c>
      <c r="AC464" s="16" t="str">
        <f t="shared" si="404"/>
        <v>R</v>
      </c>
      <c r="AD464" s="419" t="str">
        <f t="shared" si="404"/>
        <v>Rugby &amp; N'hampton</v>
      </c>
      <c r="AE464" s="419">
        <f>IF(ISNA(MATCH(AC464,N461:N470,0)),0,VLOOKUP(AC464,N461:S470,5,FALSE))</f>
        <v>0</v>
      </c>
      <c r="AF464" s="419" t="str">
        <f>IF(ISNA(MATCH(AC464,T461:T470,0))," ",VLOOKUP(AC464,T461:Y470,5,FALSE))</f>
        <v xml:space="preserve"> </v>
      </c>
      <c r="AG464" s="419">
        <f>IF(ISNA(MATCH(AC464,L461:L468,0)),0,VLOOKUP(AC464,L461:N468,3,FALSE))</f>
        <v>13</v>
      </c>
      <c r="AH464" s="419">
        <f>IF(ISNA(MATCH(AC464,R461:R468,0)),0,VLOOKUP(AC464,R461:T468,3,FALSE))</f>
        <v>14.5</v>
      </c>
      <c r="AI464" s="419" t="str">
        <f>IF(ISNA(MATCH(AC464,L461:L468,0)),0,VLOOKUP(AC464,L461:P468,4,FALSE))</f>
        <v>R</v>
      </c>
      <c r="AJ464" s="419" t="str">
        <f>IF(ISNA(MATCH(AC464,R461:R468,0)),0,VLOOKUP(AC464,R461:U468,4,FALSE))</f>
        <v>RR</v>
      </c>
      <c r="AK464" s="32">
        <f t="shared" si="405"/>
        <v>3</v>
      </c>
      <c r="AL464" s="32">
        <f t="shared" si="406"/>
        <v>6</v>
      </c>
      <c r="AM464" s="32">
        <f>IF(ISNA(MATCH(AC464,L461:L468,0)),0,VLOOKUP(AC464,L461:W468,AM$1,FALSE))</f>
        <v>6</v>
      </c>
      <c r="AN464" s="146">
        <f>IF(ISNA(MATCH(AC464,R461:R468,0)),0,VLOOKUP(AC464,R461:W468,AN$1,FALSE))</f>
        <v>3</v>
      </c>
      <c r="AP464" s="927"/>
      <c r="AQ464" s="927"/>
    </row>
    <row r="465" spans="1:47" ht="15.6" x14ac:dyDescent="0.3">
      <c r="A465" s="417">
        <f t="shared" si="407"/>
        <v>415</v>
      </c>
      <c r="B465" s="362" t="str">
        <f>'Event Details'!D$26</f>
        <v>M</v>
      </c>
      <c r="C465" s="381" t="str">
        <f>'Event Details'!E$26</f>
        <v>Solihull &amp; S.Heath</v>
      </c>
      <c r="D465" s="379"/>
      <c r="E465" s="378"/>
      <c r="F465" s="363" t="str">
        <f>VLOOKUP($B460,IF($H460="F",TeamSheetFemale,TeamSheetMale),$Y465-1,FALSE)</f>
        <v>M</v>
      </c>
      <c r="G465" s="380" t="str">
        <f>VLOOKUP($B460,IF($H460="F",TeamSheetFemale,TeamSheetMale),$Y465,FALSE)</f>
        <v>Alisa Preston</v>
      </c>
      <c r="H465" s="363" t="str">
        <f>VLOOKUP($B460,IF($H460="F",TeamSheetFemale,TeamSheetMale),$Y465+1,FALSE)</f>
        <v>MM</v>
      </c>
      <c r="I465" s="364" t="str">
        <f>VLOOKUP($B460,IF($H460="F",TeamSheetFemale,TeamSheetMale),$Y465+2,FALSE)</f>
        <v>Gabrielle Blake</v>
      </c>
      <c r="K465" s="341" t="s">
        <v>275</v>
      </c>
      <c r="L465" s="16" t="str">
        <f t="shared" si="400"/>
        <v>F</v>
      </c>
      <c r="M465" s="927" t="s">
        <v>142</v>
      </c>
      <c r="N465" s="927">
        <v>13.2</v>
      </c>
      <c r="O465" s="354" t="str">
        <f>IF(LEN($M465)=1,VLOOKUP(LEFT($M465,1),B461:I468,5,FALSE),IF(LEN($M465)=2,VLOOKUP(LEFT($M465,1),B461:I468,7,FALSE),""))</f>
        <v>F</v>
      </c>
      <c r="P465" s="410" t="str">
        <f>IF(LEN($M465)=1,VLOOKUP(LEFT($M465,1),B461:I468,6,FALSE),IF(LEN($M465)=2,VLOOKUP(LEFT($M465,1),B461:I468,8,FALSE),""))</f>
        <v>Brodie Horler</v>
      </c>
      <c r="Q465" s="371" t="s">
        <v>275</v>
      </c>
      <c r="R465" s="146" t="str">
        <f t="shared" si="401"/>
        <v>G</v>
      </c>
      <c r="S465" s="927" t="s">
        <v>820</v>
      </c>
      <c r="T465" s="927">
        <v>14.2</v>
      </c>
      <c r="U465" s="354" t="str">
        <f>IF(LEN($S465)=1,VLOOKUP(LEFT($S465,1),B461:I468,5,FALSE),IF(LEN($S465)=2,VLOOKUP(LEFT($S465,1),B461:I468,7,FALSE),""))</f>
        <v>GG</v>
      </c>
      <c r="V465" s="410" t="str">
        <f>IF(LEN($S465)=1,VLOOKUP(LEFT($S465,1),B461:I468,6,FALSE),IF(LEN($S465)=2,VLOOKUP(LEFT($S465,1),B461:I468,8,FALSE),""))</f>
        <v>Anisia Barton</v>
      </c>
      <c r="W465" s="417">
        <f t="shared" si="408"/>
        <v>4</v>
      </c>
      <c r="Y465" s="16">
        <v>27</v>
      </c>
      <c r="Z465" s="16" t="str">
        <f t="shared" si="402"/>
        <v>Tam</v>
      </c>
      <c r="AA465" s="146" t="str">
        <f t="shared" si="403"/>
        <v>Royal</v>
      </c>
      <c r="AC465" s="16" t="str">
        <f t="shared" si="404"/>
        <v>M</v>
      </c>
      <c r="AD465" s="419" t="str">
        <f t="shared" si="404"/>
        <v>Solihull &amp; S.Heath</v>
      </c>
      <c r="AE465" s="419">
        <f>IF(ISNA(MATCH(AC465,N461:N470,0)),0,VLOOKUP(AC465,N461:S470,5,FALSE))</f>
        <v>0</v>
      </c>
      <c r="AF465" s="419" t="str">
        <f>IF(ISNA(MATCH(AC465,T461:T470,0))," ",VLOOKUP(AC465,T461:Y470,5,FALSE))</f>
        <v xml:space="preserve"> </v>
      </c>
      <c r="AG465" s="419">
        <f>IF(ISNA(MATCH(AC465,L461:L468,0)),0,VLOOKUP(AC465,L461:N468,3,FALSE))</f>
        <v>13.6</v>
      </c>
      <c r="AH465" s="419">
        <f>IF(ISNA(MATCH(AC465,R461:R468,0)),0,VLOOKUP(AC465,R461:T468,3,FALSE))</f>
        <v>13.4</v>
      </c>
      <c r="AI465" s="419" t="str">
        <f>IF(ISNA(MATCH(AC465,L461:L468,0)),0,VLOOKUP(AC465,L461:P468,4,FALSE))</f>
        <v>M</v>
      </c>
      <c r="AJ465" s="419" t="str">
        <f>IF(ISNA(MATCH(AC465,R461:R468,0)),0,VLOOKUP(AC465,R461:U468,4,FALSE))</f>
        <v>MM</v>
      </c>
      <c r="AK465" s="32">
        <f t="shared" si="405"/>
        <v>6</v>
      </c>
      <c r="AL465" s="32">
        <f t="shared" si="406"/>
        <v>4</v>
      </c>
      <c r="AM465" s="32">
        <f>IF(ISNA(MATCH(AC465,L461:L468,0)),0,VLOOKUP(AC465,L461:W468,AM$1,FALSE))</f>
        <v>3</v>
      </c>
      <c r="AN465" s="146">
        <f>IF(ISNA(MATCH(AC465,R461:R468,0)),0,VLOOKUP(AC465,R461:W468,AN$1,FALSE))</f>
        <v>5</v>
      </c>
      <c r="AP465" s="927"/>
      <c r="AQ465" s="927"/>
    </row>
    <row r="466" spans="1:47" ht="15.6" x14ac:dyDescent="0.3">
      <c r="A466" s="417">
        <f t="shared" si="407"/>
        <v>416</v>
      </c>
      <c r="B466" s="362" t="str">
        <f>'Event Details'!D$27</f>
        <v>D</v>
      </c>
      <c r="C466" s="381" t="str">
        <f>'Event Details'!E$27</f>
        <v>Stratford</v>
      </c>
      <c r="D466" s="379"/>
      <c r="E466" s="378"/>
      <c r="F466" s="363" t="str">
        <f>VLOOKUP($B460,IF($H460="F",TeamSheetFemale,TeamSheetMale),$Y466-1,FALSE)</f>
        <v>D</v>
      </c>
      <c r="G466" s="380" t="str">
        <f>VLOOKUP($B460,IF($H460="F",TeamSheetFemale,TeamSheetMale),$Y466,FALSE)</f>
        <v xml:space="preserve">Niamh Williams </v>
      </c>
      <c r="H466" s="363" t="str">
        <f>VLOOKUP($B460,IF($H460="F",TeamSheetFemale,TeamSheetMale),$Y466+1,FALSE)</f>
        <v>DD</v>
      </c>
      <c r="I466" s="364" t="str">
        <f>VLOOKUP($B460,IF($H460="F",TeamSheetFemale,TeamSheetMale),$Y466+2,FALSE)</f>
        <v>Lottie Willis</v>
      </c>
      <c r="K466" s="341" t="s">
        <v>276</v>
      </c>
      <c r="L466" s="16" t="str">
        <f t="shared" si="400"/>
        <v>M</v>
      </c>
      <c r="M466" s="927" t="s">
        <v>127</v>
      </c>
      <c r="N466" s="927">
        <v>13.6</v>
      </c>
      <c r="O466" s="354" t="str">
        <f>IF(LEN($M466)=1,VLOOKUP(LEFT($M466,1),B461:I468,5,FALSE),IF(LEN($M466)=2,VLOOKUP(LEFT($M466,1),B461:I468,7,FALSE),""))</f>
        <v>M</v>
      </c>
      <c r="P466" s="410" t="str">
        <f>IF(LEN($M466)=1,VLOOKUP(LEFT($M466,1),B461:I468,6,FALSE),IF(LEN($M466)=2,VLOOKUP(LEFT($M466,1),B461:I468,8,FALSE),""))</f>
        <v>Alisa Preston</v>
      </c>
      <c r="Q466" s="371" t="s">
        <v>276</v>
      </c>
      <c r="R466" s="146" t="str">
        <f t="shared" si="401"/>
        <v>R</v>
      </c>
      <c r="S466" s="927" t="s">
        <v>819</v>
      </c>
      <c r="T466" s="927">
        <v>14.5</v>
      </c>
      <c r="U466" s="354" t="str">
        <f>IF(LEN($S466)=1,VLOOKUP(LEFT($S466,1),B461:I468,5,FALSE),IF(LEN($S466)=2,VLOOKUP(LEFT($S466,1),B461:I468,7,FALSE),""))</f>
        <v>RR</v>
      </c>
      <c r="V466" s="410" t="str">
        <f>IF(LEN($S466)=1,VLOOKUP(LEFT($S466,1),B461:I468,6,FALSE),IF(LEN($S466)=2,VLOOKUP(LEFT($S466,1),B461:I468,8,FALSE),""))</f>
        <v>Martha Kerr</v>
      </c>
      <c r="W466" s="417">
        <f t="shared" si="408"/>
        <v>3</v>
      </c>
      <c r="Y466" s="16">
        <v>32</v>
      </c>
      <c r="Z466" s="16" t="str">
        <f t="shared" si="402"/>
        <v>Sol</v>
      </c>
      <c r="AA466" s="146" t="str">
        <f t="shared" si="403"/>
        <v>Rugby</v>
      </c>
      <c r="AC466" s="16" t="str">
        <f t="shared" si="404"/>
        <v>D</v>
      </c>
      <c r="AD466" s="419" t="str">
        <f t="shared" si="404"/>
        <v>Stratford</v>
      </c>
      <c r="AE466" s="419">
        <f>IF(ISNA(MATCH(AC466,N461:N470,0)),0,VLOOKUP(AC466,N461:S470,5,FALSE))</f>
        <v>0</v>
      </c>
      <c r="AF466" s="419" t="str">
        <f>IF(ISNA(MATCH(AC466,T461:T470,0))," ",VLOOKUP(AC466,T461:Y470,5,FALSE))</f>
        <v xml:space="preserve"> </v>
      </c>
      <c r="AG466" s="419">
        <f>IF(ISNA(MATCH(AC466,L461:L468,0)),0,VLOOKUP(AC466,L461:N468,3,FALSE))</f>
        <v>13.1</v>
      </c>
      <c r="AH466" s="419">
        <f>IF(ISNA(MATCH(AC466,R461:R468,0)),0,VLOOKUP(AC466,R461:T468,3,FALSE))</f>
        <v>13.2</v>
      </c>
      <c r="AI466" s="419" t="str">
        <f>IF(ISNA(MATCH(AC466,L461:L468,0)),0,VLOOKUP(AC466,L461:P468,4,FALSE))</f>
        <v>D</v>
      </c>
      <c r="AJ466" s="419" t="str">
        <f>IF(ISNA(MATCH(AC466,R461:R468,0)),0,VLOOKUP(AC466,R461:U468,4,FALSE))</f>
        <v>DD</v>
      </c>
      <c r="AK466" s="32">
        <f t="shared" si="405"/>
        <v>4</v>
      </c>
      <c r="AL466" s="32">
        <f t="shared" si="406"/>
        <v>3</v>
      </c>
      <c r="AM466" s="32">
        <f>IF(ISNA(MATCH(AC466,L461:L468,0)),0,VLOOKUP(AC466,L461:W468,AM$1,FALSE))</f>
        <v>5</v>
      </c>
      <c r="AN466" s="146">
        <f>IF(ISNA(MATCH(AC466,R461:R468,0)),0,VLOOKUP(AC466,R461:W468,AN$1,FALSE))</f>
        <v>6</v>
      </c>
      <c r="AP466" s="927"/>
      <c r="AQ466" s="927"/>
    </row>
    <row r="467" spans="1:47" ht="15.6" x14ac:dyDescent="0.3">
      <c r="A467" s="417">
        <f t="shared" si="407"/>
        <v>417</v>
      </c>
      <c r="B467" s="362" t="str">
        <f>'Event Details'!D$28</f>
        <v>F</v>
      </c>
      <c r="C467" s="381" t="str">
        <f>'Event Details'!E$28</f>
        <v>Tamworth</v>
      </c>
      <c r="D467" s="379"/>
      <c r="E467" s="378"/>
      <c r="F467" s="363" t="str">
        <f>VLOOKUP($B460,IF($H460="F",TeamSheetFemale,TeamSheetMale),$Y467-1,FALSE)</f>
        <v>F</v>
      </c>
      <c r="G467" s="380" t="str">
        <f>VLOOKUP($B460,IF($H460="F",TeamSheetFemale,TeamSheetMale),$Y467,FALSE)</f>
        <v>Brodie Horler</v>
      </c>
      <c r="H467" s="363" t="str">
        <f>VLOOKUP($B460,IF($H460="F",TeamSheetFemale,TeamSheetMale),$Y467+1,FALSE)</f>
        <v>FF</v>
      </c>
      <c r="I467" s="364" t="str">
        <f>VLOOKUP($B460,IF($H460="F",TeamSheetFemale,TeamSheetMale),$Y467+2,FALSE)</f>
        <v>Emily Webb</v>
      </c>
      <c r="K467" s="341" t="s">
        <v>277</v>
      </c>
      <c r="L467" s="16" t="str">
        <f t="shared" si="400"/>
        <v>G</v>
      </c>
      <c r="M467" s="927" t="s">
        <v>110</v>
      </c>
      <c r="N467" s="927">
        <v>13.8</v>
      </c>
      <c r="O467" s="354" t="str">
        <f>IF(LEN($M467)=1,VLOOKUP(LEFT($M467,1),B461:I468,5,FALSE),IF(LEN($M467)=2,VLOOKUP(LEFT($M467,1),B461:I468,7,FALSE),""))</f>
        <v>G</v>
      </c>
      <c r="P467" s="410" t="str">
        <f>IF(LEN($M467)=1,VLOOKUP(LEFT($M467,1),B461:I468,6,FALSE),IF(LEN($M467)=2,VLOOKUP(LEFT($M467,1),B461:I468,8,FALSE),""))</f>
        <v>Jessica Spiby</v>
      </c>
      <c r="Q467" s="371" t="s">
        <v>277</v>
      </c>
      <c r="R467" s="146" t="str">
        <f t="shared" si="401"/>
        <v>Y</v>
      </c>
      <c r="S467" s="927" t="s">
        <v>822</v>
      </c>
      <c r="T467" s="927">
        <v>14.6</v>
      </c>
      <c r="U467" s="354" t="str">
        <f>IF(LEN($S467)=1,VLOOKUP(LEFT($S467,1),B461:I468,5,FALSE),IF(LEN($S467)=2,VLOOKUP(LEFT($S467,1),B461:I468,7,FALSE),""))</f>
        <v>YY</v>
      </c>
      <c r="V467" s="410" t="str">
        <f>IF(LEN($S467)=1,VLOOKUP(LEFT($S467,1),B461:I468,6,FALSE),IF(LEN($S467)=2,VLOOKUP(LEFT($S467,1),B461:I468,8,FALSE),""))</f>
        <v>Penelope Cale</v>
      </c>
      <c r="W467" s="417">
        <f t="shared" si="408"/>
        <v>2</v>
      </c>
      <c r="Y467" s="16">
        <v>37</v>
      </c>
      <c r="Z467" s="16" t="str">
        <f t="shared" si="402"/>
        <v>Royal</v>
      </c>
      <c r="AA467" s="146" t="str">
        <f t="shared" si="403"/>
        <v>Worc</v>
      </c>
      <c r="AC467" s="16" t="str">
        <f t="shared" si="404"/>
        <v>F</v>
      </c>
      <c r="AD467" s="419" t="str">
        <f t="shared" si="404"/>
        <v>Tamworth</v>
      </c>
      <c r="AE467" s="419">
        <f>IF(ISNA(MATCH(AC467,N459:N468,0)),0,VLOOKUP(AC467,N459:S468,5,FALSE))</f>
        <v>0</v>
      </c>
      <c r="AF467" s="419" t="str">
        <f>IF(ISNA(MATCH(AC467,T459:T468,0))," ",VLOOKUP(AC467,T459:Y468,5,FALSE))</f>
        <v xml:space="preserve"> </v>
      </c>
      <c r="AG467" s="419">
        <f>IF(ISNA(MATCH(AC467,L461:L468,0)),0,VLOOKUP(AC467,L461:N468,3,FALSE))</f>
        <v>13.2</v>
      </c>
      <c r="AH467" s="419">
        <f>IF(ISNA(MATCH(AC467,R461:R468,0)),0,VLOOKUP(AC467,R461:T468,3,FALSE))</f>
        <v>13.2</v>
      </c>
      <c r="AI467" s="419" t="str">
        <f>IF(ISNA(MATCH(AC467,L461:L468,0)),0,VLOOKUP(AC467,L461:P468,4,FALSE))</f>
        <v>F</v>
      </c>
      <c r="AJ467" s="419" t="str">
        <f>IF(ISNA(MATCH(AC467,R461:R468,0)),0,VLOOKUP(AC467,R461:U468,4,FALSE))</f>
        <v>FF</v>
      </c>
      <c r="AK467" s="32">
        <f t="shared" si="405"/>
        <v>5</v>
      </c>
      <c r="AL467" s="32">
        <f t="shared" si="406"/>
        <v>2</v>
      </c>
      <c r="AM467" s="32">
        <f>IF(ISNA(MATCH(AC467,L461:L468,0)),0,VLOOKUP(AC467,L461:W468,AM$1,FALSE))</f>
        <v>4</v>
      </c>
      <c r="AN467" s="146">
        <f>IF(ISNA(MATCH(AC467,R461:R468,0)),0,VLOOKUP(AC467,R461:W468,AN$1,FALSE))</f>
        <v>7</v>
      </c>
      <c r="AP467" s="927"/>
      <c r="AQ467" s="927"/>
    </row>
    <row r="468" spans="1:47" ht="16.2" thickBot="1" x14ac:dyDescent="0.35">
      <c r="A468" s="418">
        <f t="shared" si="407"/>
        <v>418</v>
      </c>
      <c r="B468" s="365" t="str">
        <f>'Event Details'!D$29</f>
        <v>Y</v>
      </c>
      <c r="C468" s="366" t="str">
        <f>'Event Details'!E$29</f>
        <v>Worcester</v>
      </c>
      <c r="D468" s="361"/>
      <c r="E468" s="370"/>
      <c r="F468" s="367" t="str">
        <f>VLOOKUP($B460,IF($H460="F",TeamSheetFemale,TeamSheetMale),$Y468-1,FALSE)</f>
        <v>Y</v>
      </c>
      <c r="G468" s="368" t="str">
        <f>VLOOKUP($B460,IF($H460="F",TeamSheetFemale,TeamSheetMale),$Y468,FALSE)</f>
        <v>Harriett Carey</v>
      </c>
      <c r="H468" s="367" t="str">
        <f>VLOOKUP($B460,IF($H460="F",TeamSheetFemale,TeamSheetMale),$Y468+1,FALSE)</f>
        <v>YY</v>
      </c>
      <c r="I468" s="369" t="str">
        <f>VLOOKUP($B460,IF($H460="F",TeamSheetFemale,TeamSheetMale),$Y468+2,FALSE)</f>
        <v>Penelope Cale</v>
      </c>
      <c r="K468" s="346" t="s">
        <v>278</v>
      </c>
      <c r="L468" s="25" t="str">
        <f t="shared" si="400"/>
        <v>U</v>
      </c>
      <c r="M468" s="928" t="s">
        <v>130</v>
      </c>
      <c r="N468" s="932">
        <v>14.2</v>
      </c>
      <c r="O468" s="374" t="str">
        <f>IF(LEN($M468)=1,VLOOKUP(LEFT($M468,1),B461:I468,5,FALSE),IF(LEN($M468)=2,VLOOKUP(LEFT($M468,1),B461:I468,7,FALSE),""))</f>
        <v>U</v>
      </c>
      <c r="P468" s="411" t="str">
        <f>IF(LEN($M468)=1,VLOOKUP(LEFT($M468,1),B461:I468,6,FALSE),IF(LEN($M468)=2,VLOOKUP(LEFT($M468,1),B461:I468,8,FALSE),""))</f>
        <v>Sophia Llewellyn</v>
      </c>
      <c r="Q468" s="407" t="s">
        <v>278</v>
      </c>
      <c r="R468" s="523" t="str">
        <f t="shared" si="401"/>
        <v>U</v>
      </c>
      <c r="S468" s="928" t="s">
        <v>726</v>
      </c>
      <c r="T468" s="932">
        <v>15.1</v>
      </c>
      <c r="U468" s="374" t="str">
        <f>IF(LEN($S468)=1,VLOOKUP(LEFT($S468,1),B461:I468,5,FALSE),IF(LEN($S468)=2,VLOOKUP(LEFT($S468,1),B461:I468,7,FALSE),""))</f>
        <v>UU</v>
      </c>
      <c r="V468" s="411" t="str">
        <f>IF(LEN($S468)=1,VLOOKUP(LEFT($S468,1),B461:I468,6,FALSE),IF(LEN($S468)=2,VLOOKUP(LEFT($S468,1),B461:I468,8,FALSE),""))</f>
        <v>Florence Aspinall</v>
      </c>
      <c r="W468" s="418">
        <f t="shared" si="408"/>
        <v>1</v>
      </c>
      <c r="Y468" s="25">
        <v>42</v>
      </c>
      <c r="Z468" s="25" t="str">
        <f t="shared" si="402"/>
        <v>K&amp;S</v>
      </c>
      <c r="AA468" s="523" t="str">
        <f t="shared" si="403"/>
        <v>K&amp;S</v>
      </c>
      <c r="AC468" s="25" t="str">
        <f t="shared" si="404"/>
        <v>Y</v>
      </c>
      <c r="AD468" s="624" t="str">
        <f t="shared" si="404"/>
        <v>Worcester</v>
      </c>
      <c r="AE468" s="624">
        <f>IF(ISNA(MATCH(AC468,N460:N469,0)),0,VLOOKUP(AC468,N460:S469,5,FALSE))</f>
        <v>0</v>
      </c>
      <c r="AF468" s="624" t="str">
        <f t="shared" ref="AF468" si="409">IF(ISNA(MATCH(AC468,T460:T469,0))," ",VLOOKUP(AC468,T460:Y469,5,FALSE))</f>
        <v xml:space="preserve"> </v>
      </c>
      <c r="AG468" s="624">
        <f>IF(ISNA(MATCH(AC468,L461:L468,0)),0,VLOOKUP(AC468,L461:N468,3,FALSE))</f>
        <v>13</v>
      </c>
      <c r="AH468" s="624">
        <f>IF(ISNA(MATCH(AC468,R461:R468,0)),0,VLOOKUP(AC468,R461:T468,3,FALSE))</f>
        <v>14.6</v>
      </c>
      <c r="AI468" s="624" t="str">
        <f>IF(ISNA(MATCH(AC468,L461:L468,0)),0,VLOOKUP(AC468,L461:P468,4,FALSE))</f>
        <v>Y</v>
      </c>
      <c r="AJ468" s="624" t="str">
        <f>IF(ISNA(MATCH(AC468,R461:R468,0)),0,VLOOKUP(AC468,R461:U468,4,FALSE))</f>
        <v>YY</v>
      </c>
      <c r="AK468" s="116">
        <f t="shared" si="405"/>
        <v>2</v>
      </c>
      <c r="AL468" s="116">
        <f t="shared" si="406"/>
        <v>7</v>
      </c>
      <c r="AM468" s="116">
        <f>IF(ISNA(MATCH(AC468,L461:L468,0)),0,VLOOKUP(AC468,L461:W468,AM$1,FALSE))</f>
        <v>7</v>
      </c>
      <c r="AN468" s="523">
        <f>IF(ISNA(MATCH(AC468,R461:R468,0)),0,VLOOKUP(AC468,R461:W468,AN$1,FALSE))</f>
        <v>2</v>
      </c>
      <c r="AP468" s="928"/>
      <c r="AQ468" s="932"/>
    </row>
    <row r="469" spans="1:47" ht="15" thickBot="1" x14ac:dyDescent="0.35">
      <c r="M469" s="276"/>
      <c r="N469" s="307"/>
      <c r="S469" s="276"/>
      <c r="T469" s="307"/>
      <c r="AP469" s="276"/>
      <c r="AQ469" s="307"/>
    </row>
    <row r="470" spans="1:47" x14ac:dyDescent="0.3">
      <c r="B470" s="400" t="s">
        <v>258</v>
      </c>
      <c r="C470" s="398"/>
      <c r="D470" s="401" t="s">
        <v>165</v>
      </c>
      <c r="E470" s="398"/>
      <c r="F470" s="398"/>
      <c r="G470" s="402" t="s">
        <v>259</v>
      </c>
      <c r="H470" s="403" t="s">
        <v>249</v>
      </c>
      <c r="I470" s="404" t="s">
        <v>168</v>
      </c>
      <c r="K470" s="360"/>
      <c r="L470" s="661"/>
      <c r="M470" s="929" t="s">
        <v>260</v>
      </c>
      <c r="N470" s="929" t="s">
        <v>261</v>
      </c>
      <c r="O470" s="387" t="s">
        <v>262</v>
      </c>
      <c r="P470" s="388" t="s">
        <v>75</v>
      </c>
      <c r="Q470" s="389"/>
      <c r="R470" s="657"/>
      <c r="S470" s="929" t="s">
        <v>260</v>
      </c>
      <c r="T470" s="929" t="s">
        <v>261</v>
      </c>
      <c r="U470" s="387" t="s">
        <v>262</v>
      </c>
      <c r="V470" s="388" t="s">
        <v>75</v>
      </c>
      <c r="W470" s="672" t="s">
        <v>76</v>
      </c>
      <c r="Y470" s="414" t="s">
        <v>263</v>
      </c>
      <c r="Z470" s="656" t="s">
        <v>74</v>
      </c>
      <c r="AA470" s="657" t="s">
        <v>75</v>
      </c>
      <c r="AC470" s="665" t="s">
        <v>71</v>
      </c>
      <c r="AD470" s="657" t="s">
        <v>86</v>
      </c>
      <c r="AE470" s="661" t="s">
        <v>149</v>
      </c>
      <c r="AF470" s="661" t="s">
        <v>94</v>
      </c>
      <c r="AG470" s="661" t="s">
        <v>149</v>
      </c>
      <c r="AH470" s="661" t="s">
        <v>94</v>
      </c>
      <c r="AI470" s="661" t="s">
        <v>149</v>
      </c>
      <c r="AJ470" s="661" t="s">
        <v>94</v>
      </c>
      <c r="AK470" s="1332" t="s">
        <v>149</v>
      </c>
      <c r="AL470" s="661" t="s">
        <v>94</v>
      </c>
      <c r="AM470" s="1406" t="s">
        <v>76</v>
      </c>
      <c r="AN470" s="1407"/>
      <c r="AP470" s="929" t="s">
        <v>260</v>
      </c>
      <c r="AQ470" s="929" t="s">
        <v>261</v>
      </c>
      <c r="AS470" s="1218" t="s">
        <v>165</v>
      </c>
      <c r="AT470" s="1219" t="s">
        <v>79</v>
      </c>
      <c r="AU470" s="1220" t="s">
        <v>80</v>
      </c>
    </row>
    <row r="471" spans="1:47" ht="15" thickBot="1" x14ac:dyDescent="0.35">
      <c r="B471" s="405">
        <v>42</v>
      </c>
      <c r="C471" s="399"/>
      <c r="D471" s="385" t="str">
        <f>VLOOKUP($B471,EventOrder,6,FALSE)</f>
        <v xml:space="preserve">100m (U18/U20) </v>
      </c>
      <c r="E471" s="399"/>
      <c r="F471" s="385"/>
      <c r="G471" s="386" t="str">
        <f>VLOOKUP($B471,EventOrder,4,FALSE)</f>
        <v>U18 Female</v>
      </c>
      <c r="H471" s="396" t="str">
        <f>IF(MID(G471,5,1)="F","F","M")</f>
        <v>F</v>
      </c>
      <c r="I471" s="397">
        <f>VLOOKUP($B471,EventOrder,2,FALSE)</f>
        <v>2.2999999999999998</v>
      </c>
      <c r="K471" s="377"/>
      <c r="L471" s="667" t="s">
        <v>149</v>
      </c>
      <c r="M471" s="930" t="s">
        <v>264</v>
      </c>
      <c r="N471" s="930" t="s">
        <v>265</v>
      </c>
      <c r="O471" s="390" t="s">
        <v>266</v>
      </c>
      <c r="P471" s="391"/>
      <c r="Q471" s="392"/>
      <c r="R471" s="659" t="s">
        <v>94</v>
      </c>
      <c r="S471" s="930" t="s">
        <v>264</v>
      </c>
      <c r="T471" s="930" t="s">
        <v>265</v>
      </c>
      <c r="U471" s="390" t="s">
        <v>266</v>
      </c>
      <c r="V471" s="391"/>
      <c r="W471" s="671"/>
      <c r="Y471" s="415" t="s">
        <v>167</v>
      </c>
      <c r="Z471" s="658" t="s">
        <v>149</v>
      </c>
      <c r="AA471" s="659" t="s">
        <v>94</v>
      </c>
      <c r="AC471" s="666"/>
      <c r="AD471" s="668"/>
      <c r="AE471" s="768" t="s">
        <v>75</v>
      </c>
      <c r="AF471" s="768" t="s">
        <v>75</v>
      </c>
      <c r="AG471" s="768" t="s">
        <v>267</v>
      </c>
      <c r="AH471" s="768" t="s">
        <v>267</v>
      </c>
      <c r="AI471" s="768" t="s">
        <v>268</v>
      </c>
      <c r="AJ471" s="768" t="s">
        <v>268</v>
      </c>
      <c r="AK471" s="770" t="s">
        <v>269</v>
      </c>
      <c r="AL471" s="768" t="s">
        <v>269</v>
      </c>
      <c r="AM471" s="667" t="s">
        <v>149</v>
      </c>
      <c r="AN471" s="659" t="s">
        <v>94</v>
      </c>
      <c r="AP471" s="930" t="s">
        <v>264</v>
      </c>
      <c r="AQ471" s="930" t="s">
        <v>265</v>
      </c>
      <c r="AS471" s="1221" t="s">
        <v>270</v>
      </c>
      <c r="AT471" s="1222" t="s">
        <v>270</v>
      </c>
      <c r="AU471" s="1223" t="s">
        <v>270</v>
      </c>
    </row>
    <row r="472" spans="1:47" ht="15.6" x14ac:dyDescent="0.3">
      <c r="A472" s="416">
        <f>(B471*10)+1</f>
        <v>421</v>
      </c>
      <c r="B472" s="362" t="str">
        <f>'Event Details'!D$22</f>
        <v>S</v>
      </c>
      <c r="C472" s="381" t="str">
        <f>'Event Details'!E$22</f>
        <v>BRAT</v>
      </c>
      <c r="D472" s="379"/>
      <c r="E472" s="378"/>
      <c r="F472" s="363" t="str">
        <f>VLOOKUP($B471,IF($H471="F",TeamSheetFemale,TeamSheetMale),$Y472-1,FALSE)</f>
        <v>S</v>
      </c>
      <c r="G472" s="380" t="str">
        <f>VLOOKUP($B471,IF($H471="F",TeamSheetFemale,TeamSheetMale),$Y472,FALSE)</f>
        <v xml:space="preserve">Daniella Anozie </v>
      </c>
      <c r="H472" s="363" t="str">
        <f>VLOOKUP($B471,IF($H471="F",TeamSheetFemale,TeamSheetMale),$Y472+1,FALSE)</f>
        <v>SS</v>
      </c>
      <c r="I472" s="364" t="str">
        <f>VLOOKUP($B471,IF($H471="F",TeamSheetFemale,TeamSheetMale),$Y472+2,FALSE)</f>
        <v>Maryam Mohammed Hadi</v>
      </c>
      <c r="K472" s="393" t="s">
        <v>271</v>
      </c>
      <c r="L472" s="16" t="str">
        <f t="shared" ref="L472:L479" si="410">LEFT(M472,1)</f>
        <v>F</v>
      </c>
      <c r="M472" s="926" t="s">
        <v>142</v>
      </c>
      <c r="N472" s="926">
        <v>12.7</v>
      </c>
      <c r="O472" s="394" t="str">
        <f>IF(LEN($M472)=1,VLOOKUP(LEFT($M472,1),B472:I479,5,FALSE),IF(LEN($M472)=2,VLOOKUP(LEFT($M472,1),B472:I479,7,FALSE),""))</f>
        <v>F</v>
      </c>
      <c r="P472" s="395" t="str">
        <f>IF(LEN($M472)=1,VLOOKUP(LEFT($M472,1),B472:I479,6,FALSE),IF(LEN($M472)=2,VLOOKUP(LEFT($M472,1),B472:I479,8,FALSE),""))</f>
        <v>Lorelai Maxwell</v>
      </c>
      <c r="Q472" s="393" t="s">
        <v>271</v>
      </c>
      <c r="R472" s="146" t="str">
        <f t="shared" ref="R472:R479" si="411">LEFT(S472,1)</f>
        <v>D</v>
      </c>
      <c r="S472" s="926" t="s">
        <v>513</v>
      </c>
      <c r="T472" s="926">
        <v>13.6</v>
      </c>
      <c r="U472" s="394" t="str">
        <f>IF(LEN($S472)=1,VLOOKUP(LEFT($S472,1),B472:I479,5,FALSE),IF(LEN($S472)=2,VLOOKUP(LEFT($S472,1),B472:I479,7,FALSE),""))</f>
        <v>DD</v>
      </c>
      <c r="V472" s="395" t="str">
        <f>IF(LEN($S472)=1,VLOOKUP(LEFT($S472,1),B472:I479,6,FALSE),IF(LEN($S472)=2,VLOOKUP(LEFT($S472,1),B472:I479,8,FALSE),""))</f>
        <v>Scarlett Dawson</v>
      </c>
      <c r="W472" s="417">
        <f>AN$6</f>
        <v>8</v>
      </c>
      <c r="Y472" s="416">
        <v>7</v>
      </c>
      <c r="Z472" s="653" t="str">
        <f t="shared" ref="Z472:Z479" si="412">IF(LEN(M472)&gt;0,VLOOKUP(LEFT(M472,1),ShortName,5,FALSE),0)</f>
        <v>Tam</v>
      </c>
      <c r="AA472" s="138" t="str">
        <f t="shared" ref="AA472:AA479" si="413">IF(LEN(S472)&gt;0,VLOOKUP(LEFT(S472,1),ShortName,5,FALSE),0)</f>
        <v>Strat</v>
      </c>
      <c r="AC472" s="16" t="str">
        <f t="shared" ref="AC472:AD479" si="414">B472</f>
        <v>S</v>
      </c>
      <c r="AD472" s="419" t="str">
        <f t="shared" si="414"/>
        <v>BRAT</v>
      </c>
      <c r="AE472" s="635">
        <f>IF(ISNA(MATCH(AC472,N472:N481,0)),0,VLOOKUP(AC472,N472:S481,5,FALSE))</f>
        <v>0</v>
      </c>
      <c r="AF472" s="635" t="str">
        <f>IF(ISNA(MATCH(AC472,T472:T481,0))," ",VLOOKUP(AC472,T472:Y481,5,FALSE))</f>
        <v xml:space="preserve"> </v>
      </c>
      <c r="AG472" s="635">
        <f>IF(ISNA(MATCH(AC472,L472:L479,0)),0,VLOOKUP(AC472,L472:N479,3,FALSE))</f>
        <v>14.6</v>
      </c>
      <c r="AH472" s="635">
        <f>IF(ISNA(MATCH(AC472,R472:R479,0)),0,VLOOKUP(AC472,R472:T479,3,FALSE))</f>
        <v>0</v>
      </c>
      <c r="AI472" s="635" t="str">
        <f>IF(ISNA(MATCH(AC472,L472:L479,0)),0,VLOOKUP(AC472,L472:P479,4,FALSE))</f>
        <v>S</v>
      </c>
      <c r="AJ472" s="635">
        <f>IF(ISNA(MATCH(AC472,R472:R479,0)),0,VLOOKUP(AC472,R472:U479,4,FALSE))</f>
        <v>0</v>
      </c>
      <c r="AK472" s="49">
        <f t="shared" ref="AK472:AK479" si="415">IF(AM472=0,0,AN$6-(AM472-1))</f>
        <v>3</v>
      </c>
      <c r="AL472" s="49">
        <f t="shared" ref="AL472:AL479" si="416">IF(AN472=0,0,AN$6-(AN472-1))</f>
        <v>0</v>
      </c>
      <c r="AM472" s="49">
        <f>IF(ISNA(MATCH(AC472,L472:L479,0)),0,VLOOKUP(AC472,L472:W479,AM$1,FALSE))</f>
        <v>6</v>
      </c>
      <c r="AN472" s="138">
        <f>IF(ISNA(MATCH(AC472,R472:R479,0)),0,VLOOKUP(AC472,R472:W479,AN$1,FALSE))</f>
        <v>0</v>
      </c>
      <c r="AP472" s="926"/>
      <c r="AQ472" s="926"/>
      <c r="AS472" s="32">
        <f>IF(LEN(N472)&gt;0,1,0)</f>
        <v>1</v>
      </c>
      <c r="AT472" s="32">
        <f>IF(AND(AS472=1,H471="M"),1,0)</f>
        <v>0</v>
      </c>
      <c r="AU472" s="32">
        <f>IF(AND(AS472=1,H471="F"),1,0)</f>
        <v>1</v>
      </c>
    </row>
    <row r="473" spans="1:47" ht="15.6" x14ac:dyDescent="0.3">
      <c r="A473" s="417">
        <f>A472+1</f>
        <v>422</v>
      </c>
      <c r="B473" s="362" t="str">
        <f>'Event Details'!D$23</f>
        <v>U</v>
      </c>
      <c r="C473" s="381" t="str">
        <f>'Event Details'!E$23</f>
        <v>Kidder &amp; Stourport</v>
      </c>
      <c r="D473" s="379"/>
      <c r="E473" s="378"/>
      <c r="F473" s="363">
        <f>VLOOKUP($B471,IF($H471="F",TeamSheetFemale,TeamSheetMale),$Y473-1,FALSE)</f>
        <v>0</v>
      </c>
      <c r="G473" s="380">
        <f>VLOOKUP($B471,IF($H471="F",TeamSheetFemale,TeamSheetMale),$Y473,FALSE)</f>
        <v>0</v>
      </c>
      <c r="H473" s="363">
        <f>VLOOKUP($B471,IF($H471="F",TeamSheetFemale,TeamSheetMale),$Y473+1,FALSE)</f>
        <v>0</v>
      </c>
      <c r="I473" s="364">
        <f>VLOOKUP($B471,IF($H471="F",TeamSheetFemale,TeamSheetMale),$Y473+2,FALSE)</f>
        <v>0</v>
      </c>
      <c r="K473" s="341" t="s">
        <v>272</v>
      </c>
      <c r="L473" s="16" t="str">
        <f t="shared" si="410"/>
        <v>D</v>
      </c>
      <c r="M473" s="927" t="s">
        <v>136</v>
      </c>
      <c r="N473" s="927">
        <v>13.7</v>
      </c>
      <c r="O473" s="353" t="str">
        <f>IF(LEN($M473)=1,VLOOKUP(LEFT($M473,1),B472:I479,5,FALSE),IF(LEN($M473)=2,VLOOKUP(LEFT($M473,1),B472:I479,7,FALSE),""))</f>
        <v>D</v>
      </c>
      <c r="P473" s="373" t="str">
        <f>IF(LEN($M473)=1,VLOOKUP(LEFT($M473,1),B472:I479,6,FALSE),IF(LEN($M473)=2,VLOOKUP(LEFT($M473,1),B472:I479,8,FALSE),""))</f>
        <v>Darcie Nicholls</v>
      </c>
      <c r="Q473" s="341" t="s">
        <v>272</v>
      </c>
      <c r="R473" s="146" t="str">
        <f t="shared" si="411"/>
        <v>F</v>
      </c>
      <c r="S473" s="927" t="s">
        <v>576</v>
      </c>
      <c r="T473" s="927">
        <v>14.8</v>
      </c>
      <c r="U473" s="353" t="str">
        <f>IF(LEN($S473)=1,VLOOKUP(LEFT($S473,1),B472:I479,5,FALSE),IF(LEN($S473)=2,VLOOKUP(LEFT($S473,1),B472:I479,7,FALSE),""))</f>
        <v>FF</v>
      </c>
      <c r="V473" s="373" t="str">
        <f>IF(LEN($S473)=1,VLOOKUP(LEFT($S473,1),B472:I479,6,FALSE),IF(LEN($S473)=2,VLOOKUP(LEFT($S473,1),B472:I479,8,FALSE),""))</f>
        <v>Sophie Godber</v>
      </c>
      <c r="W473" s="417">
        <f>W472-1</f>
        <v>7</v>
      </c>
      <c r="Y473" s="417">
        <v>12</v>
      </c>
      <c r="Z473" s="16" t="str">
        <f t="shared" si="412"/>
        <v>Strat</v>
      </c>
      <c r="AA473" s="146" t="str">
        <f t="shared" si="413"/>
        <v>Tam</v>
      </c>
      <c r="AC473" s="16" t="str">
        <f t="shared" si="414"/>
        <v>U</v>
      </c>
      <c r="AD473" s="419" t="str">
        <f t="shared" si="414"/>
        <v>Kidder &amp; Stourport</v>
      </c>
      <c r="AE473" s="419">
        <f>IF(ISNA(MATCH(AC473,N472:N481,0)),0,VLOOKUP(AC473,N472:S481,5,FALSE))</f>
        <v>0</v>
      </c>
      <c r="AF473" s="419" t="str">
        <f>IF(ISNA(MATCH(AC473,T472:T481,0))," ",VLOOKUP(AC473,T472:Y481,5,FALSE))</f>
        <v xml:space="preserve"> </v>
      </c>
      <c r="AG473" s="419">
        <f>IF(ISNA(MATCH(AC473,L472:L479,0)),0,VLOOKUP(AC473,L472:N479,3,FALSE))</f>
        <v>0</v>
      </c>
      <c r="AH473" s="419">
        <f>IF(ISNA(MATCH(AC473,R472:R479,0)),0,VLOOKUP(AC473,R472:T479,3,FALSE))</f>
        <v>0</v>
      </c>
      <c r="AI473" s="419">
        <f>IF(ISNA(MATCH(AC473,L472:L479,0)),0,VLOOKUP(AC473,L472:P479,4,FALSE))</f>
        <v>0</v>
      </c>
      <c r="AJ473" s="419">
        <f>IF(ISNA(MATCH(AC473,R472:R479,0)),0,VLOOKUP(AC473,R472:U479,4,FALSE))</f>
        <v>0</v>
      </c>
      <c r="AK473" s="32">
        <f t="shared" si="415"/>
        <v>0</v>
      </c>
      <c r="AL473" s="32">
        <f t="shared" si="416"/>
        <v>0</v>
      </c>
      <c r="AM473" s="32">
        <f>IF(ISNA(MATCH(AC473,L472:L479,0)),0,VLOOKUP(AC473,L472:W479,AM$1,FALSE))</f>
        <v>0</v>
      </c>
      <c r="AN473" s="146">
        <f>IF(ISNA(MATCH(AC473,R472:R479,0)),0,VLOOKUP(AC473,R472:W479,AN$1,FALSE))</f>
        <v>0</v>
      </c>
      <c r="AP473" s="927"/>
      <c r="AQ473" s="927"/>
    </row>
    <row r="474" spans="1:47" ht="15.6" x14ac:dyDescent="0.3">
      <c r="A474" s="417">
        <f t="shared" ref="A474:A479" si="417">A473+1</f>
        <v>423</v>
      </c>
      <c r="B474" s="362" t="str">
        <f>'Event Details'!D$24</f>
        <v>G</v>
      </c>
      <c r="C474" s="381" t="str">
        <f>'Event Details'!E$24</f>
        <v>Royal Sutton</v>
      </c>
      <c r="D474" s="379"/>
      <c r="E474" s="378"/>
      <c r="F474" s="363" t="str">
        <f>VLOOKUP($B471,IF($H471="F",TeamSheetFemale,TeamSheetMale),$Y474-1,FALSE)</f>
        <v>G</v>
      </c>
      <c r="G474" s="380">
        <f>VLOOKUP($B471,IF($H471="F",TeamSheetFemale,TeamSheetMale),$Y474,FALSE)</f>
        <v>0</v>
      </c>
      <c r="H474" s="363" t="str">
        <f>VLOOKUP($B471,IF($H471="F",TeamSheetFemale,TeamSheetMale),$Y474+1,FALSE)</f>
        <v>GG</v>
      </c>
      <c r="I474" s="364">
        <f>VLOOKUP($B471,IF($H471="F",TeamSheetFemale,TeamSheetMale),$Y474+2,FALSE)</f>
        <v>0</v>
      </c>
      <c r="K474" s="341" t="s">
        <v>273</v>
      </c>
      <c r="L474" s="16" t="str">
        <f t="shared" si="410"/>
        <v>S</v>
      </c>
      <c r="M474" s="927" t="s">
        <v>100</v>
      </c>
      <c r="N474" s="927">
        <v>14.6</v>
      </c>
      <c r="O474" s="353" t="str">
        <f>IF(LEN($M474)=1,VLOOKUP(LEFT($M474,1),B472:I479,5,FALSE),IF(LEN($M474)=2,VLOOKUP(LEFT($M474,1),B472:I479,7,FALSE),""))</f>
        <v>S</v>
      </c>
      <c r="P474" s="373" t="str">
        <f>IF(LEN($M474)=1,VLOOKUP(LEFT($M474,1),B472:I479,6,FALSE),IF(LEN($M474)=2,VLOOKUP(LEFT($M474,1),B472:I479,8,FALSE),""))</f>
        <v xml:space="preserve">Daniella Anozie </v>
      </c>
      <c r="Q474" s="341" t="s">
        <v>273</v>
      </c>
      <c r="R474" s="146" t="str">
        <f t="shared" si="411"/>
        <v/>
      </c>
      <c r="S474" s="927"/>
      <c r="T474" s="927"/>
      <c r="U474" s="353" t="str">
        <f>IF(LEN($S474)=1,VLOOKUP(LEFT($S474,1),B472:I479,5,FALSE),IF(LEN($S474)=2,VLOOKUP(LEFT($S474,1),B472:I479,7,FALSE),""))</f>
        <v/>
      </c>
      <c r="V474" s="373" t="str">
        <f>IF(LEN($S474)=1,VLOOKUP(LEFT($S474,1),B472:I479,6,FALSE),IF(LEN($S474)=2,VLOOKUP(LEFT($S474,1),B472:I479,8,FALSE),""))</f>
        <v/>
      </c>
      <c r="W474" s="417">
        <f t="shared" ref="W474:W479" si="418">W473-1</f>
        <v>6</v>
      </c>
      <c r="Y474" s="417">
        <v>17</v>
      </c>
      <c r="Z474" s="16" t="str">
        <f t="shared" si="412"/>
        <v>BRAT</v>
      </c>
      <c r="AA474" s="146">
        <f t="shared" si="413"/>
        <v>0</v>
      </c>
      <c r="AB474" s="32"/>
      <c r="AC474" s="16" t="str">
        <f t="shared" si="414"/>
        <v>G</v>
      </c>
      <c r="AD474" s="419" t="str">
        <f t="shared" si="414"/>
        <v>Royal Sutton</v>
      </c>
      <c r="AE474" s="419">
        <f>IF(ISNA(MATCH(AC474,N472:N481,0)),0,VLOOKUP(AC474,N472:S481,5,FALSE))</f>
        <v>0</v>
      </c>
      <c r="AF474" s="419" t="str">
        <f>IF(ISNA(MATCH(AC474,T472:T481,0))," ",VLOOKUP(AC474,T472:Y481,5,FALSE))</f>
        <v xml:space="preserve"> </v>
      </c>
      <c r="AG474" s="419">
        <f>IF(ISNA(MATCH(AC474,L472:L479,0)),0,VLOOKUP(AC474,L472:N479,3,FALSE))</f>
        <v>0</v>
      </c>
      <c r="AH474" s="419">
        <f>IF(ISNA(MATCH(AC474,R472:R479,0)),0,VLOOKUP(AC474,R472:T479,3,FALSE))</f>
        <v>0</v>
      </c>
      <c r="AI474" s="419">
        <f>IF(ISNA(MATCH(AC474,L472:L479,0)),0,VLOOKUP(AC474,L472:P479,4,FALSE))</f>
        <v>0</v>
      </c>
      <c r="AJ474" s="419">
        <f>IF(ISNA(MATCH(AC474,R472:R479,0)),0,VLOOKUP(AC474,R472:U479,4,FALSE))</f>
        <v>0</v>
      </c>
      <c r="AK474" s="32">
        <f t="shared" si="415"/>
        <v>0</v>
      </c>
      <c r="AL474" s="32">
        <f t="shared" si="416"/>
        <v>0</v>
      </c>
      <c r="AM474" s="32">
        <f>IF(ISNA(MATCH(AC474,L472:L479,0)),0,VLOOKUP(AC474,L472:W479,AM$1,FALSE))</f>
        <v>0</v>
      </c>
      <c r="AN474" s="146">
        <f>IF(ISNA(MATCH(AC474,R472:R479,0)),0,VLOOKUP(AC474,R472:W479,AN$1,FALSE))</f>
        <v>0</v>
      </c>
      <c r="AP474" s="927"/>
      <c r="AQ474" s="927"/>
    </row>
    <row r="475" spans="1:47" ht="15.6" x14ac:dyDescent="0.3">
      <c r="A475" s="417">
        <f t="shared" si="417"/>
        <v>424</v>
      </c>
      <c r="B475" s="362" t="str">
        <f>'Event Details'!D$25</f>
        <v>R</v>
      </c>
      <c r="C475" s="381" t="str">
        <f>'Event Details'!E$25</f>
        <v>Rugby &amp; N'hampton</v>
      </c>
      <c r="D475" s="379"/>
      <c r="E475" s="378"/>
      <c r="F475" s="363" t="str">
        <f>VLOOKUP($B471,IF($H471="F",TeamSheetFemale,TeamSheetMale),$Y475-1,FALSE)</f>
        <v>R</v>
      </c>
      <c r="G475" s="380" t="str">
        <f>VLOOKUP($B471,IF($H471="F",TeamSheetFemale,TeamSheetMale),$Y475,FALSE)</f>
        <v>Faith Cowen</v>
      </c>
      <c r="H475" s="363" t="str">
        <f>VLOOKUP($B471,IF($H471="F",TeamSheetFemale,TeamSheetMale),$Y475+1,FALSE)</f>
        <v>RR</v>
      </c>
      <c r="I475" s="364">
        <f>VLOOKUP($B471,IF($H471="F",TeamSheetFemale,TeamSheetMale),$Y475+2,FALSE)</f>
        <v>0</v>
      </c>
      <c r="K475" s="341" t="s">
        <v>274</v>
      </c>
      <c r="L475" s="16" t="str">
        <f t="shared" si="410"/>
        <v/>
      </c>
      <c r="M475" s="927"/>
      <c r="N475" s="927"/>
      <c r="O475" s="353" t="str">
        <f>IF(LEN($M475)=1,VLOOKUP(LEFT($M475,1),B472:I479,5,FALSE),IF(LEN($M475)=2,VLOOKUP(LEFT($M475,1),B472:I479,7,FALSE),""))</f>
        <v/>
      </c>
      <c r="P475" s="373" t="str">
        <f>IF(LEN($M475)=1,VLOOKUP(LEFT($M475,1),B472:I479,6,FALSE),IF(LEN($M475)=2,VLOOKUP(LEFT($M475,1),B472:I479,8,FALSE),""))</f>
        <v/>
      </c>
      <c r="Q475" s="341" t="s">
        <v>274</v>
      </c>
      <c r="R475" s="146" t="str">
        <f t="shared" si="411"/>
        <v/>
      </c>
      <c r="S475" s="927"/>
      <c r="T475" s="927"/>
      <c r="U475" s="353" t="str">
        <f>IF(LEN($S475)=1,VLOOKUP(LEFT($S475,1),B472:I479,5,FALSE),IF(LEN($S475)=2,VLOOKUP(LEFT($S475,1),B472:I479,7,FALSE),""))</f>
        <v/>
      </c>
      <c r="V475" s="373" t="str">
        <f>IF(LEN($S475)=1,VLOOKUP(LEFT($S475,1),B472:I479,6,FALSE),IF(LEN($S475)=2,VLOOKUP(LEFT($S475,1),B472:I479,8,FALSE),""))</f>
        <v/>
      </c>
      <c r="W475" s="417">
        <f t="shared" si="418"/>
        <v>5</v>
      </c>
      <c r="Y475" s="417">
        <v>22</v>
      </c>
      <c r="Z475" s="16">
        <f t="shared" si="412"/>
        <v>0</v>
      </c>
      <c r="AA475" s="146">
        <f t="shared" si="413"/>
        <v>0</v>
      </c>
      <c r="AB475" s="32"/>
      <c r="AC475" s="16" t="str">
        <f t="shared" si="414"/>
        <v>R</v>
      </c>
      <c r="AD475" s="419" t="str">
        <f t="shared" si="414"/>
        <v>Rugby &amp; N'hampton</v>
      </c>
      <c r="AE475" s="419">
        <f>IF(ISNA(MATCH(AC475,N472:N481,0)),0,VLOOKUP(AC475,N472:S481,5,FALSE))</f>
        <v>0</v>
      </c>
      <c r="AF475" s="419" t="str">
        <f>IF(ISNA(MATCH(AC475,T472:T481,0))," ",VLOOKUP(AC475,T472:Y481,5,FALSE))</f>
        <v xml:space="preserve"> </v>
      </c>
      <c r="AG475" s="419">
        <f>IF(ISNA(MATCH(AC475,L472:L479,0)),0,VLOOKUP(AC475,L472:N479,3,FALSE))</f>
        <v>0</v>
      </c>
      <c r="AH475" s="419">
        <f>IF(ISNA(MATCH(AC475,R472:R479,0)),0,VLOOKUP(AC475,R472:T479,3,FALSE))</f>
        <v>0</v>
      </c>
      <c r="AI475" s="419">
        <f>IF(ISNA(MATCH(AC475,L472:L479,0)),0,VLOOKUP(AC475,L472:P479,4,FALSE))</f>
        <v>0</v>
      </c>
      <c r="AJ475" s="419">
        <f>IF(ISNA(MATCH(AC475,R472:R479,0)),0,VLOOKUP(AC475,R472:U479,4,FALSE))</f>
        <v>0</v>
      </c>
      <c r="AK475" s="32">
        <f t="shared" si="415"/>
        <v>0</v>
      </c>
      <c r="AL475" s="32">
        <f t="shared" si="416"/>
        <v>0</v>
      </c>
      <c r="AM475" s="32">
        <f>IF(ISNA(MATCH(AC475,L472:L479,0)),0,VLOOKUP(AC475,L472:W479,AM$1,FALSE))</f>
        <v>0</v>
      </c>
      <c r="AN475" s="146">
        <f>IF(ISNA(MATCH(AC475,R472:R479,0)),0,VLOOKUP(AC475,R472:W479,AN$1,FALSE))</f>
        <v>0</v>
      </c>
      <c r="AP475" s="927"/>
      <c r="AQ475" s="927"/>
    </row>
    <row r="476" spans="1:47" ht="15.6" x14ac:dyDescent="0.3">
      <c r="A476" s="417">
        <f t="shared" si="417"/>
        <v>425</v>
      </c>
      <c r="B476" s="362" t="str">
        <f>'Event Details'!D$26</f>
        <v>M</v>
      </c>
      <c r="C476" s="381" t="str">
        <f>'Event Details'!E$26</f>
        <v>Solihull &amp; S.Heath</v>
      </c>
      <c r="D476" s="379"/>
      <c r="E476" s="378"/>
      <c r="F476" s="363">
        <f>VLOOKUP($B471,IF($H471="F",TeamSheetFemale,TeamSheetMale),$Y476-1,FALSE)</f>
        <v>0</v>
      </c>
      <c r="G476" s="380">
        <f>VLOOKUP($B471,IF($H471="F",TeamSheetFemale,TeamSheetMale),$Y476,FALSE)</f>
        <v>0</v>
      </c>
      <c r="H476" s="363">
        <f>VLOOKUP($B471,IF($H471="F",TeamSheetFemale,TeamSheetMale),$Y476+1,FALSE)</f>
        <v>0</v>
      </c>
      <c r="I476" s="364">
        <f>VLOOKUP($B471,IF($H471="F",TeamSheetFemale,TeamSheetMale),$Y476+2,FALSE)</f>
        <v>0</v>
      </c>
      <c r="K476" s="341" t="s">
        <v>275</v>
      </c>
      <c r="L476" s="16" t="str">
        <f t="shared" si="410"/>
        <v/>
      </c>
      <c r="M476" s="927"/>
      <c r="N476" s="927"/>
      <c r="O476" s="353" t="str">
        <f>IF(LEN($M476)=1,VLOOKUP(LEFT($M476,1),B472:I479,5,FALSE),IF(LEN($M476)=2,VLOOKUP(LEFT($M476,1),B472:I479,7,FALSE),""))</f>
        <v/>
      </c>
      <c r="P476" s="373" t="str">
        <f>IF(LEN($M476)=1,VLOOKUP(LEFT($M476,1),B472:I479,6,FALSE),IF(LEN($M476)=2,VLOOKUP(LEFT($M476,1),B472:I479,8,FALSE),""))</f>
        <v/>
      </c>
      <c r="Q476" s="341" t="s">
        <v>275</v>
      </c>
      <c r="R476" s="146" t="str">
        <f t="shared" si="411"/>
        <v/>
      </c>
      <c r="S476" s="927"/>
      <c r="T476" s="927"/>
      <c r="U476" s="353" t="str">
        <f>IF(LEN($S476)=1,VLOOKUP(LEFT($S476,1),B472:I479,5,FALSE),IF(LEN($S476)=2,VLOOKUP(LEFT($S476,1),B472:I479,7,FALSE),""))</f>
        <v/>
      </c>
      <c r="V476" s="373" t="str">
        <f>IF(LEN($S476)=1,VLOOKUP(LEFT($S476,1),B472:I479,6,FALSE),IF(LEN($S476)=2,VLOOKUP(LEFT($S476,1),B472:I479,8,FALSE),""))</f>
        <v/>
      </c>
      <c r="W476" s="417">
        <f t="shared" si="418"/>
        <v>4</v>
      </c>
      <c r="Y476" s="417">
        <v>27</v>
      </c>
      <c r="Z476" s="16">
        <f t="shared" si="412"/>
        <v>0</v>
      </c>
      <c r="AA476" s="146">
        <f t="shared" si="413"/>
        <v>0</v>
      </c>
      <c r="AB476" s="32"/>
      <c r="AC476" s="16" t="str">
        <f t="shared" si="414"/>
        <v>M</v>
      </c>
      <c r="AD476" s="419" t="str">
        <f t="shared" si="414"/>
        <v>Solihull &amp; S.Heath</v>
      </c>
      <c r="AE476" s="419">
        <f>IF(ISNA(MATCH(AC476,N472:N481,0)),0,VLOOKUP(AC476,N472:S481,5,FALSE))</f>
        <v>0</v>
      </c>
      <c r="AF476" s="419" t="str">
        <f>IF(ISNA(MATCH(AC476,T472:T481,0))," ",VLOOKUP(AC476,T472:Y481,5,FALSE))</f>
        <v xml:space="preserve"> </v>
      </c>
      <c r="AG476" s="419">
        <f>IF(ISNA(MATCH(AC476,L472:L479,0)),0,VLOOKUP(AC476,L472:N479,3,FALSE))</f>
        <v>0</v>
      </c>
      <c r="AH476" s="419">
        <f>IF(ISNA(MATCH(AC476,R472:R479,0)),0,VLOOKUP(AC476,R472:T479,3,FALSE))</f>
        <v>0</v>
      </c>
      <c r="AI476" s="419">
        <f>IF(ISNA(MATCH(AC476,L472:L479,0)),0,VLOOKUP(AC476,L472:P479,4,FALSE))</f>
        <v>0</v>
      </c>
      <c r="AJ476" s="419">
        <f>IF(ISNA(MATCH(AC476,R472:R479,0)),0,VLOOKUP(AC476,R472:U479,4,FALSE))</f>
        <v>0</v>
      </c>
      <c r="AK476" s="32">
        <f t="shared" si="415"/>
        <v>0</v>
      </c>
      <c r="AL476" s="32">
        <f t="shared" si="416"/>
        <v>0</v>
      </c>
      <c r="AM476" s="32">
        <f>IF(ISNA(MATCH(AC476,L472:L479,0)),0,VLOOKUP(AC476,L472:W479,AM$1,FALSE))</f>
        <v>0</v>
      </c>
      <c r="AN476" s="146">
        <f>IF(ISNA(MATCH(AC476,R472:R479,0)),0,VLOOKUP(AC476,R472:W479,AN$1,FALSE))</f>
        <v>0</v>
      </c>
      <c r="AP476" s="927"/>
      <c r="AQ476" s="927"/>
    </row>
    <row r="477" spans="1:47" ht="15.6" x14ac:dyDescent="0.3">
      <c r="A477" s="417">
        <f t="shared" si="417"/>
        <v>426</v>
      </c>
      <c r="B477" s="362" t="str">
        <f>'Event Details'!D$27</f>
        <v>D</v>
      </c>
      <c r="C477" s="381" t="str">
        <f>'Event Details'!E$27</f>
        <v>Stratford</v>
      </c>
      <c r="D477" s="379"/>
      <c r="E477" s="378"/>
      <c r="F477" s="363" t="str">
        <f>VLOOKUP($B471,IF($H471="F",TeamSheetFemale,TeamSheetMale),$Y477-1,FALSE)</f>
        <v>D</v>
      </c>
      <c r="G477" s="380" t="str">
        <f>VLOOKUP($B471,IF($H471="F",TeamSheetFemale,TeamSheetMale),$Y477,FALSE)</f>
        <v>Darcie Nicholls</v>
      </c>
      <c r="H477" s="363" t="str">
        <f>VLOOKUP($B471,IF($H471="F",TeamSheetFemale,TeamSheetMale),$Y477+1,FALSE)</f>
        <v>DD</v>
      </c>
      <c r="I477" s="364" t="str">
        <f>VLOOKUP($B471,IF($H471="F",TeamSheetFemale,TeamSheetMale),$Y477+2,FALSE)</f>
        <v>Scarlett Dawson</v>
      </c>
      <c r="K477" s="341" t="s">
        <v>276</v>
      </c>
      <c r="L477" s="16" t="str">
        <f t="shared" si="410"/>
        <v/>
      </c>
      <c r="M477" s="927"/>
      <c r="N477" s="927"/>
      <c r="O477" s="353" t="str">
        <f>IF(LEN($M477)=1,VLOOKUP(LEFT($M477,1),B472:I479,5,FALSE),IF(LEN($M477)=2,VLOOKUP(LEFT($M477,1),B472:I479,7,FALSE),""))</f>
        <v/>
      </c>
      <c r="P477" s="373" t="str">
        <f>IF(LEN($M477)=1,VLOOKUP(LEFT($M477,1),B472:I479,6,FALSE),IF(LEN($M477)=2,VLOOKUP(LEFT($M477,1),B472:I479,8,FALSE),""))</f>
        <v/>
      </c>
      <c r="Q477" s="341" t="s">
        <v>276</v>
      </c>
      <c r="R477" s="146" t="str">
        <f t="shared" si="411"/>
        <v/>
      </c>
      <c r="S477" s="927"/>
      <c r="T477" s="927"/>
      <c r="U477" s="353" t="str">
        <f>IF(LEN($S477)=1,VLOOKUP(LEFT($S477,1),B472:I479,5,FALSE),IF(LEN($S477)=2,VLOOKUP(LEFT($S477,1),B472:I479,7,FALSE),""))</f>
        <v/>
      </c>
      <c r="V477" s="373" t="str">
        <f>IF(LEN($S477)=1,VLOOKUP(LEFT($S477,1),B472:I479,6,FALSE),IF(LEN($S477)=2,VLOOKUP(LEFT($S477,1),B472:I479,8,FALSE),""))</f>
        <v/>
      </c>
      <c r="W477" s="417">
        <f t="shared" si="418"/>
        <v>3</v>
      </c>
      <c r="Y477" s="417">
        <v>32</v>
      </c>
      <c r="Z477" s="16">
        <f t="shared" si="412"/>
        <v>0</v>
      </c>
      <c r="AA477" s="146">
        <f t="shared" si="413"/>
        <v>0</v>
      </c>
      <c r="AB477" s="32"/>
      <c r="AC477" s="16" t="str">
        <f t="shared" si="414"/>
        <v>D</v>
      </c>
      <c r="AD477" s="419" t="str">
        <f t="shared" si="414"/>
        <v>Stratford</v>
      </c>
      <c r="AE477" s="419">
        <f>IF(ISNA(MATCH(AC477,N472:N481,0)),0,VLOOKUP(AC477,N472:S481,5,FALSE))</f>
        <v>0</v>
      </c>
      <c r="AF477" s="419" t="str">
        <f>IF(ISNA(MATCH(AC477,T472:T481,0))," ",VLOOKUP(AC477,T472:Y481,5,FALSE))</f>
        <v xml:space="preserve"> </v>
      </c>
      <c r="AG477" s="419">
        <f>IF(ISNA(MATCH(AC477,L472:L479,0)),0,VLOOKUP(AC477,L472:N479,3,FALSE))</f>
        <v>13.7</v>
      </c>
      <c r="AH477" s="419">
        <f>IF(ISNA(MATCH(AC477,R472:R479,0)),0,VLOOKUP(AC477,R472:T479,3,FALSE))</f>
        <v>13.6</v>
      </c>
      <c r="AI477" s="419" t="str">
        <f>IF(ISNA(MATCH(AC477,L472:L479,0)),0,VLOOKUP(AC477,L472:P479,4,FALSE))</f>
        <v>D</v>
      </c>
      <c r="AJ477" s="419" t="str">
        <f>IF(ISNA(MATCH(AC477,R472:R479,0)),0,VLOOKUP(AC477,R472:U479,4,FALSE))</f>
        <v>DD</v>
      </c>
      <c r="AK477" s="32">
        <f t="shared" si="415"/>
        <v>2</v>
      </c>
      <c r="AL477" s="32">
        <f t="shared" si="416"/>
        <v>1</v>
      </c>
      <c r="AM477" s="32">
        <f>IF(ISNA(MATCH(AC477,L472:L479,0)),0,VLOOKUP(AC477,L472:W479,AM$1,FALSE))</f>
        <v>7</v>
      </c>
      <c r="AN477" s="146">
        <f>IF(ISNA(MATCH(AC477,R472:R479,0)),0,VLOOKUP(AC477,R472:W479,AN$1,FALSE))</f>
        <v>8</v>
      </c>
      <c r="AP477" s="927"/>
      <c r="AQ477" s="927"/>
    </row>
    <row r="478" spans="1:47" ht="15.6" x14ac:dyDescent="0.3">
      <c r="A478" s="417">
        <f t="shared" si="417"/>
        <v>427</v>
      </c>
      <c r="B478" s="362" t="str">
        <f>'Event Details'!D$28</f>
        <v>F</v>
      </c>
      <c r="C478" s="381" t="str">
        <f>'Event Details'!E$28</f>
        <v>Tamworth</v>
      </c>
      <c r="D478" s="379"/>
      <c r="E478" s="378"/>
      <c r="F478" s="363" t="str">
        <f>VLOOKUP($B471,IF($H471="F",TeamSheetFemale,TeamSheetMale),$Y478-1,FALSE)</f>
        <v>F</v>
      </c>
      <c r="G478" s="380" t="str">
        <f>VLOOKUP($B471,IF($H471="F",TeamSheetFemale,TeamSheetMale),$Y478,FALSE)</f>
        <v>Lorelai Maxwell</v>
      </c>
      <c r="H478" s="363" t="str">
        <f>VLOOKUP($B471,IF($H471="F",TeamSheetFemale,TeamSheetMale),$Y478+1,FALSE)</f>
        <v>FF</v>
      </c>
      <c r="I478" s="364" t="str">
        <f>VLOOKUP($B471,IF($H471="F",TeamSheetFemale,TeamSheetMale),$Y478+2,FALSE)</f>
        <v>Sophie Godber</v>
      </c>
      <c r="K478" s="341" t="s">
        <v>277</v>
      </c>
      <c r="L478" s="16" t="str">
        <f t="shared" si="410"/>
        <v/>
      </c>
      <c r="M478" s="931"/>
      <c r="N478" s="927"/>
      <c r="O478" s="353" t="str">
        <f>IF(LEN($M478)=1,VLOOKUP(LEFT($M478,1),B472:I479,5,FALSE),IF(LEN($M478)=2,VLOOKUP(LEFT($M478,1),B472:I479,7,FALSE),""))</f>
        <v/>
      </c>
      <c r="P478" s="373" t="str">
        <f>IF(LEN($M478)=1,VLOOKUP(LEFT($M478,1),B472:I479,6,FALSE),IF(LEN($M478)=2,VLOOKUP(LEFT($M478,1),B472:I479,8,FALSE),""))</f>
        <v/>
      </c>
      <c r="Q478" s="341" t="s">
        <v>277</v>
      </c>
      <c r="R478" s="146" t="str">
        <f t="shared" si="411"/>
        <v/>
      </c>
      <c r="S478" s="931"/>
      <c r="T478" s="927"/>
      <c r="U478" s="353" t="str">
        <f>IF(LEN($S478)=1,VLOOKUP(LEFT($S478,1),B472:I479,5,FALSE),IF(LEN($S478)=2,VLOOKUP(LEFT($S478,1),B472:I479,7,FALSE),""))</f>
        <v/>
      </c>
      <c r="V478" s="373" t="str">
        <f>IF(LEN($S478)=1,VLOOKUP(LEFT($S478,1),B472:I479,6,FALSE),IF(LEN($S478)=2,VLOOKUP(LEFT($S478,1),B472:I479,8,FALSE),""))</f>
        <v/>
      </c>
      <c r="W478" s="417">
        <f t="shared" si="418"/>
        <v>2</v>
      </c>
      <c r="Y478" s="417">
        <v>37</v>
      </c>
      <c r="Z478" s="16">
        <f t="shared" si="412"/>
        <v>0</v>
      </c>
      <c r="AA478" s="146">
        <f t="shared" si="413"/>
        <v>0</v>
      </c>
      <c r="AB478" s="32"/>
      <c r="AC478" s="16" t="str">
        <f t="shared" si="414"/>
        <v>F</v>
      </c>
      <c r="AD478" s="419" t="str">
        <f t="shared" si="414"/>
        <v>Tamworth</v>
      </c>
      <c r="AE478" s="419">
        <f>IF(ISNA(MATCH(AC478,N470:N479,0)),0,VLOOKUP(AC478,N470:S479,5,FALSE))</f>
        <v>0</v>
      </c>
      <c r="AF478" s="419" t="str">
        <f>IF(ISNA(MATCH(AC478,T470:T479,0))," ",VLOOKUP(AC478,T470:Y479,5,FALSE))</f>
        <v xml:space="preserve"> </v>
      </c>
      <c r="AG478" s="419">
        <f>IF(ISNA(MATCH(AC478,L472:L479,0)),0,VLOOKUP(AC478,L472:N479,3,FALSE))</f>
        <v>12.7</v>
      </c>
      <c r="AH478" s="419">
        <f>IF(ISNA(MATCH(AC478,R472:R479,0)),0,VLOOKUP(AC478,R472:T479,3,FALSE))</f>
        <v>14.8</v>
      </c>
      <c r="AI478" s="419" t="str">
        <f>IF(ISNA(MATCH(AC478,L472:L479,0)),0,VLOOKUP(AC478,L472:P479,4,FALSE))</f>
        <v>F</v>
      </c>
      <c r="AJ478" s="419" t="str">
        <f>IF(ISNA(MATCH(AC478,R472:R479,0)),0,VLOOKUP(AC478,R472:U479,4,FALSE))</f>
        <v>FF</v>
      </c>
      <c r="AK478" s="32">
        <f t="shared" si="415"/>
        <v>1</v>
      </c>
      <c r="AL478" s="32">
        <f t="shared" si="416"/>
        <v>2</v>
      </c>
      <c r="AM478" s="32">
        <f>IF(ISNA(MATCH(AC478,L472:L479,0)),0,VLOOKUP(AC478,L472:W479,AM$1,FALSE))</f>
        <v>8</v>
      </c>
      <c r="AN478" s="146">
        <f>IF(ISNA(MATCH(AC478,R472:R479,0)),0,VLOOKUP(AC478,R472:W479,AN$1,FALSE))</f>
        <v>7</v>
      </c>
      <c r="AP478" s="931"/>
      <c r="AQ478" s="927"/>
    </row>
    <row r="479" spans="1:47" ht="16.2" thickBot="1" x14ac:dyDescent="0.35">
      <c r="A479" s="418">
        <f t="shared" si="417"/>
        <v>428</v>
      </c>
      <c r="B479" s="365" t="str">
        <f>'Event Details'!D$29</f>
        <v>Y</v>
      </c>
      <c r="C479" s="366" t="str">
        <f>'Event Details'!E$29</f>
        <v>Worcester</v>
      </c>
      <c r="D479" s="361"/>
      <c r="E479" s="370"/>
      <c r="F479" s="367">
        <f>VLOOKUP($B471,IF($H471="F",TeamSheetFemale,TeamSheetMale),$Y479-1,FALSE)</f>
        <v>0</v>
      </c>
      <c r="G479" s="368">
        <f>VLOOKUP($B471,IF($H471="F",TeamSheetFemale,TeamSheetMale),$Y479,FALSE)</f>
        <v>0</v>
      </c>
      <c r="H479" s="367">
        <f>VLOOKUP($B471,IF($H471="F",TeamSheetFemale,TeamSheetMale),$Y479+1,FALSE)</f>
        <v>0</v>
      </c>
      <c r="I479" s="369">
        <f>VLOOKUP($B471,IF($H471="F",TeamSheetFemale,TeamSheetMale),$Y479+2,FALSE)</f>
        <v>0</v>
      </c>
      <c r="K479" s="346" t="s">
        <v>278</v>
      </c>
      <c r="L479" s="25" t="str">
        <f t="shared" si="410"/>
        <v/>
      </c>
      <c r="M479" s="928" t="s">
        <v>148</v>
      </c>
      <c r="N479" s="932"/>
      <c r="O479" s="375" t="str">
        <f>IF(LEN($M479)=1,VLOOKUP(LEFT($M479,1),B472:I479,5,FALSE),IF(LEN($M479)=2,VLOOKUP(LEFT($M479,1),B472:I479,7,FALSE),""))</f>
        <v/>
      </c>
      <c r="P479" s="376" t="str">
        <f>IF(LEN($M479)=1,VLOOKUP(LEFT($M479,1),B472:I479,6,FALSE),IF(LEN($M479)=2,VLOOKUP(LEFT($M479,1),B472:I479,8,FALSE),""))</f>
        <v/>
      </c>
      <c r="Q479" s="346" t="s">
        <v>278</v>
      </c>
      <c r="R479" s="523" t="str">
        <f t="shared" si="411"/>
        <v/>
      </c>
      <c r="S479" s="928" t="s">
        <v>148</v>
      </c>
      <c r="T479" s="932"/>
      <c r="U479" s="375" t="str">
        <f>IF(LEN($S479)=1,VLOOKUP(LEFT($S479,1),B472:I479,5,FALSE),IF(LEN($S479)=2,VLOOKUP(LEFT($S479,1),B472:I479,7,FALSE),""))</f>
        <v/>
      </c>
      <c r="V479" s="376" t="str">
        <f>IF(LEN($S479)=1,VLOOKUP(LEFT($S479,1),B472:I479,6,FALSE),IF(LEN($S479)=2,VLOOKUP(LEFT($S479,1),B472:I479,8,FALSE),""))</f>
        <v/>
      </c>
      <c r="W479" s="418">
        <f t="shared" si="418"/>
        <v>1</v>
      </c>
      <c r="Y479" s="418">
        <v>42</v>
      </c>
      <c r="Z479" s="25">
        <f t="shared" si="412"/>
        <v>0</v>
      </c>
      <c r="AA479" s="523">
        <f t="shared" si="413"/>
        <v>0</v>
      </c>
      <c r="AB479" s="32"/>
      <c r="AC479" s="25" t="str">
        <f t="shared" si="414"/>
        <v>Y</v>
      </c>
      <c r="AD479" s="624" t="str">
        <f t="shared" si="414"/>
        <v>Worcester</v>
      </c>
      <c r="AE479" s="624">
        <f>IF(ISNA(MATCH(AC479,N471:N480,0)),0,VLOOKUP(AC479,N471:S480,5,FALSE))</f>
        <v>0</v>
      </c>
      <c r="AF479" s="624" t="str">
        <f t="shared" ref="AF479" si="419">IF(ISNA(MATCH(AC479,T471:T480,0))," ",VLOOKUP(AC479,T471:Y480,5,FALSE))</f>
        <v xml:space="preserve"> </v>
      </c>
      <c r="AG479" s="624">
        <f>IF(ISNA(MATCH(AC479,L472:L479,0)),0,VLOOKUP(AC479,L472:N479,3,FALSE))</f>
        <v>0</v>
      </c>
      <c r="AH479" s="624">
        <f>IF(ISNA(MATCH(AC479,R472:R479,0)),0,VLOOKUP(AC479,R472:T479,3,FALSE))</f>
        <v>0</v>
      </c>
      <c r="AI479" s="624">
        <f>IF(ISNA(MATCH(AC479,L472:L479,0)),0,VLOOKUP(AC479,L472:P479,4,FALSE))</f>
        <v>0</v>
      </c>
      <c r="AJ479" s="624">
        <f>IF(ISNA(MATCH(AC479,R472:R479,0)),0,VLOOKUP(AC479,R472:U479,4,FALSE))</f>
        <v>0</v>
      </c>
      <c r="AK479" s="116">
        <f t="shared" si="415"/>
        <v>0</v>
      </c>
      <c r="AL479" s="116">
        <f t="shared" si="416"/>
        <v>0</v>
      </c>
      <c r="AM479" s="116">
        <f>IF(ISNA(MATCH(AC479,L472:L479,0)),0,VLOOKUP(AC479,L472:W479,AM$1,FALSE))</f>
        <v>0</v>
      </c>
      <c r="AN479" s="523">
        <f>IF(ISNA(MATCH(AC479,R472:R479,0)),0,VLOOKUP(AC479,R472:W479,AN$1,FALSE))</f>
        <v>0</v>
      </c>
      <c r="AP479" s="928" t="s">
        <v>148</v>
      </c>
      <c r="AQ479" s="932"/>
    </row>
    <row r="480" spans="1:47" ht="15" thickBot="1" x14ac:dyDescent="0.35">
      <c r="M480" s="276"/>
      <c r="N480" s="307"/>
      <c r="S480" s="276"/>
      <c r="T480" s="307"/>
      <c r="AP480" s="276"/>
      <c r="AQ480" s="307"/>
    </row>
    <row r="481" spans="1:47" x14ac:dyDescent="0.3">
      <c r="B481" s="400" t="s">
        <v>258</v>
      </c>
      <c r="C481" s="398"/>
      <c r="D481" s="401" t="s">
        <v>165</v>
      </c>
      <c r="E481" s="398"/>
      <c r="F481" s="398"/>
      <c r="G481" s="402" t="s">
        <v>259</v>
      </c>
      <c r="H481" s="403" t="s">
        <v>249</v>
      </c>
      <c r="I481" s="404" t="s">
        <v>168</v>
      </c>
      <c r="K481" s="360"/>
      <c r="L481" s="661"/>
      <c r="M481" s="387" t="s">
        <v>260</v>
      </c>
      <c r="N481" s="387" t="s">
        <v>261</v>
      </c>
      <c r="O481" s="387" t="s">
        <v>262</v>
      </c>
      <c r="P481" s="388" t="s">
        <v>75</v>
      </c>
      <c r="Q481" s="412"/>
      <c r="R481" s="657"/>
      <c r="S481" s="387" t="s">
        <v>260</v>
      </c>
      <c r="T481" s="387" t="s">
        <v>261</v>
      </c>
      <c r="U481" s="387" t="s">
        <v>262</v>
      </c>
      <c r="V481" s="388" t="s">
        <v>75</v>
      </c>
      <c r="W481" s="672" t="s">
        <v>76</v>
      </c>
      <c r="Y481" s="654" t="s">
        <v>263</v>
      </c>
      <c r="Z481" s="656" t="s">
        <v>74</v>
      </c>
      <c r="AA481" s="657" t="s">
        <v>75</v>
      </c>
      <c r="AC481" s="665" t="s">
        <v>71</v>
      </c>
      <c r="AD481" s="657" t="s">
        <v>86</v>
      </c>
      <c r="AE481" s="661" t="s">
        <v>149</v>
      </c>
      <c r="AF481" s="661" t="s">
        <v>94</v>
      </c>
      <c r="AG481" s="661" t="s">
        <v>149</v>
      </c>
      <c r="AH481" s="661" t="s">
        <v>94</v>
      </c>
      <c r="AI481" s="661" t="s">
        <v>149</v>
      </c>
      <c r="AJ481" s="661" t="s">
        <v>94</v>
      </c>
      <c r="AK481" s="1332" t="s">
        <v>149</v>
      </c>
      <c r="AL481" s="661" t="s">
        <v>94</v>
      </c>
      <c r="AM481" s="1406" t="s">
        <v>76</v>
      </c>
      <c r="AN481" s="1407"/>
      <c r="AP481" s="387" t="s">
        <v>260</v>
      </c>
      <c r="AQ481" s="387" t="s">
        <v>261</v>
      </c>
      <c r="AS481" s="1218" t="s">
        <v>165</v>
      </c>
      <c r="AT481" s="1219" t="s">
        <v>79</v>
      </c>
      <c r="AU481" s="1220" t="s">
        <v>80</v>
      </c>
    </row>
    <row r="482" spans="1:47" ht="15" thickBot="1" x14ac:dyDescent="0.35">
      <c r="B482" s="405">
        <v>43</v>
      </c>
      <c r="C482" s="399"/>
      <c r="D482" s="385" t="str">
        <f>VLOOKUP($B482,EventOrder,6,FALSE)</f>
        <v xml:space="preserve">100m </v>
      </c>
      <c r="E482" s="399"/>
      <c r="F482" s="385"/>
      <c r="G482" s="386" t="str">
        <f>VLOOKUP($B482,EventOrder,4,FALSE)</f>
        <v>U14 Male</v>
      </c>
      <c r="H482" s="396" t="str">
        <f>IF(MID(G482,5,1)="F","F","M")</f>
        <v>M</v>
      </c>
      <c r="I482" s="397">
        <f>VLOOKUP($B482,EventOrder,2,FALSE)</f>
        <v>2.35</v>
      </c>
      <c r="K482" s="372"/>
      <c r="L482" s="667" t="s">
        <v>149</v>
      </c>
      <c r="M482" s="409" t="s">
        <v>264</v>
      </c>
      <c r="N482" s="409" t="s">
        <v>265</v>
      </c>
      <c r="O482" s="409" t="s">
        <v>266</v>
      </c>
      <c r="P482" s="408"/>
      <c r="Q482" s="413"/>
      <c r="R482" s="659" t="s">
        <v>94</v>
      </c>
      <c r="S482" s="409" t="s">
        <v>264</v>
      </c>
      <c r="T482" s="409" t="s">
        <v>265</v>
      </c>
      <c r="U482" s="409" t="s">
        <v>266</v>
      </c>
      <c r="V482" s="408"/>
      <c r="W482" s="671"/>
      <c r="Y482" s="655" t="s">
        <v>167</v>
      </c>
      <c r="Z482" s="658" t="s">
        <v>149</v>
      </c>
      <c r="AA482" s="659" t="s">
        <v>94</v>
      </c>
      <c r="AC482" s="666"/>
      <c r="AD482" s="668"/>
      <c r="AE482" s="768" t="s">
        <v>75</v>
      </c>
      <c r="AF482" s="768" t="s">
        <v>75</v>
      </c>
      <c r="AG482" s="768" t="s">
        <v>267</v>
      </c>
      <c r="AH482" s="768" t="s">
        <v>267</v>
      </c>
      <c r="AI482" s="768" t="s">
        <v>268</v>
      </c>
      <c r="AJ482" s="768" t="s">
        <v>268</v>
      </c>
      <c r="AK482" s="770" t="s">
        <v>269</v>
      </c>
      <c r="AL482" s="768" t="s">
        <v>269</v>
      </c>
      <c r="AM482" s="667" t="s">
        <v>149</v>
      </c>
      <c r="AN482" s="659" t="s">
        <v>94</v>
      </c>
      <c r="AP482" s="409" t="s">
        <v>264</v>
      </c>
      <c r="AQ482" s="409" t="s">
        <v>265</v>
      </c>
      <c r="AS482" s="1221" t="s">
        <v>270</v>
      </c>
      <c r="AT482" s="1222" t="s">
        <v>270</v>
      </c>
      <c r="AU482" s="1223" t="s">
        <v>270</v>
      </c>
    </row>
    <row r="483" spans="1:47" ht="15.6" x14ac:dyDescent="0.3">
      <c r="A483" s="416">
        <f>(B482*10)+1</f>
        <v>431</v>
      </c>
      <c r="B483" s="362" t="str">
        <f>'Event Details'!D$22</f>
        <v>S</v>
      </c>
      <c r="C483" s="381" t="str">
        <f>'Event Details'!E$22</f>
        <v>BRAT</v>
      </c>
      <c r="D483" s="379"/>
      <c r="E483" s="378"/>
      <c r="F483" s="363" t="str">
        <f>VLOOKUP($B482,IF($H482="F",TeamSheetFemale,TeamSheetMale),$Y483-1,FALSE)</f>
        <v>S</v>
      </c>
      <c r="G483" s="380" t="str">
        <f>VLOOKUP($B482,IF($H482="F",TeamSheetFemale,TeamSheetMale),$Y483,FALSE)</f>
        <v xml:space="preserve">William Tse </v>
      </c>
      <c r="H483" s="363" t="str">
        <f>VLOOKUP($B482,IF($H482="F",TeamSheetFemale,TeamSheetMale),$Y483+1,FALSE)</f>
        <v>SS</v>
      </c>
      <c r="I483" s="364" t="str">
        <f>VLOOKUP($B482,IF($H482="F",TeamSheetFemale,TeamSheetMale),$Y483+2,FALSE)</f>
        <v>Elliot Jones</v>
      </c>
      <c r="K483" s="393" t="s">
        <v>271</v>
      </c>
      <c r="L483" s="16" t="str">
        <f t="shared" ref="L483:L490" si="420">LEFT(M483,1)</f>
        <v>R</v>
      </c>
      <c r="M483" s="926" t="s">
        <v>118</v>
      </c>
      <c r="N483" s="926">
        <v>13.2</v>
      </c>
      <c r="O483" s="394" t="str">
        <f>IF(LEN($M483)=1,VLOOKUP(LEFT($M483,1),B483:I490,5,FALSE),IF(LEN($M483)=2,VLOOKUP(LEFT($M483,1),B483:I490,7,FALSE),""))</f>
        <v>R</v>
      </c>
      <c r="P483" s="395" t="str">
        <f>IF(LEN($M483)=1,VLOOKUP(LEFT($M483,1),B483:I490,6,FALSE),IF(LEN($M483)=2,VLOOKUP(LEFT($M483,1),B483:I490,8,FALSE),""))</f>
        <v>Ademiposi (Gideon) Aderibigbe</v>
      </c>
      <c r="Q483" s="406" t="s">
        <v>271</v>
      </c>
      <c r="R483" s="146" t="str">
        <f t="shared" ref="R483:R490" si="421">LEFT(S483,1)</f>
        <v>G</v>
      </c>
      <c r="S483" s="926" t="s">
        <v>820</v>
      </c>
      <c r="T483" s="926">
        <v>13.3</v>
      </c>
      <c r="U483" s="394" t="str">
        <f>IF(LEN($S483)=1,VLOOKUP(LEFT($S483,1),B483:I490,5,FALSE),IF(LEN($S483)=2,VLOOKUP(LEFT($S483,1),B483:I490,7,FALSE),""))</f>
        <v>GG</v>
      </c>
      <c r="V483" s="395" t="str">
        <f>IF(LEN($S483)=1,VLOOKUP(LEFT($S483,1),B483:I490,6,FALSE),IF(LEN($S483)=2,VLOOKUP(LEFT($S483,1),B483:I490,8,FALSE),""))</f>
        <v>Joshua Smith</v>
      </c>
      <c r="W483" s="417">
        <f>AN$6</f>
        <v>8</v>
      </c>
      <c r="Y483" s="653">
        <v>7</v>
      </c>
      <c r="Z483" s="653" t="str">
        <f t="shared" ref="Z483:Z490" si="422">IF(LEN(M483)&gt;0,VLOOKUP(LEFT(M483,1),ShortName,5,FALSE),0)</f>
        <v>Rugby</v>
      </c>
      <c r="AA483" s="138" t="str">
        <f t="shared" ref="AA483:AA490" si="423">IF(LEN(S483)&gt;0,VLOOKUP(LEFT(S483,1),ShortName,5,FALSE),0)</f>
        <v>Royal</v>
      </c>
      <c r="AC483" s="16" t="str">
        <f t="shared" ref="AC483:AD490" si="424">B483</f>
        <v>S</v>
      </c>
      <c r="AD483" s="419" t="str">
        <f t="shared" si="424"/>
        <v>BRAT</v>
      </c>
      <c r="AE483" s="635">
        <f>IF(ISNA(MATCH(AC483,N483:N492,0)),0,VLOOKUP(AC483,N483:S492,5,FALSE))</f>
        <v>0</v>
      </c>
      <c r="AF483" s="635" t="str">
        <f>IF(ISNA(MATCH(AC483,T483:T492,0))," ",VLOOKUP(AC483,T483:Y492,5,FALSE))</f>
        <v xml:space="preserve"> </v>
      </c>
      <c r="AG483" s="635">
        <f>IF(ISNA(MATCH(AC483,L483:L490,0)),0,VLOOKUP(AC483,L483:N490,3,FALSE))</f>
        <v>13.2</v>
      </c>
      <c r="AH483" s="635">
        <f>IF(ISNA(MATCH(AC483,R483:R490,0)),0,VLOOKUP(AC483,R483:T490,3,FALSE))</f>
        <v>13.4</v>
      </c>
      <c r="AI483" s="635" t="str">
        <f>IF(ISNA(MATCH(AC483,L483:L490,0)),0,VLOOKUP(AC483,L483:P490,4,FALSE))</f>
        <v>S</v>
      </c>
      <c r="AJ483" s="635" t="str">
        <f>IF(ISNA(MATCH(AC483,R483:R490,0)),0,VLOOKUP(AC483,R483:U490,4,FALSE))</f>
        <v>SS</v>
      </c>
      <c r="AK483" s="49">
        <f t="shared" ref="AK483:AK490" si="425">IF(AM483=0,0,AN$6-(AM483-1))</f>
        <v>2</v>
      </c>
      <c r="AL483" s="49">
        <f t="shared" ref="AL483:AL490" si="426">IF(AN483=0,0,AN$6-(AN483-1))</f>
        <v>2</v>
      </c>
      <c r="AM483" s="49">
        <f>IF(ISNA(MATCH(AC483,L483:L490,0)),0,VLOOKUP(AC483,L483:W490,AM$1,FALSE))</f>
        <v>7</v>
      </c>
      <c r="AN483" s="138">
        <f>IF(ISNA(MATCH(AC483,R483:R490,0)),0,VLOOKUP(AC483,R483:W490,AN$1,FALSE))</f>
        <v>7</v>
      </c>
      <c r="AP483" s="926"/>
      <c r="AQ483" s="926"/>
      <c r="AS483" s="32">
        <f>IF(LEN(N483)&gt;0,1,0)</f>
        <v>1</v>
      </c>
      <c r="AT483" s="32">
        <f>IF(AND(AS483=1,H482="M"),1,0)</f>
        <v>1</v>
      </c>
      <c r="AU483" s="32">
        <f>IF(AND(AS483=1,H482="F"),1,0)</f>
        <v>0</v>
      </c>
    </row>
    <row r="484" spans="1:47" ht="15.6" x14ac:dyDescent="0.3">
      <c r="A484" s="417">
        <f>A483+1</f>
        <v>432</v>
      </c>
      <c r="B484" s="362" t="str">
        <f>'Event Details'!D$23</f>
        <v>U</v>
      </c>
      <c r="C484" s="381" t="str">
        <f>'Event Details'!E$23</f>
        <v>Kidder &amp; Stourport</v>
      </c>
      <c r="D484" s="379"/>
      <c r="E484" s="378"/>
      <c r="F484" s="363" t="str">
        <f>VLOOKUP($B482,IF($H482="F",TeamSheetFemale,TeamSheetMale),$Y484-1,FALSE)</f>
        <v>U</v>
      </c>
      <c r="G484" s="380" t="str">
        <f>VLOOKUP($B482,IF($H482="F",TeamSheetFemale,TeamSheetMale),$Y484,FALSE)</f>
        <v>Benjamin Askey</v>
      </c>
      <c r="H484" s="363">
        <f>VLOOKUP($B482,IF($H482="F",TeamSheetFemale,TeamSheetMale),$Y484+1,FALSE)</f>
        <v>0</v>
      </c>
      <c r="I484" s="364">
        <f>VLOOKUP($B482,IF($H482="F",TeamSheetFemale,TeamSheetMale),$Y484+2,FALSE)</f>
        <v>0</v>
      </c>
      <c r="K484" s="341" t="s">
        <v>272</v>
      </c>
      <c r="L484" s="16" t="str">
        <f t="shared" si="420"/>
        <v>S</v>
      </c>
      <c r="M484" s="927" t="s">
        <v>100</v>
      </c>
      <c r="N484" s="927">
        <v>13.2</v>
      </c>
      <c r="O484" s="354" t="str">
        <f>IF(LEN($M484)=1,VLOOKUP(LEFT($M484,1),B483:I490,5,FALSE),IF(LEN($M484)=2,VLOOKUP(LEFT($M484,1),B483:I490,7,FALSE),""))</f>
        <v>S</v>
      </c>
      <c r="P484" s="410" t="str">
        <f>IF(LEN($M484)=1,VLOOKUP(LEFT($M484,1),B483:I490,6,FALSE),IF(LEN($M484)=2,VLOOKUP(LEFT($M484,1),B483:I490,8,FALSE),""))</f>
        <v xml:space="preserve">William Tse </v>
      </c>
      <c r="Q484" s="371" t="s">
        <v>272</v>
      </c>
      <c r="R484" s="146" t="str">
        <f t="shared" si="421"/>
        <v>S</v>
      </c>
      <c r="S484" s="927" t="s">
        <v>818</v>
      </c>
      <c r="T484" s="927">
        <v>13.4</v>
      </c>
      <c r="U484" s="354" t="str">
        <f>IF(LEN($S484)=1,VLOOKUP(LEFT($S484,1),B483:I490,5,FALSE),IF(LEN($S484)=2,VLOOKUP(LEFT($S484,1),B483:I490,7,FALSE),""))</f>
        <v>SS</v>
      </c>
      <c r="V484" s="410" t="str">
        <f>IF(LEN($S484)=1,VLOOKUP(LEFT($S484,1),B483:I490,6,FALSE),IF(LEN($S484)=2,VLOOKUP(LEFT($S484,1),B483:I490,8,FALSE),""))</f>
        <v>Elliot Jones</v>
      </c>
      <c r="W484" s="417">
        <f>W483-1</f>
        <v>7</v>
      </c>
      <c r="Y484" s="16">
        <v>12</v>
      </c>
      <c r="Z484" s="16" t="str">
        <f t="shared" si="422"/>
        <v>BRAT</v>
      </c>
      <c r="AA484" s="146" t="str">
        <f t="shared" si="423"/>
        <v>BRAT</v>
      </c>
      <c r="AC484" s="16" t="str">
        <f t="shared" si="424"/>
        <v>U</v>
      </c>
      <c r="AD484" s="419" t="str">
        <f t="shared" si="424"/>
        <v>Kidder &amp; Stourport</v>
      </c>
      <c r="AE484" s="419">
        <f>IF(ISNA(MATCH(AC484,N483:N492,0)),0,VLOOKUP(AC484,N483:S492,5,FALSE))</f>
        <v>0</v>
      </c>
      <c r="AF484" s="419" t="str">
        <f>IF(ISNA(MATCH(AC484,T483:T492,0))," ",VLOOKUP(AC484,T483:Y492,5,FALSE))</f>
        <v xml:space="preserve"> </v>
      </c>
      <c r="AG484" s="419">
        <f>IF(ISNA(MATCH(AC484,L483:L490,0)),0,VLOOKUP(AC484,L483:N490,3,FALSE))</f>
        <v>16.600000000000001</v>
      </c>
      <c r="AH484" s="419">
        <f>IF(ISNA(MATCH(AC484,R483:R490,0)),0,VLOOKUP(AC484,R483:T490,3,FALSE))</f>
        <v>0</v>
      </c>
      <c r="AI484" s="419" t="str">
        <f>IF(ISNA(MATCH(AC484,L483:L490,0)),0,VLOOKUP(AC484,L483:P490,4,FALSE))</f>
        <v>U</v>
      </c>
      <c r="AJ484" s="419">
        <f>IF(ISNA(MATCH(AC484,R483:R490,0)),0,VLOOKUP(AC484,R483:U490,4,FALSE))</f>
        <v>0</v>
      </c>
      <c r="AK484" s="32">
        <f t="shared" si="425"/>
        <v>7</v>
      </c>
      <c r="AL484" s="32">
        <f t="shared" si="426"/>
        <v>0</v>
      </c>
      <c r="AM484" s="32">
        <f>IF(ISNA(MATCH(AC484,L483:L490,0)),0,VLOOKUP(AC484,L483:W490,AM$1,FALSE))</f>
        <v>2</v>
      </c>
      <c r="AN484" s="146">
        <f>IF(ISNA(MATCH(AC484,R483:R490,0)),0,VLOOKUP(AC484,R483:W490,AN$1,FALSE))</f>
        <v>0</v>
      </c>
      <c r="AP484" s="927"/>
      <c r="AQ484" s="927"/>
    </row>
    <row r="485" spans="1:47" ht="15.6" x14ac:dyDescent="0.3">
      <c r="A485" s="417">
        <f t="shared" ref="A485:A490" si="427">A484+1</f>
        <v>433</v>
      </c>
      <c r="B485" s="362" t="str">
        <f>'Event Details'!D$24</f>
        <v>G</v>
      </c>
      <c r="C485" s="381" t="str">
        <f>'Event Details'!E$24</f>
        <v>Royal Sutton</v>
      </c>
      <c r="D485" s="379"/>
      <c r="E485" s="378"/>
      <c r="F485" s="363" t="str">
        <f>VLOOKUP($B482,IF($H482="F",TeamSheetFemale,TeamSheetMale),$Y485-1,FALSE)</f>
        <v>G</v>
      </c>
      <c r="G485" s="380" t="str">
        <f>VLOOKUP($B482,IF($H482="F",TeamSheetFemale,TeamSheetMale),$Y485,FALSE)</f>
        <v>Karram Sahota</v>
      </c>
      <c r="H485" s="363" t="str">
        <f>VLOOKUP($B482,IF($H482="F",TeamSheetFemale,TeamSheetMale),$Y485+1,FALSE)</f>
        <v>GG</v>
      </c>
      <c r="I485" s="364" t="str">
        <f>VLOOKUP($B482,IF($H482="F",TeamSheetFemale,TeamSheetMale),$Y485+2,FALSE)</f>
        <v>Joshua Smith</v>
      </c>
      <c r="K485" s="341" t="s">
        <v>273</v>
      </c>
      <c r="L485" s="16" t="str">
        <f t="shared" si="420"/>
        <v>G</v>
      </c>
      <c r="M485" s="927" t="s">
        <v>110</v>
      </c>
      <c r="N485" s="927">
        <v>13.3</v>
      </c>
      <c r="O485" s="354" t="str">
        <f>IF(LEN($M485)=1,VLOOKUP(LEFT($M485,1),B483:I490,5,FALSE),IF(LEN($M485)=2,VLOOKUP(LEFT($M485,1),B483:I490,7,FALSE),""))</f>
        <v>G</v>
      </c>
      <c r="P485" s="410" t="str">
        <f>IF(LEN($M485)=1,VLOOKUP(LEFT($M485,1),B483:I490,6,FALSE),IF(LEN($M485)=2,VLOOKUP(LEFT($M485,1),B483:I490,8,FALSE),""))</f>
        <v>Karram Sahota</v>
      </c>
      <c r="Q485" s="371" t="s">
        <v>273</v>
      </c>
      <c r="R485" s="146" t="str">
        <f t="shared" si="421"/>
        <v>F</v>
      </c>
      <c r="S485" s="927" t="s">
        <v>576</v>
      </c>
      <c r="T485" s="927">
        <v>13.6</v>
      </c>
      <c r="U485" s="354" t="str">
        <f>IF(LEN($S485)=1,VLOOKUP(LEFT($S485,1),B483:I490,5,FALSE),IF(LEN($S485)=2,VLOOKUP(LEFT($S485,1),B483:I490,7,FALSE),""))</f>
        <v>FF</v>
      </c>
      <c r="V485" s="410" t="str">
        <f>IF(LEN($S485)=1,VLOOKUP(LEFT($S485,1),B483:I490,6,FALSE),IF(LEN($S485)=2,VLOOKUP(LEFT($S485,1),B483:I490,8,FALSE),""))</f>
        <v>Joseph Sizer</v>
      </c>
      <c r="W485" s="417">
        <f t="shared" ref="W485:W490" si="428">W484-1</f>
        <v>6</v>
      </c>
      <c r="Y485" s="16">
        <v>17</v>
      </c>
      <c r="Z485" s="16" t="str">
        <f t="shared" si="422"/>
        <v>Royal</v>
      </c>
      <c r="AA485" s="146" t="str">
        <f t="shared" si="423"/>
        <v>Tam</v>
      </c>
      <c r="AC485" s="16" t="str">
        <f t="shared" si="424"/>
        <v>G</v>
      </c>
      <c r="AD485" s="419" t="str">
        <f t="shared" si="424"/>
        <v>Royal Sutton</v>
      </c>
      <c r="AE485" s="419">
        <f>IF(ISNA(MATCH(AC485,N483:N492,0)),0,VLOOKUP(AC485,N483:S492,5,FALSE))</f>
        <v>0</v>
      </c>
      <c r="AF485" s="419" t="str">
        <f>IF(ISNA(MATCH(AC485,T483:T492,0))," ",VLOOKUP(AC485,T483:Y492,5,FALSE))</f>
        <v xml:space="preserve"> </v>
      </c>
      <c r="AG485" s="419">
        <f>IF(ISNA(MATCH(AC485,L483:L490,0)),0,VLOOKUP(AC485,L483:N490,3,FALSE))</f>
        <v>13.3</v>
      </c>
      <c r="AH485" s="419">
        <f>IF(ISNA(MATCH(AC485,R483:R490,0)),0,VLOOKUP(AC485,R483:T490,3,FALSE))</f>
        <v>13.3</v>
      </c>
      <c r="AI485" s="419" t="str">
        <f>IF(ISNA(MATCH(AC485,L483:L490,0)),0,VLOOKUP(AC485,L483:P490,4,FALSE))</f>
        <v>G</v>
      </c>
      <c r="AJ485" s="419" t="str">
        <f>IF(ISNA(MATCH(AC485,R483:R490,0)),0,VLOOKUP(AC485,R483:U490,4,FALSE))</f>
        <v>GG</v>
      </c>
      <c r="AK485" s="32">
        <f t="shared" si="425"/>
        <v>3</v>
      </c>
      <c r="AL485" s="32">
        <f t="shared" si="426"/>
        <v>1</v>
      </c>
      <c r="AM485" s="32">
        <f>IF(ISNA(MATCH(AC485,L483:L490,0)),0,VLOOKUP(AC485,L483:W490,AM$1,FALSE))</f>
        <v>6</v>
      </c>
      <c r="AN485" s="146">
        <f>IF(ISNA(MATCH(AC485,R483:R490,0)),0,VLOOKUP(AC485,R483:W490,AN$1,FALSE))</f>
        <v>8</v>
      </c>
      <c r="AP485" s="927"/>
      <c r="AQ485" s="927"/>
    </row>
    <row r="486" spans="1:47" ht="15.6" x14ac:dyDescent="0.3">
      <c r="A486" s="417">
        <f t="shared" si="427"/>
        <v>434</v>
      </c>
      <c r="B486" s="362" t="str">
        <f>'Event Details'!D$25</f>
        <v>R</v>
      </c>
      <c r="C486" s="381" t="str">
        <f>'Event Details'!E$25</f>
        <v>Rugby &amp; N'hampton</v>
      </c>
      <c r="D486" s="379"/>
      <c r="E486" s="378"/>
      <c r="F486" s="363" t="str">
        <f>VLOOKUP($B482,IF($H482="F",TeamSheetFemale,TeamSheetMale),$Y486-1,FALSE)</f>
        <v>R</v>
      </c>
      <c r="G486" s="380" t="str">
        <f>VLOOKUP($B482,IF($H482="F",TeamSheetFemale,TeamSheetMale),$Y486,FALSE)</f>
        <v>Ademiposi (Gideon) Aderibigbe</v>
      </c>
      <c r="H486" s="363" t="str">
        <f>VLOOKUP($B482,IF($H482="F",TeamSheetFemale,TeamSheetMale),$Y486+1,FALSE)</f>
        <v>RR</v>
      </c>
      <c r="I486" s="364" t="str">
        <f>VLOOKUP($B482,IF($H482="F",TeamSheetFemale,TeamSheetMale),$Y486+2,FALSE)</f>
        <v>Samuel Airhihen</v>
      </c>
      <c r="K486" s="341" t="s">
        <v>274</v>
      </c>
      <c r="L486" s="16" t="str">
        <f t="shared" si="420"/>
        <v>D</v>
      </c>
      <c r="M486" s="927" t="s">
        <v>136</v>
      </c>
      <c r="N486" s="927">
        <v>15</v>
      </c>
      <c r="O486" s="354" t="str">
        <f>IF(LEN($M486)=1,VLOOKUP(LEFT($M486,1),B483:I490,5,FALSE),IF(LEN($M486)=2,VLOOKUP(LEFT($M486,1),B483:I490,7,FALSE),""))</f>
        <v>D</v>
      </c>
      <c r="P486" s="410" t="str">
        <f>IF(LEN($M486)=1,VLOOKUP(LEFT($M486,1),B483:I490,6,FALSE),IF(LEN($M486)=2,VLOOKUP(LEFT($M486,1),B483:I490,8,FALSE),""))</f>
        <v>Jasper Hadley</v>
      </c>
      <c r="Q486" s="371" t="s">
        <v>274</v>
      </c>
      <c r="R486" s="146" t="str">
        <f t="shared" si="421"/>
        <v>R</v>
      </c>
      <c r="S486" s="927" t="s">
        <v>819</v>
      </c>
      <c r="T486" s="927">
        <v>14.1</v>
      </c>
      <c r="U486" s="354" t="str">
        <f>IF(LEN($S486)=1,VLOOKUP(LEFT($S486,1),B483:I490,5,FALSE),IF(LEN($S486)=2,VLOOKUP(LEFT($S486,1),B483:I490,7,FALSE),""))</f>
        <v>RR</v>
      </c>
      <c r="V486" s="410" t="str">
        <f>IF(LEN($S486)=1,VLOOKUP(LEFT($S486,1),B483:I490,6,FALSE),IF(LEN($S486)=2,VLOOKUP(LEFT($S486,1),B483:I490,8,FALSE),""))</f>
        <v>Samuel Airhihen</v>
      </c>
      <c r="W486" s="417">
        <f t="shared" si="428"/>
        <v>5</v>
      </c>
      <c r="Y486" s="16">
        <v>22</v>
      </c>
      <c r="Z486" s="16" t="str">
        <f t="shared" si="422"/>
        <v>Strat</v>
      </c>
      <c r="AA486" s="146" t="str">
        <f t="shared" si="423"/>
        <v>Rugby</v>
      </c>
      <c r="AC486" s="16" t="str">
        <f t="shared" si="424"/>
        <v>R</v>
      </c>
      <c r="AD486" s="419" t="str">
        <f t="shared" si="424"/>
        <v>Rugby &amp; N'hampton</v>
      </c>
      <c r="AE486" s="419">
        <f>IF(ISNA(MATCH(AC486,N483:N492,0)),0,VLOOKUP(AC486,N483:S492,5,FALSE))</f>
        <v>0</v>
      </c>
      <c r="AF486" s="419" t="str">
        <f>IF(ISNA(MATCH(AC486,T483:T492,0))," ",VLOOKUP(AC486,T483:Y492,5,FALSE))</f>
        <v xml:space="preserve"> </v>
      </c>
      <c r="AG486" s="419">
        <f>IF(ISNA(MATCH(AC486,L483:L490,0)),0,VLOOKUP(AC486,L483:N490,3,FALSE))</f>
        <v>13.2</v>
      </c>
      <c r="AH486" s="419">
        <f>IF(ISNA(MATCH(AC486,R483:R490,0)),0,VLOOKUP(AC486,R483:T490,3,FALSE))</f>
        <v>14.1</v>
      </c>
      <c r="AI486" s="419" t="str">
        <f>IF(ISNA(MATCH(AC486,L483:L490,0)),0,VLOOKUP(AC486,L483:P490,4,FALSE))</f>
        <v>R</v>
      </c>
      <c r="AJ486" s="419" t="str">
        <f>IF(ISNA(MATCH(AC486,R483:R490,0)),0,VLOOKUP(AC486,R483:U490,4,FALSE))</f>
        <v>RR</v>
      </c>
      <c r="AK486" s="32">
        <f t="shared" si="425"/>
        <v>1</v>
      </c>
      <c r="AL486" s="32">
        <f t="shared" si="426"/>
        <v>4</v>
      </c>
      <c r="AM486" s="32">
        <f>IF(ISNA(MATCH(AC486,L483:L490,0)),0,VLOOKUP(AC486,L483:W490,AM$1,FALSE))</f>
        <v>8</v>
      </c>
      <c r="AN486" s="146">
        <f>IF(ISNA(MATCH(AC486,R483:R490,0)),0,VLOOKUP(AC486,R483:W490,AN$1,FALSE))</f>
        <v>5</v>
      </c>
      <c r="AP486" s="927"/>
      <c r="AQ486" s="927"/>
    </row>
    <row r="487" spans="1:47" ht="15.6" x14ac:dyDescent="0.3">
      <c r="A487" s="417">
        <f t="shared" si="427"/>
        <v>435</v>
      </c>
      <c r="B487" s="362" t="str">
        <f>'Event Details'!D$26</f>
        <v>M</v>
      </c>
      <c r="C487" s="381" t="str">
        <f>'Event Details'!E$26</f>
        <v>Solihull &amp; S.Heath</v>
      </c>
      <c r="D487" s="379"/>
      <c r="E487" s="378"/>
      <c r="F487" s="363" t="str">
        <f>VLOOKUP($B482,IF($H482="F",TeamSheetFemale,TeamSheetMale),$Y487-1,FALSE)</f>
        <v>M</v>
      </c>
      <c r="G487" s="380" t="str">
        <f>VLOOKUP($B482,IF($H482="F",TeamSheetFemale,TeamSheetMale),$Y487,FALSE)</f>
        <v>Peter Holdsworth</v>
      </c>
      <c r="H487" s="363" t="str">
        <f>VLOOKUP($B482,IF($H482="F",TeamSheetFemale,TeamSheetMale),$Y487+1,FALSE)</f>
        <v>MM</v>
      </c>
      <c r="I487" s="364" t="str">
        <f>VLOOKUP($B482,IF($H482="F",TeamSheetFemale,TeamSheetMale),$Y487+2,FALSE)</f>
        <v>Ethan Miles</v>
      </c>
      <c r="K487" s="341" t="s">
        <v>275</v>
      </c>
      <c r="L487" s="16" t="str">
        <f t="shared" si="420"/>
        <v>M</v>
      </c>
      <c r="M487" s="927" t="s">
        <v>127</v>
      </c>
      <c r="N487" s="927">
        <v>15.5</v>
      </c>
      <c r="O487" s="354" t="str">
        <f>IF(LEN($M487)=1,VLOOKUP(LEFT($M487,1),B483:I490,5,FALSE),IF(LEN($M487)=2,VLOOKUP(LEFT($M487,1),B483:I490,7,FALSE),""))</f>
        <v>M</v>
      </c>
      <c r="P487" s="410" t="str">
        <f>IF(LEN($M487)=1,VLOOKUP(LEFT($M487,1),B483:I490,6,FALSE),IF(LEN($M487)=2,VLOOKUP(LEFT($M487,1),B483:I490,8,FALSE),""))</f>
        <v>Peter Holdsworth</v>
      </c>
      <c r="Q487" s="371" t="s">
        <v>275</v>
      </c>
      <c r="R487" s="146" t="str">
        <f t="shared" si="421"/>
        <v>D</v>
      </c>
      <c r="S487" s="927" t="s">
        <v>513</v>
      </c>
      <c r="T487" s="927">
        <v>14.4</v>
      </c>
      <c r="U487" s="354" t="str">
        <f>IF(LEN($S487)=1,VLOOKUP(LEFT($S487,1),B483:I490,5,FALSE),IF(LEN($S487)=2,VLOOKUP(LEFT($S487,1),B483:I490,7,FALSE),""))</f>
        <v>DD</v>
      </c>
      <c r="V487" s="410" t="str">
        <f>IF(LEN($S487)=1,VLOOKUP(LEFT($S487,1),B483:I490,6,FALSE),IF(LEN($S487)=2,VLOOKUP(LEFT($S487,1),B483:I490,8,FALSE),""))</f>
        <v>Otis Lesatele</v>
      </c>
      <c r="W487" s="417">
        <f t="shared" si="428"/>
        <v>4</v>
      </c>
      <c r="Y487" s="16">
        <v>27</v>
      </c>
      <c r="Z487" s="16" t="str">
        <f t="shared" si="422"/>
        <v>Sol</v>
      </c>
      <c r="AA487" s="146" t="str">
        <f t="shared" si="423"/>
        <v>Strat</v>
      </c>
      <c r="AC487" s="16" t="str">
        <f t="shared" si="424"/>
        <v>M</v>
      </c>
      <c r="AD487" s="419" t="str">
        <f t="shared" si="424"/>
        <v>Solihull &amp; S.Heath</v>
      </c>
      <c r="AE487" s="419">
        <f>IF(ISNA(MATCH(AC487,N483:N492,0)),0,VLOOKUP(AC487,N483:S492,5,FALSE))</f>
        <v>0</v>
      </c>
      <c r="AF487" s="419" t="str">
        <f>IF(ISNA(MATCH(AC487,T483:T492,0))," ",VLOOKUP(AC487,T483:Y492,5,FALSE))</f>
        <v xml:space="preserve"> </v>
      </c>
      <c r="AG487" s="419">
        <f>IF(ISNA(MATCH(AC487,L483:L490,0)),0,VLOOKUP(AC487,L483:N490,3,FALSE))</f>
        <v>15.5</v>
      </c>
      <c r="AH487" s="419">
        <f>IF(ISNA(MATCH(AC487,R483:R490,0)),0,VLOOKUP(AC487,R483:T490,3,FALSE))</f>
        <v>15.4</v>
      </c>
      <c r="AI487" s="419" t="str">
        <f>IF(ISNA(MATCH(AC487,L483:L490,0)),0,VLOOKUP(AC487,L483:P490,4,FALSE))</f>
        <v>M</v>
      </c>
      <c r="AJ487" s="419" t="str">
        <f>IF(ISNA(MATCH(AC487,R483:R490,0)),0,VLOOKUP(AC487,R483:U490,4,FALSE))</f>
        <v>MM</v>
      </c>
      <c r="AK487" s="32">
        <f t="shared" si="425"/>
        <v>5</v>
      </c>
      <c r="AL487" s="32">
        <f t="shared" si="426"/>
        <v>6</v>
      </c>
      <c r="AM487" s="32">
        <f>IF(ISNA(MATCH(AC487,L483:L490,0)),0,VLOOKUP(AC487,L483:W490,AM$1,FALSE))</f>
        <v>4</v>
      </c>
      <c r="AN487" s="146">
        <f>IF(ISNA(MATCH(AC487,R483:R490,0)),0,VLOOKUP(AC487,R483:W490,AN$1,FALSE))</f>
        <v>3</v>
      </c>
      <c r="AP487" s="927"/>
      <c r="AQ487" s="927"/>
    </row>
    <row r="488" spans="1:47" ht="15.6" x14ac:dyDescent="0.3">
      <c r="A488" s="417">
        <f t="shared" si="427"/>
        <v>436</v>
      </c>
      <c r="B488" s="362" t="str">
        <f>'Event Details'!D$27</f>
        <v>D</v>
      </c>
      <c r="C488" s="381" t="str">
        <f>'Event Details'!E$27</f>
        <v>Stratford</v>
      </c>
      <c r="D488" s="379"/>
      <c r="E488" s="378"/>
      <c r="F488" s="363" t="str">
        <f>VLOOKUP($B482,IF($H482="F",TeamSheetFemale,TeamSheetMale),$Y488-1,FALSE)</f>
        <v>D</v>
      </c>
      <c r="G488" s="380" t="str">
        <f>VLOOKUP($B482,IF($H482="F",TeamSheetFemale,TeamSheetMale),$Y488,FALSE)</f>
        <v>Jasper Hadley</v>
      </c>
      <c r="H488" s="363" t="str">
        <f>VLOOKUP($B482,IF($H482="F",TeamSheetFemale,TeamSheetMale),$Y488+1,FALSE)</f>
        <v>DD</v>
      </c>
      <c r="I488" s="364" t="str">
        <f>VLOOKUP($B482,IF($H482="F",TeamSheetFemale,TeamSheetMale),$Y488+2,FALSE)</f>
        <v>Otis Lesatele</v>
      </c>
      <c r="K488" s="341" t="s">
        <v>276</v>
      </c>
      <c r="L488" s="16" t="str">
        <f t="shared" si="420"/>
        <v>Y</v>
      </c>
      <c r="M488" s="927" t="s">
        <v>151</v>
      </c>
      <c r="N488" s="927">
        <v>16.3</v>
      </c>
      <c r="O488" s="354" t="str">
        <f>IF(LEN($M488)=1,VLOOKUP(LEFT($M488,1),B483:I490,5,FALSE),IF(LEN($M488)=2,VLOOKUP(LEFT($M488,1),B483:I490,7,FALSE),""))</f>
        <v>Y</v>
      </c>
      <c r="P488" s="410" t="str">
        <f>IF(LEN($M488)=1,VLOOKUP(LEFT($M488,1),B483:I490,6,FALSE),IF(LEN($M488)=2,VLOOKUP(LEFT($M488,1),B483:I490,8,FALSE),""))</f>
        <v>Zachary Hope</v>
      </c>
      <c r="Q488" s="371" t="s">
        <v>276</v>
      </c>
      <c r="R488" s="146" t="str">
        <f t="shared" si="421"/>
        <v>M</v>
      </c>
      <c r="S488" s="927" t="s">
        <v>821</v>
      </c>
      <c r="T488" s="927">
        <v>15.4</v>
      </c>
      <c r="U488" s="354" t="str">
        <f>IF(LEN($S488)=1,VLOOKUP(LEFT($S488,1),B483:I490,5,FALSE),IF(LEN($S488)=2,VLOOKUP(LEFT($S488,1),B483:I490,7,FALSE),""))</f>
        <v>MM</v>
      </c>
      <c r="V488" s="410" t="str">
        <f>IF(LEN($S488)=1,VLOOKUP(LEFT($S488,1),B483:I490,6,FALSE),IF(LEN($S488)=2,VLOOKUP(LEFT($S488,1),B483:I490,8,FALSE),""))</f>
        <v>Ethan Miles</v>
      </c>
      <c r="W488" s="417">
        <f t="shared" si="428"/>
        <v>3</v>
      </c>
      <c r="Y488" s="16">
        <v>32</v>
      </c>
      <c r="Z488" s="16" t="str">
        <f t="shared" si="422"/>
        <v>Worc</v>
      </c>
      <c r="AA488" s="146" t="str">
        <f t="shared" si="423"/>
        <v>Sol</v>
      </c>
      <c r="AC488" s="16" t="str">
        <f t="shared" si="424"/>
        <v>D</v>
      </c>
      <c r="AD488" s="419" t="str">
        <f t="shared" si="424"/>
        <v>Stratford</v>
      </c>
      <c r="AE488" s="419">
        <f>IF(ISNA(MATCH(AC488,N483:N492,0)),0,VLOOKUP(AC488,N483:S492,5,FALSE))</f>
        <v>0</v>
      </c>
      <c r="AF488" s="419" t="str">
        <f>IF(ISNA(MATCH(AC488,T483:T492,0))," ",VLOOKUP(AC488,T483:Y492,5,FALSE))</f>
        <v xml:space="preserve"> </v>
      </c>
      <c r="AG488" s="419">
        <f>IF(ISNA(MATCH(AC488,L483:L490,0)),0,VLOOKUP(AC488,L483:N490,3,FALSE))</f>
        <v>15</v>
      </c>
      <c r="AH488" s="419">
        <f>IF(ISNA(MATCH(AC488,R483:R490,0)),0,VLOOKUP(AC488,R483:T490,3,FALSE))</f>
        <v>14.4</v>
      </c>
      <c r="AI488" s="419" t="str">
        <f>IF(ISNA(MATCH(AC488,L483:L490,0)),0,VLOOKUP(AC488,L483:P490,4,FALSE))</f>
        <v>D</v>
      </c>
      <c r="AJ488" s="419" t="str">
        <f>IF(ISNA(MATCH(AC488,R483:R490,0)),0,VLOOKUP(AC488,R483:U490,4,FALSE))</f>
        <v>DD</v>
      </c>
      <c r="AK488" s="32">
        <f t="shared" si="425"/>
        <v>4</v>
      </c>
      <c r="AL488" s="32">
        <f t="shared" si="426"/>
        <v>5</v>
      </c>
      <c r="AM488" s="32">
        <f>IF(ISNA(MATCH(AC488,L483:L490,0)),0,VLOOKUP(AC488,L483:W490,AM$1,FALSE))</f>
        <v>5</v>
      </c>
      <c r="AN488" s="146">
        <f>IF(ISNA(MATCH(AC488,R483:R490,0)),0,VLOOKUP(AC488,R483:W490,AN$1,FALSE))</f>
        <v>4</v>
      </c>
      <c r="AP488" s="927"/>
      <c r="AQ488" s="927"/>
    </row>
    <row r="489" spans="1:47" ht="15.6" x14ac:dyDescent="0.3">
      <c r="A489" s="417">
        <f t="shared" si="427"/>
        <v>437</v>
      </c>
      <c r="B489" s="362" t="str">
        <f>'Event Details'!D$28</f>
        <v>F</v>
      </c>
      <c r="C489" s="381" t="str">
        <f>'Event Details'!E$28</f>
        <v>Tamworth</v>
      </c>
      <c r="D489" s="379"/>
      <c r="E489" s="378"/>
      <c r="F489" s="363" t="str">
        <f>VLOOKUP($B482,IF($H482="F",TeamSheetFemale,TeamSheetMale),$Y489-1,FALSE)</f>
        <v>F</v>
      </c>
      <c r="G489" s="380" t="str">
        <f>VLOOKUP($B482,IF($H482="F",TeamSheetFemale,TeamSheetMale),$Y489,FALSE)</f>
        <v>Elijah Brockway</v>
      </c>
      <c r="H489" s="363" t="str">
        <f>VLOOKUP($B482,IF($H482="F",TeamSheetFemale,TeamSheetMale),$Y489+1,FALSE)</f>
        <v>FF</v>
      </c>
      <c r="I489" s="364" t="str">
        <f>VLOOKUP($B482,IF($H482="F",TeamSheetFemale,TeamSheetMale),$Y489+2,FALSE)</f>
        <v>Joseph Sizer</v>
      </c>
      <c r="K489" s="341" t="s">
        <v>277</v>
      </c>
      <c r="L489" s="16" t="str">
        <f t="shared" si="420"/>
        <v>U</v>
      </c>
      <c r="M489" s="931" t="s">
        <v>130</v>
      </c>
      <c r="N489" s="927">
        <v>16.600000000000001</v>
      </c>
      <c r="O489" s="354" t="str">
        <f>IF(LEN($M489)=1,VLOOKUP(LEFT($M489,1),B483:I490,5,FALSE),IF(LEN($M489)=2,VLOOKUP(LEFT($M489,1),B483:I490,7,FALSE),""))</f>
        <v>U</v>
      </c>
      <c r="P489" s="410" t="str">
        <f>IF(LEN($M489)=1,VLOOKUP(LEFT($M489,1),B483:I490,6,FALSE),IF(LEN($M489)=2,VLOOKUP(LEFT($M489,1),B483:I490,8,FALSE),""))</f>
        <v>Benjamin Askey</v>
      </c>
      <c r="Q489" s="371" t="s">
        <v>277</v>
      </c>
      <c r="R489" s="146" t="str">
        <f t="shared" si="421"/>
        <v/>
      </c>
      <c r="S489" s="931"/>
      <c r="T489" s="927"/>
      <c r="U489" s="354" t="str">
        <f>IF(LEN($S489)=1,VLOOKUP(LEFT($S489,1),B483:I490,5,FALSE),IF(LEN($S489)=2,VLOOKUP(LEFT($S489,1),B483:I490,7,FALSE),""))</f>
        <v/>
      </c>
      <c r="V489" s="410" t="str">
        <f>IF(LEN($S489)=1,VLOOKUP(LEFT($S489,1),B483:I490,6,FALSE),IF(LEN($S489)=2,VLOOKUP(LEFT($S489,1),B483:I490,8,FALSE),""))</f>
        <v/>
      </c>
      <c r="W489" s="417">
        <f t="shared" si="428"/>
        <v>2</v>
      </c>
      <c r="Y489" s="16">
        <v>37</v>
      </c>
      <c r="Z489" s="16" t="str">
        <f t="shared" si="422"/>
        <v>K&amp;S</v>
      </c>
      <c r="AA489" s="146">
        <f t="shared" si="423"/>
        <v>0</v>
      </c>
      <c r="AC489" s="16" t="str">
        <f t="shared" si="424"/>
        <v>F</v>
      </c>
      <c r="AD489" s="419" t="str">
        <f t="shared" si="424"/>
        <v>Tamworth</v>
      </c>
      <c r="AE489" s="419">
        <f>IF(ISNA(MATCH(AC489,N481:N490,0)),0,VLOOKUP(AC489,N481:S490,5,FALSE))</f>
        <v>0</v>
      </c>
      <c r="AF489" s="419" t="str">
        <f>IF(ISNA(MATCH(AC489,T481:T490,0))," ",VLOOKUP(AC489,T481:Y490,5,FALSE))</f>
        <v xml:space="preserve"> </v>
      </c>
      <c r="AG489" s="419">
        <f>IF(ISNA(MATCH(AC489,L483:L490,0)),0,VLOOKUP(AC489,L483:N490,3,FALSE))</f>
        <v>0</v>
      </c>
      <c r="AH489" s="419">
        <f>IF(ISNA(MATCH(AC489,R483:R490,0)),0,VLOOKUP(AC489,R483:T490,3,FALSE))</f>
        <v>13.6</v>
      </c>
      <c r="AI489" s="419">
        <f>IF(ISNA(MATCH(AC489,L483:L490,0)),0,VLOOKUP(AC489,L483:P490,4,FALSE))</f>
        <v>0</v>
      </c>
      <c r="AJ489" s="419" t="str">
        <f>IF(ISNA(MATCH(AC489,R483:R490,0)),0,VLOOKUP(AC489,R483:U490,4,FALSE))</f>
        <v>FF</v>
      </c>
      <c r="AK489" s="32">
        <f t="shared" si="425"/>
        <v>0</v>
      </c>
      <c r="AL489" s="32">
        <f t="shared" si="426"/>
        <v>3</v>
      </c>
      <c r="AM489" s="32">
        <f>IF(ISNA(MATCH(AC489,L483:L490,0)),0,VLOOKUP(AC489,L483:W490,AM$1,FALSE))</f>
        <v>0</v>
      </c>
      <c r="AN489" s="146">
        <f>IF(ISNA(MATCH(AC489,R483:R490,0)),0,VLOOKUP(AC489,R483:W490,AN$1,FALSE))</f>
        <v>6</v>
      </c>
      <c r="AP489" s="931"/>
      <c r="AQ489" s="927"/>
    </row>
    <row r="490" spans="1:47" ht="16.2" thickBot="1" x14ac:dyDescent="0.35">
      <c r="A490" s="418">
        <f t="shared" si="427"/>
        <v>438</v>
      </c>
      <c r="B490" s="365" t="str">
        <f>'Event Details'!D$29</f>
        <v>Y</v>
      </c>
      <c r="C490" s="366" t="str">
        <f>'Event Details'!E$29</f>
        <v>Worcester</v>
      </c>
      <c r="D490" s="361"/>
      <c r="E490" s="370"/>
      <c r="F490" s="367" t="str">
        <f>VLOOKUP($B482,IF($H482="F",TeamSheetFemale,TeamSheetMale),$Y490-1,FALSE)</f>
        <v>Y</v>
      </c>
      <c r="G490" s="368" t="str">
        <f>VLOOKUP($B482,IF($H482="F",TeamSheetFemale,TeamSheetMale),$Y490,FALSE)</f>
        <v>Zachary Hope</v>
      </c>
      <c r="H490" s="367">
        <f>VLOOKUP($B482,IF($H482="F",TeamSheetFemale,TeamSheetMale),$Y490+1,FALSE)</f>
        <v>0</v>
      </c>
      <c r="I490" s="369">
        <f>VLOOKUP($B482,IF($H482="F",TeamSheetFemale,TeamSheetMale),$Y490+2,FALSE)</f>
        <v>0</v>
      </c>
      <c r="K490" s="346" t="s">
        <v>278</v>
      </c>
      <c r="L490" s="25" t="str">
        <f t="shared" si="420"/>
        <v/>
      </c>
      <c r="M490" s="928"/>
      <c r="N490" s="932"/>
      <c r="O490" s="374" t="str">
        <f>IF(LEN($M490)=1,VLOOKUP(LEFT($M490,1),B483:I490,5,FALSE),IF(LEN($M490)=2,VLOOKUP(LEFT($M490,1),B483:I490,7,FALSE),""))</f>
        <v/>
      </c>
      <c r="P490" s="411" t="str">
        <f>IF(LEN($M490)=1,VLOOKUP(LEFT($M490,1),B483:I490,6,FALSE),IF(LEN($M490)=2,VLOOKUP(LEFT($M490,1),B483:I490,8,FALSE),""))</f>
        <v/>
      </c>
      <c r="Q490" s="407" t="s">
        <v>278</v>
      </c>
      <c r="R490" s="523" t="str">
        <f t="shared" si="421"/>
        <v/>
      </c>
      <c r="S490" s="928"/>
      <c r="T490" s="932"/>
      <c r="U490" s="374" t="str">
        <f>IF(LEN($S490)=1,VLOOKUP(LEFT($S490,1),B483:I490,5,FALSE),IF(LEN($S490)=2,VLOOKUP(LEFT($S490,1),B483:I490,7,FALSE),""))</f>
        <v/>
      </c>
      <c r="V490" s="411" t="str">
        <f>IF(LEN($S490)=1,VLOOKUP(LEFT($S490,1),B483:I490,6,FALSE),IF(LEN($S490)=2,VLOOKUP(LEFT($S490,1),B483:I490,8,FALSE),""))</f>
        <v/>
      </c>
      <c r="W490" s="418">
        <f t="shared" si="428"/>
        <v>1</v>
      </c>
      <c r="Y490" s="25">
        <v>42</v>
      </c>
      <c r="Z490" s="25">
        <f t="shared" si="422"/>
        <v>0</v>
      </c>
      <c r="AA490" s="523">
        <f t="shared" si="423"/>
        <v>0</v>
      </c>
      <c r="AC490" s="25" t="str">
        <f t="shared" si="424"/>
        <v>Y</v>
      </c>
      <c r="AD490" s="624" t="str">
        <f t="shared" si="424"/>
        <v>Worcester</v>
      </c>
      <c r="AE490" s="624">
        <f>IF(ISNA(MATCH(AC490,N482:N491,0)),0,VLOOKUP(AC490,N482:S491,5,FALSE))</f>
        <v>0</v>
      </c>
      <c r="AF490" s="624" t="str">
        <f t="shared" ref="AF490" si="429">IF(ISNA(MATCH(AC490,T482:T491,0))," ",VLOOKUP(AC490,T482:Y491,5,FALSE))</f>
        <v xml:space="preserve"> </v>
      </c>
      <c r="AG490" s="624">
        <f>IF(ISNA(MATCH(AC490,L483:L490,0)),0,VLOOKUP(AC490,L483:N490,3,FALSE))</f>
        <v>16.3</v>
      </c>
      <c r="AH490" s="624">
        <f>IF(ISNA(MATCH(AC490,R483:R490,0)),0,VLOOKUP(AC490,R483:T490,3,FALSE))</f>
        <v>0</v>
      </c>
      <c r="AI490" s="624" t="str">
        <f>IF(ISNA(MATCH(AC490,L483:L490,0)),0,VLOOKUP(AC490,L483:P490,4,FALSE))</f>
        <v>Y</v>
      </c>
      <c r="AJ490" s="624">
        <f>IF(ISNA(MATCH(AC490,R483:R490,0)),0,VLOOKUP(AC490,R483:U490,4,FALSE))</f>
        <v>0</v>
      </c>
      <c r="AK490" s="116">
        <f t="shared" si="425"/>
        <v>6</v>
      </c>
      <c r="AL490" s="116">
        <f t="shared" si="426"/>
        <v>0</v>
      </c>
      <c r="AM490" s="116">
        <f>IF(ISNA(MATCH(AC490,L483:L490,0)),0,VLOOKUP(AC490,L483:W490,AM$1,FALSE))</f>
        <v>3</v>
      </c>
      <c r="AN490" s="523">
        <f>IF(ISNA(MATCH(AC490,R483:R490,0)),0,VLOOKUP(AC490,R483:W490,AN$1,FALSE))</f>
        <v>0</v>
      </c>
      <c r="AP490" s="928"/>
      <c r="AQ490" s="932"/>
    </row>
    <row r="491" spans="1:47" ht="15" thickBot="1" x14ac:dyDescent="0.35">
      <c r="M491" s="276"/>
      <c r="N491" s="307"/>
      <c r="S491" s="276"/>
      <c r="T491" s="307"/>
      <c r="AP491" s="276"/>
      <c r="AQ491" s="307"/>
    </row>
    <row r="492" spans="1:47" x14ac:dyDescent="0.3">
      <c r="B492" s="400" t="s">
        <v>258</v>
      </c>
      <c r="C492" s="398"/>
      <c r="D492" s="401" t="s">
        <v>165</v>
      </c>
      <c r="E492" s="398"/>
      <c r="F492" s="398"/>
      <c r="G492" s="402" t="s">
        <v>259</v>
      </c>
      <c r="H492" s="403" t="s">
        <v>249</v>
      </c>
      <c r="I492" s="404" t="s">
        <v>168</v>
      </c>
      <c r="K492" s="360"/>
      <c r="L492" s="661"/>
      <c r="M492" s="387" t="s">
        <v>260</v>
      </c>
      <c r="N492" s="387" t="s">
        <v>261</v>
      </c>
      <c r="O492" s="387" t="s">
        <v>262</v>
      </c>
      <c r="P492" s="388" t="s">
        <v>75</v>
      </c>
      <c r="Q492" s="389"/>
      <c r="R492" s="657"/>
      <c r="S492" s="387" t="s">
        <v>260</v>
      </c>
      <c r="T492" s="387" t="s">
        <v>261</v>
      </c>
      <c r="U492" s="387" t="s">
        <v>262</v>
      </c>
      <c r="V492" s="388" t="s">
        <v>75</v>
      </c>
      <c r="W492" s="672" t="s">
        <v>76</v>
      </c>
      <c r="Y492" s="414" t="s">
        <v>263</v>
      </c>
      <c r="Z492" s="656" t="s">
        <v>74</v>
      </c>
      <c r="AA492" s="657" t="s">
        <v>75</v>
      </c>
      <c r="AC492" s="665" t="s">
        <v>71</v>
      </c>
      <c r="AD492" s="657" t="s">
        <v>86</v>
      </c>
      <c r="AE492" s="661" t="s">
        <v>149</v>
      </c>
      <c r="AF492" s="661" t="s">
        <v>94</v>
      </c>
      <c r="AG492" s="661" t="s">
        <v>149</v>
      </c>
      <c r="AH492" s="661" t="s">
        <v>94</v>
      </c>
      <c r="AI492" s="661" t="s">
        <v>149</v>
      </c>
      <c r="AJ492" s="661" t="s">
        <v>94</v>
      </c>
      <c r="AK492" s="1332" t="s">
        <v>149</v>
      </c>
      <c r="AL492" s="661" t="s">
        <v>94</v>
      </c>
      <c r="AM492" s="1406" t="s">
        <v>76</v>
      </c>
      <c r="AN492" s="1407"/>
      <c r="AP492" s="387" t="s">
        <v>260</v>
      </c>
      <c r="AQ492" s="387" t="s">
        <v>261</v>
      </c>
      <c r="AS492" s="1218" t="s">
        <v>165</v>
      </c>
      <c r="AT492" s="1219" t="s">
        <v>79</v>
      </c>
      <c r="AU492" s="1220" t="s">
        <v>80</v>
      </c>
    </row>
    <row r="493" spans="1:47" ht="15" thickBot="1" x14ac:dyDescent="0.35">
      <c r="B493" s="405">
        <v>44</v>
      </c>
      <c r="C493" s="399"/>
      <c r="D493" s="385" t="str">
        <f>VLOOKUP($B493,EventOrder,6,FALSE)</f>
        <v xml:space="preserve">100m </v>
      </c>
      <c r="E493" s="399"/>
      <c r="F493" s="385"/>
      <c r="G493" s="386" t="str">
        <f>VLOOKUP($B493,EventOrder,4,FALSE)</f>
        <v>U16 Male</v>
      </c>
      <c r="H493" s="396" t="str">
        <f>IF(MID(G493,5,1)="F","F","M")</f>
        <v>M</v>
      </c>
      <c r="I493" s="397">
        <f>VLOOKUP($B493,EventOrder,2,FALSE)</f>
        <v>2.4</v>
      </c>
      <c r="K493" s="377"/>
      <c r="L493" s="667" t="s">
        <v>149</v>
      </c>
      <c r="M493" s="409" t="s">
        <v>264</v>
      </c>
      <c r="N493" s="409" t="s">
        <v>265</v>
      </c>
      <c r="O493" s="390" t="s">
        <v>266</v>
      </c>
      <c r="P493" s="391"/>
      <c r="Q493" s="392"/>
      <c r="R493" s="659" t="s">
        <v>94</v>
      </c>
      <c r="S493" s="409" t="s">
        <v>264</v>
      </c>
      <c r="T493" s="409" t="s">
        <v>265</v>
      </c>
      <c r="U493" s="390" t="s">
        <v>266</v>
      </c>
      <c r="V493" s="391"/>
      <c r="W493" s="671"/>
      <c r="Y493" s="415" t="s">
        <v>167</v>
      </c>
      <c r="Z493" s="658" t="s">
        <v>149</v>
      </c>
      <c r="AA493" s="659" t="s">
        <v>94</v>
      </c>
      <c r="AC493" s="666"/>
      <c r="AD493" s="668"/>
      <c r="AE493" s="768" t="s">
        <v>75</v>
      </c>
      <c r="AF493" s="768" t="s">
        <v>75</v>
      </c>
      <c r="AG493" s="768" t="s">
        <v>267</v>
      </c>
      <c r="AH493" s="768" t="s">
        <v>267</v>
      </c>
      <c r="AI493" s="768" t="s">
        <v>268</v>
      </c>
      <c r="AJ493" s="768" t="s">
        <v>268</v>
      </c>
      <c r="AK493" s="770" t="s">
        <v>269</v>
      </c>
      <c r="AL493" s="768" t="s">
        <v>269</v>
      </c>
      <c r="AM493" s="667" t="s">
        <v>149</v>
      </c>
      <c r="AN493" s="659" t="s">
        <v>94</v>
      </c>
      <c r="AP493" s="409" t="s">
        <v>264</v>
      </c>
      <c r="AQ493" s="409" t="s">
        <v>265</v>
      </c>
      <c r="AS493" s="1221" t="s">
        <v>270</v>
      </c>
      <c r="AT493" s="1222" t="s">
        <v>270</v>
      </c>
      <c r="AU493" s="1223" t="s">
        <v>270</v>
      </c>
    </row>
    <row r="494" spans="1:47" ht="15.6" x14ac:dyDescent="0.3">
      <c r="A494" s="416">
        <f>(B493*10)+1</f>
        <v>441</v>
      </c>
      <c r="B494" s="362" t="str">
        <f>'Event Details'!D$22</f>
        <v>S</v>
      </c>
      <c r="C494" s="381" t="str">
        <f>'Event Details'!E$22</f>
        <v>BRAT</v>
      </c>
      <c r="D494" s="379"/>
      <c r="E494" s="378"/>
      <c r="F494" s="363" t="str">
        <f>VLOOKUP($B493,IF($H493="F",TeamSheetFemale,TeamSheetMale),$Y494-1,FALSE)</f>
        <v>S</v>
      </c>
      <c r="G494" s="380" t="str">
        <f>VLOOKUP($B493,IF($H493="F",TeamSheetFemale,TeamSheetMale),$Y494,FALSE)</f>
        <v>Dominic Francis-Gordon</v>
      </c>
      <c r="H494" s="363" t="str">
        <f>VLOOKUP($B493,IF($H493="F",TeamSheetFemale,TeamSheetMale),$Y494+1,FALSE)</f>
        <v>SS</v>
      </c>
      <c r="I494" s="364" t="str">
        <f>VLOOKUP($B493,IF($H493="F",TeamSheetFemale,TeamSheetMale),$Y494+2,FALSE)</f>
        <v>Heinrich</v>
      </c>
      <c r="K494" s="393" t="s">
        <v>271</v>
      </c>
      <c r="L494" s="16" t="str">
        <f t="shared" ref="L494:L501" si="430">LEFT(M494,1)</f>
        <v>S</v>
      </c>
      <c r="M494" s="926" t="s">
        <v>100</v>
      </c>
      <c r="N494" s="926">
        <v>11.5</v>
      </c>
      <c r="O494" s="394" t="str">
        <f>IF(LEN($M494)=1,VLOOKUP(LEFT($M494,1),B494:I501,5,FALSE),IF(LEN($M494)=2,VLOOKUP(LEFT($M494,1),B494:I501,7,FALSE),""))</f>
        <v>S</v>
      </c>
      <c r="P494" s="395" t="str">
        <f>IF(LEN($M494)=1,VLOOKUP(LEFT($M494,1),B494:I501,6,FALSE),IF(LEN($M494)=2,VLOOKUP(LEFT($M494,1),B494:I501,8,FALSE),""))</f>
        <v>Dominic Francis-Gordon</v>
      </c>
      <c r="Q494" s="393" t="s">
        <v>271</v>
      </c>
      <c r="R494" s="146" t="str">
        <f t="shared" ref="R494:R501" si="431">LEFT(S494,1)</f>
        <v>S</v>
      </c>
      <c r="S494" s="926" t="s">
        <v>818</v>
      </c>
      <c r="T494" s="926">
        <v>11.8</v>
      </c>
      <c r="U494" s="394" t="str">
        <f>IF(LEN($S494)=1,VLOOKUP(LEFT($S494,1),B494:I501,5,FALSE),IF(LEN($S494)=2,VLOOKUP(LEFT($S494,1),B494:I501,7,FALSE),""))</f>
        <v>SS</v>
      </c>
      <c r="V494" s="395" t="str">
        <f>IF(LEN($S494)=1,VLOOKUP(LEFT($S494,1),B494:I501,6,FALSE),IF(LEN($S494)=2,VLOOKUP(LEFT($S494,1),B494:I501,8,FALSE),""))</f>
        <v>Heinrich</v>
      </c>
      <c r="W494" s="417">
        <f>AN$6</f>
        <v>8</v>
      </c>
      <c r="Y494" s="416">
        <v>7</v>
      </c>
      <c r="Z494" s="653" t="str">
        <f t="shared" ref="Z494:Z501" si="432">IF(LEN(M494)&gt;0,VLOOKUP(LEFT(M494,1),ShortName,5,FALSE),0)</f>
        <v>BRAT</v>
      </c>
      <c r="AA494" s="138" t="str">
        <f t="shared" ref="AA494:AA501" si="433">IF(LEN(S494)&gt;0,VLOOKUP(LEFT(S494,1),ShortName,5,FALSE),0)</f>
        <v>BRAT</v>
      </c>
      <c r="AC494" s="16" t="str">
        <f t="shared" ref="AC494:AD501" si="434">B494</f>
        <v>S</v>
      </c>
      <c r="AD494" s="419" t="str">
        <f t="shared" si="434"/>
        <v>BRAT</v>
      </c>
      <c r="AE494" s="635">
        <f>IF(ISNA(MATCH(AC494,N494:N503,0)),0,VLOOKUP(AC494,N494:S503,5,FALSE))</f>
        <v>0</v>
      </c>
      <c r="AF494" s="635" t="str">
        <f>IF(ISNA(MATCH(AC494,T494:T503,0))," ",VLOOKUP(AC494,T494:Y503,5,FALSE))</f>
        <v xml:space="preserve"> </v>
      </c>
      <c r="AG494" s="635">
        <f>IF(ISNA(MATCH(AC494,L494:L501,0)),0,VLOOKUP(AC494,L494:N501,3,FALSE))</f>
        <v>11.5</v>
      </c>
      <c r="AH494" s="635">
        <f>IF(ISNA(MATCH(AC494,R494:R501,0)),0,VLOOKUP(AC494,R494:T501,3,FALSE))</f>
        <v>11.8</v>
      </c>
      <c r="AI494" s="635" t="str">
        <f>IF(ISNA(MATCH(AC494,L494:L501,0)),0,VLOOKUP(AC494,L494:P501,4,FALSE))</f>
        <v>S</v>
      </c>
      <c r="AJ494" s="635" t="str">
        <f>IF(ISNA(MATCH(AC494,R494:R501,0)),0,VLOOKUP(AC494,R494:U501,4,FALSE))</f>
        <v>SS</v>
      </c>
      <c r="AK494" s="49">
        <f t="shared" ref="AK494:AK501" si="435">IF(AM494=0,0,AN$6-(AM494-1))</f>
        <v>1</v>
      </c>
      <c r="AL494" s="49">
        <f t="shared" ref="AL494:AL501" si="436">IF(AN494=0,0,AN$6-(AN494-1))</f>
        <v>1</v>
      </c>
      <c r="AM494" s="49">
        <f>IF(ISNA(MATCH(AC494,L494:L501,0)),0,VLOOKUP(AC494,L494:W501,AM$1,FALSE))</f>
        <v>8</v>
      </c>
      <c r="AN494" s="138">
        <f>IF(ISNA(MATCH(AC494,R494:R501,0)),0,VLOOKUP(AC494,R494:W501,AN$1,FALSE))</f>
        <v>8</v>
      </c>
      <c r="AP494" s="926"/>
      <c r="AQ494" s="926"/>
      <c r="AS494" s="32">
        <f>IF(LEN(N494)&gt;0,1,0)</f>
        <v>1</v>
      </c>
      <c r="AT494" s="32">
        <f>IF(AND(AS494=1,H493="M"),1,0)</f>
        <v>1</v>
      </c>
      <c r="AU494" s="32">
        <f>IF(AND(AS494=1,H493="F"),1,0)</f>
        <v>0</v>
      </c>
    </row>
    <row r="495" spans="1:47" ht="15.6" x14ac:dyDescent="0.3">
      <c r="A495" s="417">
        <f>A494+1</f>
        <v>442</v>
      </c>
      <c r="B495" s="362" t="str">
        <f>'Event Details'!D$23</f>
        <v>U</v>
      </c>
      <c r="C495" s="381" t="str">
        <f>'Event Details'!E$23</f>
        <v>Kidder &amp; Stourport</v>
      </c>
      <c r="D495" s="379"/>
      <c r="E495" s="378"/>
      <c r="F495" s="363" t="str">
        <f>VLOOKUP($B493,IF($H493="F",TeamSheetFemale,TeamSheetMale),$Y495-1,FALSE)</f>
        <v>U</v>
      </c>
      <c r="G495" s="380" t="str">
        <f>VLOOKUP($B493,IF($H493="F",TeamSheetFemale,TeamSheetMale),$Y495,FALSE)</f>
        <v>Harry Morton</v>
      </c>
      <c r="H495" s="363">
        <f>VLOOKUP($B493,IF($H493="F",TeamSheetFemale,TeamSheetMale),$Y495+1,FALSE)</f>
        <v>0</v>
      </c>
      <c r="I495" s="364">
        <f>VLOOKUP($B493,IF($H493="F",TeamSheetFemale,TeamSheetMale),$Y495+2,FALSE)</f>
        <v>0</v>
      </c>
      <c r="K495" s="341" t="s">
        <v>272</v>
      </c>
      <c r="L495" s="16" t="str">
        <f t="shared" si="430"/>
        <v>M</v>
      </c>
      <c r="M495" s="927" t="s">
        <v>127</v>
      </c>
      <c r="N495" s="927">
        <v>11.7</v>
      </c>
      <c r="O495" s="353" t="str">
        <f>IF(LEN($M495)=1,VLOOKUP(LEFT($M495,1),B494:I501,5,FALSE),IF(LEN($M495)=2,VLOOKUP(LEFT($M495,1),B494:I501,7,FALSE),""))</f>
        <v>M</v>
      </c>
      <c r="P495" s="373" t="str">
        <f>IF(LEN($M495)=1,VLOOKUP(LEFT($M495,1),B494:I501,6,FALSE),IF(LEN($M495)=2,VLOOKUP(LEFT($M495,1),B494:I501,8,FALSE),""))</f>
        <v>Charlie Hughes</v>
      </c>
      <c r="Q495" s="341" t="s">
        <v>272</v>
      </c>
      <c r="R495" s="146" t="str">
        <f t="shared" si="431"/>
        <v>M</v>
      </c>
      <c r="S495" s="927" t="s">
        <v>821</v>
      </c>
      <c r="T495" s="927">
        <v>12.3</v>
      </c>
      <c r="U495" s="353" t="str">
        <f>IF(LEN($S495)=1,VLOOKUP(LEFT($S495,1),B494:I501,5,FALSE),IF(LEN($S495)=2,VLOOKUP(LEFT($S495,1),B494:I501,7,FALSE),""))</f>
        <v>MM</v>
      </c>
      <c r="V495" s="373" t="str">
        <f>IF(LEN($S495)=1,VLOOKUP(LEFT($S495,1),B494:I501,6,FALSE),IF(LEN($S495)=2,VLOOKUP(LEFT($S495,1),B494:I501,8,FALSE),""))</f>
        <v>Jason Bedford</v>
      </c>
      <c r="W495" s="417">
        <f>W494-1</f>
        <v>7</v>
      </c>
      <c r="Y495" s="417">
        <v>12</v>
      </c>
      <c r="Z495" s="16" t="str">
        <f t="shared" si="432"/>
        <v>Sol</v>
      </c>
      <c r="AA495" s="146" t="str">
        <f t="shared" si="433"/>
        <v>Sol</v>
      </c>
      <c r="AC495" s="16" t="str">
        <f t="shared" si="434"/>
        <v>U</v>
      </c>
      <c r="AD495" s="419" t="str">
        <f t="shared" si="434"/>
        <v>Kidder &amp; Stourport</v>
      </c>
      <c r="AE495" s="419">
        <f>IF(ISNA(MATCH(AC495,N494:N503,0)),0,VLOOKUP(AC495,N494:S503,5,FALSE))</f>
        <v>0</v>
      </c>
      <c r="AF495" s="419" t="str">
        <f>IF(ISNA(MATCH(AC495,T494:T503,0))," ",VLOOKUP(AC495,T494:Y503,5,FALSE))</f>
        <v xml:space="preserve"> </v>
      </c>
      <c r="AG495" s="419">
        <f>IF(ISNA(MATCH(AC495,L494:L501,0)),0,VLOOKUP(AC495,L494:N501,3,FALSE))</f>
        <v>0</v>
      </c>
      <c r="AH495" s="419">
        <f>IF(ISNA(MATCH(AC495,R494:R501,0)),0,VLOOKUP(AC495,R494:T501,3,FALSE))</f>
        <v>0</v>
      </c>
      <c r="AI495" s="419">
        <f>IF(ISNA(MATCH(AC495,L494:L501,0)),0,VLOOKUP(AC495,L494:P501,4,FALSE))</f>
        <v>0</v>
      </c>
      <c r="AJ495" s="419">
        <f>IF(ISNA(MATCH(AC495,R494:R501,0)),0,VLOOKUP(AC495,R494:U501,4,FALSE))</f>
        <v>0</v>
      </c>
      <c r="AK495" s="32">
        <f t="shared" si="435"/>
        <v>0</v>
      </c>
      <c r="AL495" s="32">
        <f t="shared" si="436"/>
        <v>0</v>
      </c>
      <c r="AM495" s="32">
        <f>IF(ISNA(MATCH(AC495,L494:L501,0)),0,VLOOKUP(AC495,L494:W501,AM$1,FALSE))</f>
        <v>0</v>
      </c>
      <c r="AN495" s="146">
        <f>IF(ISNA(MATCH(AC495,R494:R501,0)),0,VLOOKUP(AC495,R494:W501,AN$1,FALSE))</f>
        <v>0</v>
      </c>
      <c r="AP495" s="927"/>
      <c r="AQ495" s="927"/>
    </row>
    <row r="496" spans="1:47" ht="15.6" x14ac:dyDescent="0.3">
      <c r="A496" s="417">
        <f t="shared" ref="A496:A501" si="437">A495+1</f>
        <v>443</v>
      </c>
      <c r="B496" s="362" t="str">
        <f>'Event Details'!D$24</f>
        <v>G</v>
      </c>
      <c r="C496" s="381" t="str">
        <f>'Event Details'!E$24</f>
        <v>Royal Sutton</v>
      </c>
      <c r="D496" s="379"/>
      <c r="E496" s="378"/>
      <c r="F496" s="363" t="str">
        <f>VLOOKUP($B493,IF($H493="F",TeamSheetFemale,TeamSheetMale),$Y496-1,FALSE)</f>
        <v>G</v>
      </c>
      <c r="G496" s="380" t="str">
        <f>VLOOKUP($B493,IF($H493="F",TeamSheetFemale,TeamSheetMale),$Y496,FALSE)</f>
        <v>Alex Taylor</v>
      </c>
      <c r="H496" s="363" t="str">
        <f>VLOOKUP($B493,IF($H493="F",TeamSheetFemale,TeamSheetMale),$Y496+1,FALSE)</f>
        <v>GG</v>
      </c>
      <c r="I496" s="364" t="str">
        <f>VLOOKUP($B493,IF($H493="F",TeamSheetFemale,TeamSheetMale),$Y496+2,FALSE)</f>
        <v>Amos Aucutt</v>
      </c>
      <c r="K496" s="341" t="s">
        <v>273</v>
      </c>
      <c r="L496" s="16" t="str">
        <f t="shared" si="430"/>
        <v>G</v>
      </c>
      <c r="M496" s="927" t="s">
        <v>110</v>
      </c>
      <c r="N496" s="927">
        <v>12</v>
      </c>
      <c r="O496" s="353" t="str">
        <f>IF(LEN($M496)=1,VLOOKUP(LEFT($M496,1),B494:I501,5,FALSE),IF(LEN($M496)=2,VLOOKUP(LEFT($M496,1),B494:I501,7,FALSE),""))</f>
        <v>G</v>
      </c>
      <c r="P496" s="373" t="str">
        <f>IF(LEN($M496)=1,VLOOKUP(LEFT($M496,1),B494:I501,6,FALSE),IF(LEN($M496)=2,VLOOKUP(LEFT($M496,1),B494:I501,8,FALSE),""))</f>
        <v>Alex Taylor</v>
      </c>
      <c r="Q496" s="341" t="s">
        <v>273</v>
      </c>
      <c r="R496" s="146" t="str">
        <f t="shared" si="431"/>
        <v>G</v>
      </c>
      <c r="S496" s="927" t="s">
        <v>820</v>
      </c>
      <c r="T496" s="927">
        <v>12.6</v>
      </c>
      <c r="U496" s="353" t="str">
        <f>IF(LEN($S496)=1,VLOOKUP(LEFT($S496,1),B494:I501,5,FALSE),IF(LEN($S496)=2,VLOOKUP(LEFT($S496,1),B494:I501,7,FALSE),""))</f>
        <v>GG</v>
      </c>
      <c r="V496" s="373" t="str">
        <f>IF(LEN($S496)=1,VLOOKUP(LEFT($S496,1),B494:I501,6,FALSE),IF(LEN($S496)=2,VLOOKUP(LEFT($S496,1),B494:I501,8,FALSE),""))</f>
        <v>Amos Aucutt</v>
      </c>
      <c r="W496" s="417">
        <f t="shared" ref="W496:W501" si="438">W495-1</f>
        <v>6</v>
      </c>
      <c r="Y496" s="417">
        <v>17</v>
      </c>
      <c r="Z496" s="16" t="str">
        <f t="shared" si="432"/>
        <v>Royal</v>
      </c>
      <c r="AA496" s="146" t="str">
        <f t="shared" si="433"/>
        <v>Royal</v>
      </c>
      <c r="AB496" s="32"/>
      <c r="AC496" s="16" t="str">
        <f t="shared" si="434"/>
        <v>G</v>
      </c>
      <c r="AD496" s="419" t="str">
        <f t="shared" si="434"/>
        <v>Royal Sutton</v>
      </c>
      <c r="AE496" s="419">
        <f>IF(ISNA(MATCH(AC496,N494:N503,0)),0,VLOOKUP(AC496,N494:S503,5,FALSE))</f>
        <v>0</v>
      </c>
      <c r="AF496" s="419" t="str">
        <f>IF(ISNA(MATCH(AC496,T494:T503,0))," ",VLOOKUP(AC496,T494:Y503,5,FALSE))</f>
        <v xml:space="preserve"> </v>
      </c>
      <c r="AG496" s="419">
        <f>IF(ISNA(MATCH(AC496,L494:L501,0)),0,VLOOKUP(AC496,L494:N501,3,FALSE))</f>
        <v>12</v>
      </c>
      <c r="AH496" s="419">
        <f>IF(ISNA(MATCH(AC496,R494:R501,0)),0,VLOOKUP(AC496,R494:T501,3,FALSE))</f>
        <v>12.6</v>
      </c>
      <c r="AI496" s="419" t="str">
        <f>IF(ISNA(MATCH(AC496,L494:L501,0)),0,VLOOKUP(AC496,L494:P501,4,FALSE))</f>
        <v>G</v>
      </c>
      <c r="AJ496" s="419" t="str">
        <f>IF(ISNA(MATCH(AC496,R494:R501,0)),0,VLOOKUP(AC496,R494:U501,4,FALSE))</f>
        <v>GG</v>
      </c>
      <c r="AK496" s="32">
        <f t="shared" si="435"/>
        <v>3</v>
      </c>
      <c r="AL496" s="32">
        <f t="shared" si="436"/>
        <v>3</v>
      </c>
      <c r="AM496" s="32">
        <f>IF(ISNA(MATCH(AC496,L494:L501,0)),0,VLOOKUP(AC496,L494:W501,AM$1,FALSE))</f>
        <v>6</v>
      </c>
      <c r="AN496" s="146">
        <f>IF(ISNA(MATCH(AC496,R494:R501,0)),0,VLOOKUP(AC496,R494:W501,AN$1,FALSE))</f>
        <v>6</v>
      </c>
      <c r="AP496" s="927"/>
      <c r="AQ496" s="927"/>
    </row>
    <row r="497" spans="1:47" ht="15.6" x14ac:dyDescent="0.3">
      <c r="A497" s="417">
        <f t="shared" si="437"/>
        <v>444</v>
      </c>
      <c r="B497" s="362" t="str">
        <f>'Event Details'!D$25</f>
        <v>R</v>
      </c>
      <c r="C497" s="381" t="str">
        <f>'Event Details'!E$25</f>
        <v>Rugby &amp; N'hampton</v>
      </c>
      <c r="D497" s="379"/>
      <c r="E497" s="378"/>
      <c r="F497" s="363" t="str">
        <f>VLOOKUP($B493,IF($H493="F",TeamSheetFemale,TeamSheetMale),$Y497-1,FALSE)</f>
        <v>R</v>
      </c>
      <c r="G497" s="380" t="str">
        <f>VLOOKUP($B493,IF($H493="F",TeamSheetFemale,TeamSheetMale),$Y497,FALSE)</f>
        <v>Matei Cosciug</v>
      </c>
      <c r="H497" s="363" t="str">
        <f>VLOOKUP($B493,IF($H493="F",TeamSheetFemale,TeamSheetMale),$Y497+1,FALSE)</f>
        <v>RR</v>
      </c>
      <c r="I497" s="364" t="str">
        <f>VLOOKUP($B493,IF($H493="F",TeamSheetFemale,TeamSheetMale),$Y497+2,FALSE)</f>
        <v>Gigi Okere</v>
      </c>
      <c r="K497" s="341" t="s">
        <v>274</v>
      </c>
      <c r="L497" s="16" t="str">
        <f t="shared" si="430"/>
        <v>R</v>
      </c>
      <c r="M497" s="927" t="s">
        <v>118</v>
      </c>
      <c r="N497" s="927">
        <v>12.6</v>
      </c>
      <c r="O497" s="353" t="str">
        <f>IF(LEN($M497)=1,VLOOKUP(LEFT($M497,1),B494:I501,5,FALSE),IF(LEN($M497)=2,VLOOKUP(LEFT($M497,1),B494:I501,7,FALSE),""))</f>
        <v>R</v>
      </c>
      <c r="P497" s="373" t="str">
        <f>IF(LEN($M497)=1,VLOOKUP(LEFT($M497,1),B494:I501,6,FALSE),IF(LEN($M497)=2,VLOOKUP(LEFT($M497,1),B494:I501,8,FALSE),""))</f>
        <v>Matei Cosciug</v>
      </c>
      <c r="Q497" s="341" t="s">
        <v>274</v>
      </c>
      <c r="R497" s="146" t="str">
        <f t="shared" si="431"/>
        <v>R</v>
      </c>
      <c r="S497" s="927" t="s">
        <v>819</v>
      </c>
      <c r="T497" s="927">
        <v>12.9</v>
      </c>
      <c r="U497" s="353" t="str">
        <f>IF(LEN($S497)=1,VLOOKUP(LEFT($S497,1),B494:I501,5,FALSE),IF(LEN($S497)=2,VLOOKUP(LEFT($S497,1),B494:I501,7,FALSE),""))</f>
        <v>RR</v>
      </c>
      <c r="V497" s="373" t="str">
        <f>IF(LEN($S497)=1,VLOOKUP(LEFT($S497,1),B494:I501,6,FALSE),IF(LEN($S497)=2,VLOOKUP(LEFT($S497,1),B494:I501,8,FALSE),""))</f>
        <v>Gigi Okere</v>
      </c>
      <c r="W497" s="417">
        <f t="shared" si="438"/>
        <v>5</v>
      </c>
      <c r="Y497" s="417">
        <v>22</v>
      </c>
      <c r="Z497" s="16" t="str">
        <f t="shared" si="432"/>
        <v>Rugby</v>
      </c>
      <c r="AA497" s="146" t="str">
        <f t="shared" si="433"/>
        <v>Rugby</v>
      </c>
      <c r="AB497" s="32"/>
      <c r="AC497" s="16" t="str">
        <f t="shared" si="434"/>
        <v>R</v>
      </c>
      <c r="AD497" s="419" t="str">
        <f t="shared" si="434"/>
        <v>Rugby &amp; N'hampton</v>
      </c>
      <c r="AE497" s="419">
        <f>IF(ISNA(MATCH(AC497,N494:N503,0)),0,VLOOKUP(AC497,N494:S503,5,FALSE))</f>
        <v>0</v>
      </c>
      <c r="AF497" s="419" t="str">
        <f>IF(ISNA(MATCH(AC497,T494:T503,0))," ",VLOOKUP(AC497,T494:Y503,5,FALSE))</f>
        <v xml:space="preserve"> </v>
      </c>
      <c r="AG497" s="419">
        <f>IF(ISNA(MATCH(AC497,L494:L501,0)),0,VLOOKUP(AC497,L494:N501,3,FALSE))</f>
        <v>12.6</v>
      </c>
      <c r="AH497" s="419">
        <f>IF(ISNA(MATCH(AC497,R494:R501,0)),0,VLOOKUP(AC497,R494:T501,3,FALSE))</f>
        <v>12.9</v>
      </c>
      <c r="AI497" s="419" t="str">
        <f>IF(ISNA(MATCH(AC497,L494:L501,0)),0,VLOOKUP(AC497,L494:P501,4,FALSE))</f>
        <v>R</v>
      </c>
      <c r="AJ497" s="419" t="str">
        <f>IF(ISNA(MATCH(AC497,R494:R501,0)),0,VLOOKUP(AC497,R494:U501,4,FALSE))</f>
        <v>RR</v>
      </c>
      <c r="AK497" s="32">
        <f t="shared" si="435"/>
        <v>4</v>
      </c>
      <c r="AL497" s="32">
        <f t="shared" si="436"/>
        <v>4</v>
      </c>
      <c r="AM497" s="32">
        <f>IF(ISNA(MATCH(AC497,L494:L501,0)),0,VLOOKUP(AC497,L494:W501,AM$1,FALSE))</f>
        <v>5</v>
      </c>
      <c r="AN497" s="146">
        <f>IF(ISNA(MATCH(AC497,R494:R501,0)),0,VLOOKUP(AC497,R494:W501,AN$1,FALSE))</f>
        <v>5</v>
      </c>
      <c r="AP497" s="927"/>
      <c r="AQ497" s="927"/>
    </row>
    <row r="498" spans="1:47" ht="15.6" x14ac:dyDescent="0.3">
      <c r="A498" s="417">
        <f t="shared" si="437"/>
        <v>445</v>
      </c>
      <c r="B498" s="362" t="str">
        <f>'Event Details'!D$26</f>
        <v>M</v>
      </c>
      <c r="C498" s="381" t="str">
        <f>'Event Details'!E$26</f>
        <v>Solihull &amp; S.Heath</v>
      </c>
      <c r="D498" s="379"/>
      <c r="E498" s="378"/>
      <c r="F498" s="363" t="str">
        <f>VLOOKUP($B493,IF($H493="F",TeamSheetFemale,TeamSheetMale),$Y498-1,FALSE)</f>
        <v>M</v>
      </c>
      <c r="G498" s="380" t="str">
        <f>VLOOKUP($B493,IF($H493="F",TeamSheetFemale,TeamSheetMale),$Y498,FALSE)</f>
        <v>Charlie Hughes</v>
      </c>
      <c r="H498" s="363" t="str">
        <f>VLOOKUP($B493,IF($H493="F",TeamSheetFemale,TeamSheetMale),$Y498+1,FALSE)</f>
        <v>MM</v>
      </c>
      <c r="I498" s="364" t="str">
        <f>VLOOKUP($B493,IF($H493="F",TeamSheetFemale,TeamSheetMale),$Y498+2,FALSE)</f>
        <v>Jason Bedford</v>
      </c>
      <c r="K498" s="341" t="s">
        <v>275</v>
      </c>
      <c r="L498" s="16" t="str">
        <f t="shared" si="430"/>
        <v>F</v>
      </c>
      <c r="M498" s="927" t="s">
        <v>142</v>
      </c>
      <c r="N498" s="927">
        <v>12.7</v>
      </c>
      <c r="O498" s="353" t="str">
        <f>IF(LEN($M498)=1,VLOOKUP(LEFT($M498,1),B494:I501,5,FALSE),IF(LEN($M498)=2,VLOOKUP(LEFT($M498,1),B494:I501,7,FALSE),""))</f>
        <v>F</v>
      </c>
      <c r="P498" s="373" t="str">
        <f>IF(LEN($M498)=1,VLOOKUP(LEFT($M498,1),B494:I501,6,FALSE),IF(LEN($M498)=2,VLOOKUP(LEFT($M498,1),B494:I501,8,FALSE),""))</f>
        <v>Oscar Brehler</v>
      </c>
      <c r="Q498" s="341" t="s">
        <v>275</v>
      </c>
      <c r="R498" s="146" t="str">
        <f t="shared" si="431"/>
        <v>D</v>
      </c>
      <c r="S498" s="927" t="s">
        <v>513</v>
      </c>
      <c r="T498" s="927">
        <v>13.4</v>
      </c>
      <c r="U498" s="353" t="str">
        <f>IF(LEN($S498)=1,VLOOKUP(LEFT($S498,1),B494:I501,5,FALSE),IF(LEN($S498)=2,VLOOKUP(LEFT($S498,1),B494:I501,7,FALSE),""))</f>
        <v>DD</v>
      </c>
      <c r="V498" s="373" t="str">
        <f>IF(LEN($S498)=1,VLOOKUP(LEFT($S498,1),B494:I501,6,FALSE),IF(LEN($S498)=2,VLOOKUP(LEFT($S498,1),B494:I501,8,FALSE),""))</f>
        <v>Toby Hughes Webb</v>
      </c>
      <c r="W498" s="417">
        <f t="shared" si="438"/>
        <v>4</v>
      </c>
      <c r="Y498" s="417">
        <v>27</v>
      </c>
      <c r="Z498" s="16" t="str">
        <f t="shared" si="432"/>
        <v>Tam</v>
      </c>
      <c r="AA498" s="146" t="str">
        <f t="shared" si="433"/>
        <v>Strat</v>
      </c>
      <c r="AB498" s="32"/>
      <c r="AC498" s="16" t="str">
        <f t="shared" si="434"/>
        <v>M</v>
      </c>
      <c r="AD498" s="419" t="str">
        <f t="shared" si="434"/>
        <v>Solihull &amp; S.Heath</v>
      </c>
      <c r="AE498" s="419">
        <f>IF(ISNA(MATCH(AC498,N494:N503,0)),0,VLOOKUP(AC498,N494:S503,5,FALSE))</f>
        <v>0</v>
      </c>
      <c r="AF498" s="419" t="str">
        <f>IF(ISNA(MATCH(AC498,T494:T503,0))," ",VLOOKUP(AC498,T494:Y503,5,FALSE))</f>
        <v xml:space="preserve"> </v>
      </c>
      <c r="AG498" s="419">
        <f>IF(ISNA(MATCH(AC498,L494:L501,0)),0,VLOOKUP(AC498,L494:N501,3,FALSE))</f>
        <v>11.7</v>
      </c>
      <c r="AH498" s="419">
        <f>IF(ISNA(MATCH(AC498,R494:R501,0)),0,VLOOKUP(AC498,R494:T501,3,FALSE))</f>
        <v>12.3</v>
      </c>
      <c r="AI498" s="419" t="str">
        <f>IF(ISNA(MATCH(AC498,L494:L501,0)),0,VLOOKUP(AC498,L494:P501,4,FALSE))</f>
        <v>M</v>
      </c>
      <c r="AJ498" s="419" t="str">
        <f>IF(ISNA(MATCH(AC498,R494:R501,0)),0,VLOOKUP(AC498,R494:U501,4,FALSE))</f>
        <v>MM</v>
      </c>
      <c r="AK498" s="32">
        <f t="shared" si="435"/>
        <v>2</v>
      </c>
      <c r="AL498" s="32">
        <f t="shared" si="436"/>
        <v>2</v>
      </c>
      <c r="AM498" s="32">
        <f>IF(ISNA(MATCH(AC498,L494:L501,0)),0,VLOOKUP(AC498,L494:W501,AM$1,FALSE))</f>
        <v>7</v>
      </c>
      <c r="AN498" s="146">
        <f>IF(ISNA(MATCH(AC498,R494:R501,0)),0,VLOOKUP(AC498,R494:W501,AN$1,FALSE))</f>
        <v>7</v>
      </c>
      <c r="AP498" s="927"/>
      <c r="AQ498" s="927"/>
    </row>
    <row r="499" spans="1:47" ht="15.6" x14ac:dyDescent="0.3">
      <c r="A499" s="417">
        <f t="shared" si="437"/>
        <v>446</v>
      </c>
      <c r="B499" s="362" t="str">
        <f>'Event Details'!D$27</f>
        <v>D</v>
      </c>
      <c r="C499" s="381" t="str">
        <f>'Event Details'!E$27</f>
        <v>Stratford</v>
      </c>
      <c r="D499" s="379"/>
      <c r="E499" s="378"/>
      <c r="F499" s="363" t="str">
        <f>VLOOKUP($B493,IF($H493="F",TeamSheetFemale,TeamSheetMale),$Y499-1,FALSE)</f>
        <v>D</v>
      </c>
      <c r="G499" s="380" t="str">
        <f>VLOOKUP($B493,IF($H493="F",TeamSheetFemale,TeamSheetMale),$Y499,FALSE)</f>
        <v xml:space="preserve">George Stacey Harper </v>
      </c>
      <c r="H499" s="363" t="str">
        <f>VLOOKUP($B493,IF($H493="F",TeamSheetFemale,TeamSheetMale),$Y499+1,FALSE)</f>
        <v>DD</v>
      </c>
      <c r="I499" s="364" t="str">
        <f>VLOOKUP($B493,IF($H493="F",TeamSheetFemale,TeamSheetMale),$Y499+2,FALSE)</f>
        <v>Toby Hughes Webb</v>
      </c>
      <c r="K499" s="341" t="s">
        <v>276</v>
      </c>
      <c r="L499" s="16" t="str">
        <f t="shared" si="430"/>
        <v>D</v>
      </c>
      <c r="M499" s="927" t="s">
        <v>136</v>
      </c>
      <c r="N499" s="927">
        <v>12.8</v>
      </c>
      <c r="O499" s="353" t="str">
        <f>IF(LEN($M499)=1,VLOOKUP(LEFT($M499,1),B494:I501,5,FALSE),IF(LEN($M499)=2,VLOOKUP(LEFT($M499,1),B494:I501,7,FALSE),""))</f>
        <v>D</v>
      </c>
      <c r="P499" s="373" t="str">
        <f>IF(LEN($M499)=1,VLOOKUP(LEFT($M499,1),B494:I501,6,FALSE),IF(LEN($M499)=2,VLOOKUP(LEFT($M499,1),B494:I501,8,FALSE),""))</f>
        <v xml:space="preserve">George Stacey Harper </v>
      </c>
      <c r="Q499" s="341" t="s">
        <v>276</v>
      </c>
      <c r="R499" s="146" t="str">
        <f t="shared" si="431"/>
        <v>F</v>
      </c>
      <c r="S499" s="927" t="s">
        <v>576</v>
      </c>
      <c r="T499" s="927">
        <v>13.7</v>
      </c>
      <c r="U499" s="353" t="str">
        <f>IF(LEN($S499)=1,VLOOKUP(LEFT($S499,1),B494:I501,5,FALSE),IF(LEN($S499)=2,VLOOKUP(LEFT($S499,1),B494:I501,7,FALSE),""))</f>
        <v>FF</v>
      </c>
      <c r="V499" s="373" t="str">
        <f>IF(LEN($S499)=1,VLOOKUP(LEFT($S499,1),B494:I501,6,FALSE),IF(LEN($S499)=2,VLOOKUP(LEFT($S499,1),B494:I501,8,FALSE),""))</f>
        <v>Arjun Singh Hira</v>
      </c>
      <c r="W499" s="417">
        <f t="shared" si="438"/>
        <v>3</v>
      </c>
      <c r="Y499" s="417">
        <v>32</v>
      </c>
      <c r="Z499" s="16" t="str">
        <f t="shared" si="432"/>
        <v>Strat</v>
      </c>
      <c r="AA499" s="146" t="str">
        <f t="shared" si="433"/>
        <v>Tam</v>
      </c>
      <c r="AB499" s="32"/>
      <c r="AC499" s="16" t="str">
        <f t="shared" si="434"/>
        <v>D</v>
      </c>
      <c r="AD499" s="419" t="str">
        <f t="shared" si="434"/>
        <v>Stratford</v>
      </c>
      <c r="AE499" s="419">
        <f>IF(ISNA(MATCH(AC499,N494:N503,0)),0,VLOOKUP(AC499,N494:S503,5,FALSE))</f>
        <v>0</v>
      </c>
      <c r="AF499" s="419" t="str">
        <f>IF(ISNA(MATCH(AC499,T494:T503,0))," ",VLOOKUP(AC499,T494:Y503,5,FALSE))</f>
        <v xml:space="preserve"> </v>
      </c>
      <c r="AG499" s="419">
        <f>IF(ISNA(MATCH(AC499,L494:L501,0)),0,VLOOKUP(AC499,L494:N501,3,FALSE))</f>
        <v>12.8</v>
      </c>
      <c r="AH499" s="419">
        <f>IF(ISNA(MATCH(AC499,R494:R501,0)),0,VLOOKUP(AC499,R494:T501,3,FALSE))</f>
        <v>13.4</v>
      </c>
      <c r="AI499" s="419" t="str">
        <f>IF(ISNA(MATCH(AC499,L494:L501,0)),0,VLOOKUP(AC499,L494:P501,4,FALSE))</f>
        <v>D</v>
      </c>
      <c r="AJ499" s="419" t="str">
        <f>IF(ISNA(MATCH(AC499,R494:R501,0)),0,VLOOKUP(AC499,R494:U501,4,FALSE))</f>
        <v>DD</v>
      </c>
      <c r="AK499" s="32">
        <f t="shared" si="435"/>
        <v>6</v>
      </c>
      <c r="AL499" s="32">
        <f t="shared" si="436"/>
        <v>5</v>
      </c>
      <c r="AM499" s="32">
        <f>IF(ISNA(MATCH(AC499,L494:L501,0)),0,VLOOKUP(AC499,L494:W501,AM$1,FALSE))</f>
        <v>3</v>
      </c>
      <c r="AN499" s="146">
        <f>IF(ISNA(MATCH(AC499,R494:R501,0)),0,VLOOKUP(AC499,R494:W501,AN$1,FALSE))</f>
        <v>4</v>
      </c>
      <c r="AP499" s="927"/>
      <c r="AQ499" s="927"/>
    </row>
    <row r="500" spans="1:47" ht="15.6" x14ac:dyDescent="0.3">
      <c r="A500" s="417">
        <f t="shared" si="437"/>
        <v>447</v>
      </c>
      <c r="B500" s="362" t="str">
        <f>'Event Details'!D$28</f>
        <v>F</v>
      </c>
      <c r="C500" s="381" t="str">
        <f>'Event Details'!E$28</f>
        <v>Tamworth</v>
      </c>
      <c r="D500" s="379"/>
      <c r="E500" s="378"/>
      <c r="F500" s="363" t="str">
        <f>VLOOKUP($B493,IF($H493="F",TeamSheetFemale,TeamSheetMale),$Y500-1,FALSE)</f>
        <v>F</v>
      </c>
      <c r="G500" s="380" t="str">
        <f>VLOOKUP($B493,IF($H493="F",TeamSheetFemale,TeamSheetMale),$Y500,FALSE)</f>
        <v>Oscar Brehler</v>
      </c>
      <c r="H500" s="363" t="str">
        <f>VLOOKUP($B493,IF($H493="F",TeamSheetFemale,TeamSheetMale),$Y500+1,FALSE)</f>
        <v>FF</v>
      </c>
      <c r="I500" s="364" t="str">
        <f>VLOOKUP($B493,IF($H493="F",TeamSheetFemale,TeamSheetMale),$Y500+2,FALSE)</f>
        <v>Arjun Singh Hira</v>
      </c>
      <c r="K500" s="341" t="s">
        <v>277</v>
      </c>
      <c r="L500" s="16" t="str">
        <f t="shared" si="430"/>
        <v/>
      </c>
      <c r="M500" s="927"/>
      <c r="N500" s="927"/>
      <c r="O500" s="353" t="str">
        <f>IF(LEN($M500)=1,VLOOKUP(LEFT($M500,1),B494:I501,5,FALSE),IF(LEN($M500)=2,VLOOKUP(LEFT($M500,1),B494:I501,7,FALSE),""))</f>
        <v/>
      </c>
      <c r="P500" s="373" t="str">
        <f>IF(LEN($M500)=1,VLOOKUP(LEFT($M500,1),B494:I501,6,FALSE),IF(LEN($M500)=2,VLOOKUP(LEFT($M500,1),B494:I501,8,FALSE),""))</f>
        <v/>
      </c>
      <c r="Q500" s="341" t="s">
        <v>277</v>
      </c>
      <c r="R500" s="146" t="str">
        <f t="shared" si="431"/>
        <v/>
      </c>
      <c r="S500" s="927"/>
      <c r="T500" s="927"/>
      <c r="U500" s="353" t="str">
        <f>IF(LEN($S500)=1,VLOOKUP(LEFT($S500,1),B494:I501,5,FALSE),IF(LEN($S500)=2,VLOOKUP(LEFT($S500,1),B494:I501,7,FALSE),""))</f>
        <v/>
      </c>
      <c r="V500" s="373" t="str">
        <f>IF(LEN($S500)=1,VLOOKUP(LEFT($S500,1),B494:I501,6,FALSE),IF(LEN($S500)=2,VLOOKUP(LEFT($S500,1),B494:I501,8,FALSE),""))</f>
        <v/>
      </c>
      <c r="W500" s="417">
        <f t="shared" si="438"/>
        <v>2</v>
      </c>
      <c r="Y500" s="417">
        <v>37</v>
      </c>
      <c r="Z500" s="16">
        <f t="shared" si="432"/>
        <v>0</v>
      </c>
      <c r="AA500" s="146">
        <f t="shared" si="433"/>
        <v>0</v>
      </c>
      <c r="AB500" s="32"/>
      <c r="AC500" s="16" t="str">
        <f t="shared" si="434"/>
        <v>F</v>
      </c>
      <c r="AD500" s="419" t="str">
        <f t="shared" si="434"/>
        <v>Tamworth</v>
      </c>
      <c r="AE500" s="419">
        <f>IF(ISNA(MATCH(AC500,N492:N501,0)),0,VLOOKUP(AC500,N492:S501,5,FALSE))</f>
        <v>0</v>
      </c>
      <c r="AF500" s="419" t="str">
        <f>IF(ISNA(MATCH(AC500,T492:T501,0))," ",VLOOKUP(AC500,T492:Y501,5,FALSE))</f>
        <v xml:space="preserve"> </v>
      </c>
      <c r="AG500" s="419">
        <f>IF(ISNA(MATCH(AC500,L494:L501,0)),0,VLOOKUP(AC500,L494:N501,3,FALSE))</f>
        <v>12.7</v>
      </c>
      <c r="AH500" s="419">
        <f>IF(ISNA(MATCH(AC500,R494:R501,0)),0,VLOOKUP(AC500,R494:T501,3,FALSE))</f>
        <v>13.7</v>
      </c>
      <c r="AI500" s="419" t="str">
        <f>IF(ISNA(MATCH(AC500,L494:L501,0)),0,VLOOKUP(AC500,L494:P501,4,FALSE))</f>
        <v>F</v>
      </c>
      <c r="AJ500" s="419" t="str">
        <f>IF(ISNA(MATCH(AC500,R494:R501,0)),0,VLOOKUP(AC500,R494:U501,4,FALSE))</f>
        <v>FF</v>
      </c>
      <c r="AK500" s="32">
        <f t="shared" si="435"/>
        <v>5</v>
      </c>
      <c r="AL500" s="32">
        <f t="shared" si="436"/>
        <v>6</v>
      </c>
      <c r="AM500" s="32">
        <f>IF(ISNA(MATCH(AC500,L494:L501,0)),0,VLOOKUP(AC500,L494:W501,AM$1,FALSE))</f>
        <v>4</v>
      </c>
      <c r="AN500" s="146">
        <f>IF(ISNA(MATCH(AC500,R494:R501,0)),0,VLOOKUP(AC500,R494:W501,AN$1,FALSE))</f>
        <v>3</v>
      </c>
      <c r="AP500" s="927"/>
      <c r="AQ500" s="927"/>
    </row>
    <row r="501" spans="1:47" ht="16.2" thickBot="1" x14ac:dyDescent="0.35">
      <c r="A501" s="418">
        <f t="shared" si="437"/>
        <v>448</v>
      </c>
      <c r="B501" s="365" t="str">
        <f>'Event Details'!D$29</f>
        <v>Y</v>
      </c>
      <c r="C501" s="366" t="str">
        <f>'Event Details'!E$29</f>
        <v>Worcester</v>
      </c>
      <c r="D501" s="361"/>
      <c r="E501" s="370"/>
      <c r="F501" s="367" t="str">
        <f>VLOOKUP($B493,IF($H493="F",TeamSheetFemale,TeamSheetMale),$Y501-1,FALSE)</f>
        <v>Y</v>
      </c>
      <c r="G501" s="368" t="str">
        <f>VLOOKUP($B493,IF($H493="F",TeamSheetFemale,TeamSheetMale),$Y501,FALSE)</f>
        <v>Hayden Helme</v>
      </c>
      <c r="H501" s="367">
        <f>VLOOKUP($B493,IF($H493="F",TeamSheetFemale,TeamSheetMale),$Y501+1,FALSE)</f>
        <v>0</v>
      </c>
      <c r="I501" s="369">
        <f>VLOOKUP($B493,IF($H493="F",TeamSheetFemale,TeamSheetMale),$Y501+2,FALSE)</f>
        <v>0</v>
      </c>
      <c r="K501" s="346" t="s">
        <v>278</v>
      </c>
      <c r="L501" s="25" t="str">
        <f t="shared" si="430"/>
        <v/>
      </c>
      <c r="M501" s="932"/>
      <c r="N501" s="932"/>
      <c r="O501" s="375" t="str">
        <f>IF(LEN($M501)=1,VLOOKUP(LEFT($M501,1),B494:I501,5,FALSE),IF(LEN($M501)=2,VLOOKUP(LEFT($M501,1),B494:I501,7,FALSE),""))</f>
        <v/>
      </c>
      <c r="P501" s="376" t="str">
        <f>IF(LEN($M501)=1,VLOOKUP(LEFT($M501,1),B494:I501,6,FALSE),IF(LEN($M501)=2,VLOOKUP(LEFT($M501,1),B494:I501,8,FALSE),""))</f>
        <v/>
      </c>
      <c r="Q501" s="346" t="s">
        <v>278</v>
      </c>
      <c r="R501" s="523" t="str">
        <f t="shared" si="431"/>
        <v/>
      </c>
      <c r="S501" s="932"/>
      <c r="T501" s="932"/>
      <c r="U501" s="375" t="str">
        <f>IF(LEN($S501)=1,VLOOKUP(LEFT($S501,1),B494:I501,5,FALSE),IF(LEN($S501)=2,VLOOKUP(LEFT($S501,1),B494:I501,7,FALSE),""))</f>
        <v/>
      </c>
      <c r="V501" s="376" t="str">
        <f>IF(LEN($S501)=1,VLOOKUP(LEFT($S501,1),B494:I501,6,FALSE),IF(LEN($S501)=2,VLOOKUP(LEFT($S501,1),B494:I501,8,FALSE),""))</f>
        <v/>
      </c>
      <c r="W501" s="418">
        <f t="shared" si="438"/>
        <v>1</v>
      </c>
      <c r="Y501" s="418">
        <v>42</v>
      </c>
      <c r="Z501" s="25">
        <f t="shared" si="432"/>
        <v>0</v>
      </c>
      <c r="AA501" s="523">
        <f t="shared" si="433"/>
        <v>0</v>
      </c>
      <c r="AB501" s="32"/>
      <c r="AC501" s="25" t="str">
        <f t="shared" si="434"/>
        <v>Y</v>
      </c>
      <c r="AD501" s="624" t="str">
        <f t="shared" si="434"/>
        <v>Worcester</v>
      </c>
      <c r="AE501" s="624">
        <f>IF(ISNA(MATCH(AC501,N493:N502,0)),0,VLOOKUP(AC501,N493:S502,5,FALSE))</f>
        <v>0</v>
      </c>
      <c r="AF501" s="624" t="str">
        <f t="shared" ref="AF501" si="439">IF(ISNA(MATCH(AC501,T493:T502,0))," ",VLOOKUP(AC501,T493:Y502,5,FALSE))</f>
        <v xml:space="preserve"> </v>
      </c>
      <c r="AG501" s="624">
        <f>IF(ISNA(MATCH(AC501,L494:L501,0)),0,VLOOKUP(AC501,L494:N501,3,FALSE))</f>
        <v>0</v>
      </c>
      <c r="AH501" s="624">
        <f>IF(ISNA(MATCH(AC501,R494:R501,0)),0,VLOOKUP(AC501,R494:T501,3,FALSE))</f>
        <v>0</v>
      </c>
      <c r="AI501" s="624">
        <f>IF(ISNA(MATCH(AC501,L494:L501,0)),0,VLOOKUP(AC501,L494:P501,4,FALSE))</f>
        <v>0</v>
      </c>
      <c r="AJ501" s="624">
        <f>IF(ISNA(MATCH(AC501,R494:R501,0)),0,VLOOKUP(AC501,R494:U501,4,FALSE))</f>
        <v>0</v>
      </c>
      <c r="AK501" s="116">
        <f t="shared" si="435"/>
        <v>0</v>
      </c>
      <c r="AL501" s="116">
        <f t="shared" si="436"/>
        <v>0</v>
      </c>
      <c r="AM501" s="116">
        <f>IF(ISNA(MATCH(AC501,L494:L501,0)),0,VLOOKUP(AC501,L494:W501,AM$1,FALSE))</f>
        <v>0</v>
      </c>
      <c r="AN501" s="523">
        <f>IF(ISNA(MATCH(AC501,R494:R501,0)),0,VLOOKUP(AC501,R494:W501,AN$1,FALSE))</f>
        <v>0</v>
      </c>
      <c r="AP501" s="932"/>
      <c r="AQ501" s="932"/>
    </row>
    <row r="502" spans="1:47" ht="15" thickBot="1" x14ac:dyDescent="0.35">
      <c r="M502" s="276"/>
      <c r="N502" s="307"/>
      <c r="S502" s="276"/>
      <c r="T502" s="307"/>
      <c r="AP502" s="276"/>
      <c r="AQ502" s="307"/>
    </row>
    <row r="503" spans="1:47" x14ac:dyDescent="0.3">
      <c r="B503" s="400" t="s">
        <v>258</v>
      </c>
      <c r="C503" s="398"/>
      <c r="D503" s="401" t="s">
        <v>165</v>
      </c>
      <c r="E503" s="398"/>
      <c r="F503" s="398"/>
      <c r="G503" s="402" t="s">
        <v>259</v>
      </c>
      <c r="H503" s="403" t="s">
        <v>249</v>
      </c>
      <c r="I503" s="404" t="s">
        <v>168</v>
      </c>
      <c r="K503" s="360"/>
      <c r="L503" s="661"/>
      <c r="M503" s="387" t="s">
        <v>260</v>
      </c>
      <c r="N503" s="387" t="s">
        <v>261</v>
      </c>
      <c r="O503" s="387" t="s">
        <v>262</v>
      </c>
      <c r="P503" s="388" t="s">
        <v>75</v>
      </c>
      <c r="Q503" s="412"/>
      <c r="R503" s="657"/>
      <c r="S503" s="387" t="s">
        <v>260</v>
      </c>
      <c r="T503" s="387" t="s">
        <v>261</v>
      </c>
      <c r="U503" s="387" t="s">
        <v>262</v>
      </c>
      <c r="V503" s="388" t="s">
        <v>75</v>
      </c>
      <c r="W503" s="672" t="s">
        <v>76</v>
      </c>
      <c r="Y503" s="654" t="s">
        <v>263</v>
      </c>
      <c r="Z503" s="656" t="s">
        <v>74</v>
      </c>
      <c r="AA503" s="657" t="s">
        <v>75</v>
      </c>
      <c r="AC503" s="665" t="s">
        <v>71</v>
      </c>
      <c r="AD503" s="657" t="s">
        <v>86</v>
      </c>
      <c r="AE503" s="661" t="s">
        <v>149</v>
      </c>
      <c r="AF503" s="661" t="s">
        <v>94</v>
      </c>
      <c r="AG503" s="661" t="s">
        <v>149</v>
      </c>
      <c r="AH503" s="661" t="s">
        <v>94</v>
      </c>
      <c r="AI503" s="661" t="s">
        <v>149</v>
      </c>
      <c r="AJ503" s="661" t="s">
        <v>94</v>
      </c>
      <c r="AK503" s="1332" t="s">
        <v>149</v>
      </c>
      <c r="AL503" s="661" t="s">
        <v>94</v>
      </c>
      <c r="AM503" s="1406" t="s">
        <v>76</v>
      </c>
      <c r="AN503" s="1407"/>
      <c r="AP503" s="387" t="s">
        <v>260</v>
      </c>
      <c r="AQ503" s="387" t="s">
        <v>261</v>
      </c>
      <c r="AS503" s="1218" t="s">
        <v>165</v>
      </c>
      <c r="AT503" s="1219" t="s">
        <v>79</v>
      </c>
      <c r="AU503" s="1220" t="s">
        <v>80</v>
      </c>
    </row>
    <row r="504" spans="1:47" ht="15" thickBot="1" x14ac:dyDescent="0.35">
      <c r="B504" s="405">
        <v>45</v>
      </c>
      <c r="C504" s="399"/>
      <c r="D504" s="385" t="str">
        <f>VLOOKUP($B504,EventOrder,6,FALSE)</f>
        <v xml:space="preserve">High Jump </v>
      </c>
      <c r="E504" s="399"/>
      <c r="F504" s="385"/>
      <c r="G504" s="386" t="str">
        <f>VLOOKUP($B504,EventOrder,4,FALSE)</f>
        <v>U16 Male</v>
      </c>
      <c r="H504" s="396" t="str">
        <f>IF(MID(G504,5,1)="F","F","M")</f>
        <v>M</v>
      </c>
      <c r="I504" s="397">
        <f>VLOOKUP($B504,EventOrder,2,FALSE)</f>
        <v>2.2999999999999998</v>
      </c>
      <c r="K504" s="372"/>
      <c r="L504" s="667" t="s">
        <v>149</v>
      </c>
      <c r="M504" s="409" t="s">
        <v>264</v>
      </c>
      <c r="N504" s="409" t="s">
        <v>265</v>
      </c>
      <c r="O504" s="409" t="s">
        <v>266</v>
      </c>
      <c r="P504" s="408"/>
      <c r="Q504" s="413"/>
      <c r="R504" s="659" t="s">
        <v>94</v>
      </c>
      <c r="S504" s="409" t="s">
        <v>264</v>
      </c>
      <c r="T504" s="409" t="s">
        <v>265</v>
      </c>
      <c r="U504" s="409" t="s">
        <v>266</v>
      </c>
      <c r="V504" s="408"/>
      <c r="W504" s="671"/>
      <c r="Y504" s="655" t="s">
        <v>167</v>
      </c>
      <c r="Z504" s="658" t="s">
        <v>149</v>
      </c>
      <c r="AA504" s="659" t="s">
        <v>94</v>
      </c>
      <c r="AC504" s="666"/>
      <c r="AD504" s="668"/>
      <c r="AE504" s="768" t="s">
        <v>75</v>
      </c>
      <c r="AF504" s="768" t="s">
        <v>75</v>
      </c>
      <c r="AG504" s="768" t="s">
        <v>267</v>
      </c>
      <c r="AH504" s="768" t="s">
        <v>267</v>
      </c>
      <c r="AI504" s="768" t="s">
        <v>268</v>
      </c>
      <c r="AJ504" s="768" t="s">
        <v>268</v>
      </c>
      <c r="AK504" s="770" t="s">
        <v>269</v>
      </c>
      <c r="AL504" s="768" t="s">
        <v>269</v>
      </c>
      <c r="AM504" s="667" t="s">
        <v>149</v>
      </c>
      <c r="AN504" s="659" t="s">
        <v>94</v>
      </c>
      <c r="AP504" s="409" t="s">
        <v>264</v>
      </c>
      <c r="AQ504" s="409" t="s">
        <v>265</v>
      </c>
      <c r="AS504" s="1221" t="s">
        <v>270</v>
      </c>
      <c r="AT504" s="1222" t="s">
        <v>270</v>
      </c>
      <c r="AU504" s="1223" t="s">
        <v>270</v>
      </c>
    </row>
    <row r="505" spans="1:47" ht="15.6" x14ac:dyDescent="0.3">
      <c r="A505" s="416">
        <f>(B504*10)+1</f>
        <v>451</v>
      </c>
      <c r="B505" s="362" t="str">
        <f>'Event Details'!D$22</f>
        <v>S</v>
      </c>
      <c r="C505" s="381" t="str">
        <f>'Event Details'!E$22</f>
        <v>BRAT</v>
      </c>
      <c r="D505" s="379"/>
      <c r="E505" s="378"/>
      <c r="F505" s="363" t="str">
        <f>VLOOKUP($B504,IF($H504="F",TeamSheetFemale,TeamSheetMale),$Y505-1,FALSE)</f>
        <v>S</v>
      </c>
      <c r="G505" s="380" t="str">
        <f>VLOOKUP($B504,IF($H504="F",TeamSheetFemale,TeamSheetMale),$Y505,FALSE)</f>
        <v xml:space="preserve">Austin Demanya </v>
      </c>
      <c r="H505" s="363" t="str">
        <f>VLOOKUP($B504,IF($H504="F",TeamSheetFemale,TeamSheetMale),$Y505+1,FALSE)</f>
        <v>SS</v>
      </c>
      <c r="I505" s="364" t="str">
        <f>VLOOKUP($B504,IF($H504="F",TeamSheetFemale,TeamSheetMale),$Y505+2,FALSE)</f>
        <v>Eben Ashton</v>
      </c>
      <c r="K505" s="393" t="s">
        <v>271</v>
      </c>
      <c r="L505" s="16" t="str">
        <f t="shared" ref="L505:L512" si="440">LEFT(M505,1)</f>
        <v>R</v>
      </c>
      <c r="M505" s="926" t="s">
        <v>118</v>
      </c>
      <c r="N505" s="926">
        <v>1.58</v>
      </c>
      <c r="O505" s="394" t="str">
        <f>IF(LEN($M505)=1,VLOOKUP(LEFT($M505,1),B505:I512,5,FALSE),IF(LEN($M505)=2,VLOOKUP(LEFT($M505,1),B505:I512,7,FALSE),""))</f>
        <v>R</v>
      </c>
      <c r="P505" s="395" t="str">
        <f>IF(LEN($M505)=1,VLOOKUP(LEFT($M505,1),B505:I512,6,FALSE),IF(LEN($M505)=2,VLOOKUP(LEFT($M505,1),B505:I512,8,FALSE),""))</f>
        <v>Tommy McGuire</v>
      </c>
      <c r="Q505" s="406" t="s">
        <v>271</v>
      </c>
      <c r="R505" s="146" t="str">
        <f t="shared" ref="R505:R512" si="441">LEFT(S505,1)</f>
        <v>S</v>
      </c>
      <c r="S505" s="926" t="s">
        <v>818</v>
      </c>
      <c r="T505" s="926">
        <v>1.55</v>
      </c>
      <c r="U505" s="394" t="str">
        <f>IF(LEN($S505)=1,VLOOKUP(LEFT($S505,1),B505:I512,5,FALSE),IF(LEN($S505)=2,VLOOKUP(LEFT($S505,1),B505:I512,7,FALSE),""))</f>
        <v>SS</v>
      </c>
      <c r="V505" s="395" t="str">
        <f>IF(LEN($S505)=1,VLOOKUP(LEFT($S505,1),B505:I512,6,FALSE),IF(LEN($S505)=2,VLOOKUP(LEFT($S505,1),B505:I512,8,FALSE),""))</f>
        <v>Eben Ashton</v>
      </c>
      <c r="W505" s="417">
        <f>AN$6</f>
        <v>8</v>
      </c>
      <c r="Y505" s="653">
        <v>7</v>
      </c>
      <c r="Z505" s="653" t="str">
        <f t="shared" ref="Z505:Z512" si="442">IF(LEN(M505)&gt;0,VLOOKUP(LEFT(M505,1),ShortName,5,FALSE),0)</f>
        <v>Rugby</v>
      </c>
      <c r="AA505" s="138" t="str">
        <f t="shared" ref="AA505:AA512" si="443">IF(LEN(S505)&gt;0,VLOOKUP(LEFT(S505,1),ShortName,5,FALSE),0)</f>
        <v>BRAT</v>
      </c>
      <c r="AC505" s="16" t="str">
        <f t="shared" ref="AC505:AD512" si="444">B505</f>
        <v>S</v>
      </c>
      <c r="AD505" s="419" t="str">
        <f t="shared" si="444"/>
        <v>BRAT</v>
      </c>
      <c r="AE505" s="635">
        <f>IF(ISNA(MATCH(AC505,N505:N558,0)),0,VLOOKUP(AC505,N505:S558,5,FALSE))</f>
        <v>0</v>
      </c>
      <c r="AF505" s="635" t="str">
        <f>IF(ISNA(MATCH(AC505,T505:T558,0))," ",VLOOKUP(AC505,T505:Y558,5,FALSE))</f>
        <v xml:space="preserve"> </v>
      </c>
      <c r="AG505" s="635">
        <f>IF(ISNA(MATCH(AC505,L505:L512,0)),0,VLOOKUP(AC505,L505:N512,3,FALSE))</f>
        <v>1.58</v>
      </c>
      <c r="AH505" s="635">
        <f>IF(ISNA(MATCH(AC505,R505:R512,0)),0,VLOOKUP(AC505,R505:T512,3,FALSE))</f>
        <v>1.55</v>
      </c>
      <c r="AI505" s="635" t="str">
        <f>IF(ISNA(MATCH(AC505,L505:L512,0)),0,VLOOKUP(AC505,L505:P512,4,FALSE))</f>
        <v>S</v>
      </c>
      <c r="AJ505" s="635" t="str">
        <f>IF(ISNA(MATCH(AC505,R505:R512,0)),0,VLOOKUP(AC505,R505:U512,4,FALSE))</f>
        <v>SS</v>
      </c>
      <c r="AK505" s="49">
        <f t="shared" ref="AK505:AK512" si="445">IF(AM505=0,0,AN$6-(AM505-1))</f>
        <v>2</v>
      </c>
      <c r="AL505" s="49">
        <f t="shared" ref="AL505:AL512" si="446">IF(AN505=0,0,AN$6-(AN505-1))</f>
        <v>1</v>
      </c>
      <c r="AM505" s="49">
        <f>IF(ISNA(MATCH(AC505,L505:L512,0)),0,VLOOKUP(AC505,L505:W512,AM$1,FALSE))</f>
        <v>7</v>
      </c>
      <c r="AN505" s="138">
        <f>IF(ISNA(MATCH(AC505,R505:R512,0)),0,VLOOKUP(AC505,R505:W512,AN$1,FALSE))</f>
        <v>8</v>
      </c>
      <c r="AP505" s="926"/>
      <c r="AQ505" s="926"/>
      <c r="AS505" s="32">
        <f>IF(LEN(N505)&gt;0,1,0)</f>
        <v>1</v>
      </c>
      <c r="AT505" s="32">
        <f>IF(AND(AS505=1,H504="M"),1,0)</f>
        <v>1</v>
      </c>
      <c r="AU505" s="32">
        <f>IF(AND(AS505=1,H504="F"),1,0)</f>
        <v>0</v>
      </c>
    </row>
    <row r="506" spans="1:47" ht="15.6" x14ac:dyDescent="0.3">
      <c r="A506" s="417">
        <f>A505+1</f>
        <v>452</v>
      </c>
      <c r="B506" s="362" t="str">
        <f>'Event Details'!D$23</f>
        <v>U</v>
      </c>
      <c r="C506" s="381" t="str">
        <f>'Event Details'!E$23</f>
        <v>Kidder &amp; Stourport</v>
      </c>
      <c r="D506" s="379"/>
      <c r="E506" s="378"/>
      <c r="F506" s="363">
        <f>VLOOKUP($B504,IF($H504="F",TeamSheetFemale,TeamSheetMale),$Y506-1,FALSE)</f>
        <v>0</v>
      </c>
      <c r="G506" s="380">
        <f>VLOOKUP($B504,IF($H504="F",TeamSheetFemale,TeamSheetMale),$Y506,FALSE)</f>
        <v>0</v>
      </c>
      <c r="H506" s="363">
        <f>VLOOKUP($B504,IF($H504="F",TeamSheetFemale,TeamSheetMale),$Y506+1,FALSE)</f>
        <v>0</v>
      </c>
      <c r="I506" s="364">
        <f>VLOOKUP($B504,IF($H504="F",TeamSheetFemale,TeamSheetMale),$Y506+2,FALSE)</f>
        <v>0</v>
      </c>
      <c r="K506" s="341" t="s">
        <v>272</v>
      </c>
      <c r="L506" s="16" t="str">
        <f t="shared" si="440"/>
        <v>S</v>
      </c>
      <c r="M506" s="927" t="s">
        <v>100</v>
      </c>
      <c r="N506" s="927">
        <v>1.58</v>
      </c>
      <c r="O506" s="354" t="str">
        <f>IF(LEN($M506)=1,VLOOKUP(LEFT($M506,1),B505:I512,5,FALSE),IF(LEN($M506)=2,VLOOKUP(LEFT($M506,1),B505:I512,7,FALSE),""))</f>
        <v>S</v>
      </c>
      <c r="P506" s="410" t="str">
        <f>IF(LEN($M506)=1,VLOOKUP(LEFT($M506,1),B505:I512,6,FALSE),IF(LEN($M506)=2,VLOOKUP(LEFT($M506,1),B505:I512,8,FALSE),""))</f>
        <v xml:space="preserve">Austin Demanya </v>
      </c>
      <c r="Q506" s="371" t="s">
        <v>272</v>
      </c>
      <c r="R506" s="146" t="str">
        <f t="shared" si="441"/>
        <v>D</v>
      </c>
      <c r="S506" s="927" t="s">
        <v>136</v>
      </c>
      <c r="T506" s="927">
        <v>1.4</v>
      </c>
      <c r="U506" s="354" t="str">
        <f>IF(LEN($S506)=1,VLOOKUP(LEFT($S506,1),B505:I512,5,FALSE),IF(LEN($S506)=2,VLOOKUP(LEFT($S506,1),B505:I512,7,FALSE),""))</f>
        <v>D</v>
      </c>
      <c r="V506" s="410" t="str">
        <f>IF(LEN($S506)=1,VLOOKUP(LEFT($S506,1),B505:I512,6,FALSE),IF(LEN($S506)=2,VLOOKUP(LEFT($S506,1),B505:I512,8,FALSE),""))</f>
        <v>Toby Wilkinson</v>
      </c>
      <c r="W506" s="417">
        <f>W505-1</f>
        <v>7</v>
      </c>
      <c r="Y506" s="16">
        <v>12</v>
      </c>
      <c r="Z506" s="16" t="str">
        <f t="shared" si="442"/>
        <v>BRAT</v>
      </c>
      <c r="AA506" s="146" t="str">
        <f t="shared" si="443"/>
        <v>Strat</v>
      </c>
      <c r="AC506" s="16" t="str">
        <f t="shared" si="444"/>
        <v>U</v>
      </c>
      <c r="AD506" s="419" t="str">
        <f t="shared" si="444"/>
        <v>Kidder &amp; Stourport</v>
      </c>
      <c r="AE506" s="419">
        <f>IF(ISNA(MATCH(AC506,N505:N558,0)),0,VLOOKUP(AC506,N505:S558,5,FALSE))</f>
        <v>0</v>
      </c>
      <c r="AF506" s="419" t="str">
        <f>IF(ISNA(MATCH(AC506,T505:T558,0))," ",VLOOKUP(AC506,T505:Y558,5,FALSE))</f>
        <v xml:space="preserve"> </v>
      </c>
      <c r="AG506" s="419">
        <f>IF(ISNA(MATCH(AC506,L505:L512,0)),0,VLOOKUP(AC506,L505:N512,3,FALSE))</f>
        <v>0</v>
      </c>
      <c r="AH506" s="419">
        <f>IF(ISNA(MATCH(AC506,R505:R512,0)),0,VLOOKUP(AC506,R505:T512,3,FALSE))</f>
        <v>0</v>
      </c>
      <c r="AI506" s="419">
        <f>IF(ISNA(MATCH(AC506,L505:L512,0)),0,VLOOKUP(AC506,L505:P512,4,FALSE))</f>
        <v>0</v>
      </c>
      <c r="AJ506" s="419">
        <f>IF(ISNA(MATCH(AC506,R505:R512,0)),0,VLOOKUP(AC506,R505:U512,4,FALSE))</f>
        <v>0</v>
      </c>
      <c r="AK506" s="32">
        <f t="shared" si="445"/>
        <v>0</v>
      </c>
      <c r="AL506" s="32">
        <f t="shared" si="446"/>
        <v>0</v>
      </c>
      <c r="AM506" s="32">
        <f>IF(ISNA(MATCH(AC506,L505:L512,0)),0,VLOOKUP(AC506,L505:W512,AM$1,FALSE))</f>
        <v>0</v>
      </c>
      <c r="AN506" s="146">
        <f>IF(ISNA(MATCH(AC506,R505:R512,0)),0,VLOOKUP(AC506,R505:W512,AN$1,FALSE))</f>
        <v>0</v>
      </c>
      <c r="AP506" s="927"/>
      <c r="AQ506" s="927"/>
    </row>
    <row r="507" spans="1:47" ht="15.6" x14ac:dyDescent="0.3">
      <c r="A507" s="417">
        <f t="shared" ref="A507:A512" si="447">A506+1</f>
        <v>453</v>
      </c>
      <c r="B507" s="362" t="str">
        <f>'Event Details'!D$24</f>
        <v>G</v>
      </c>
      <c r="C507" s="381" t="str">
        <f>'Event Details'!E$24</f>
        <v>Royal Sutton</v>
      </c>
      <c r="D507" s="379"/>
      <c r="E507" s="378"/>
      <c r="F507" s="363" t="str">
        <f>VLOOKUP($B504,IF($H504="F",TeamSheetFemale,TeamSheetMale),$Y507-1,FALSE)</f>
        <v>G</v>
      </c>
      <c r="G507" s="380" t="str">
        <f>VLOOKUP($B504,IF($H504="F",TeamSheetFemale,TeamSheetMale),$Y507,FALSE)</f>
        <v>Jason Adobor</v>
      </c>
      <c r="H507" s="363" t="str">
        <f>VLOOKUP($B504,IF($H504="F",TeamSheetFemale,TeamSheetMale),$Y507+1,FALSE)</f>
        <v>GG</v>
      </c>
      <c r="I507" s="364" t="str">
        <f>VLOOKUP($B504,IF($H504="F",TeamSheetFemale,TeamSheetMale),$Y507+2,FALSE)</f>
        <v>Louis Matthews</v>
      </c>
      <c r="K507" s="341" t="s">
        <v>273</v>
      </c>
      <c r="L507" s="16" t="str">
        <f t="shared" si="440"/>
        <v>Y</v>
      </c>
      <c r="M507" s="927" t="s">
        <v>822</v>
      </c>
      <c r="N507" s="927">
        <v>1.5</v>
      </c>
      <c r="O507" s="354" t="str">
        <f>IF(LEN($M507)=1,VLOOKUP(LEFT($M507,1),B505:I512,5,FALSE),IF(LEN($M507)=2,VLOOKUP(LEFT($M507,1),B505:I512,7,FALSE),""))</f>
        <v>YY</v>
      </c>
      <c r="P507" s="410" t="str">
        <f>IF(LEN($M507)=1,VLOOKUP(LEFT($M507,1),B505:I512,6,FALSE),IF(LEN($M507)=2,VLOOKUP(LEFT($M507,1),B505:I512,8,FALSE),""))</f>
        <v>Hayden Helme</v>
      </c>
      <c r="Q507" s="371" t="s">
        <v>273</v>
      </c>
      <c r="R507" s="146" t="str">
        <f t="shared" si="441"/>
        <v>F</v>
      </c>
      <c r="S507" s="927" t="s">
        <v>142</v>
      </c>
      <c r="T507" s="927">
        <v>1.4</v>
      </c>
      <c r="U507" s="354" t="str">
        <f>IF(LEN($S507)=1,VLOOKUP(LEFT($S507,1),B505:I512,5,FALSE),IF(LEN($S507)=2,VLOOKUP(LEFT($S507,1),B505:I512,7,FALSE),""))</f>
        <v>F</v>
      </c>
      <c r="V507" s="410" t="str">
        <f>IF(LEN($S507)=1,VLOOKUP(LEFT($S507,1),B505:I512,6,FALSE),IF(LEN($S507)=2,VLOOKUP(LEFT($S507,1),B505:I512,8,FALSE),""))</f>
        <v>Alex Haywood</v>
      </c>
      <c r="W507" s="417">
        <f t="shared" ref="W507:W512" si="448">W506-1</f>
        <v>6</v>
      </c>
      <c r="Y507" s="16">
        <v>17</v>
      </c>
      <c r="Z507" s="16" t="str">
        <f t="shared" si="442"/>
        <v>Worc</v>
      </c>
      <c r="AA507" s="146" t="str">
        <f t="shared" si="443"/>
        <v>Tam</v>
      </c>
      <c r="AC507" s="16" t="str">
        <f t="shared" si="444"/>
        <v>G</v>
      </c>
      <c r="AD507" s="419" t="str">
        <f t="shared" si="444"/>
        <v>Royal Sutton</v>
      </c>
      <c r="AE507" s="419">
        <f>IF(ISNA(MATCH(AC507,N505:N558,0)),0,VLOOKUP(AC507,N505:S558,5,FALSE))</f>
        <v>0</v>
      </c>
      <c r="AF507" s="419" t="str">
        <f>IF(ISNA(MATCH(AC507,T505:T558,0))," ",VLOOKUP(AC507,T505:Y558,5,FALSE))</f>
        <v xml:space="preserve"> </v>
      </c>
      <c r="AG507" s="419">
        <f>IF(ISNA(MATCH(AC507,L505:L512,0)),0,VLOOKUP(AC507,L505:N512,3,FALSE))</f>
        <v>1.3</v>
      </c>
      <c r="AH507" s="419">
        <f>IF(ISNA(MATCH(AC507,R505:R512,0)),0,VLOOKUP(AC507,R505:T512,3,FALSE))</f>
        <v>0</v>
      </c>
      <c r="AI507" s="419" t="str">
        <f>IF(ISNA(MATCH(AC507,L505:L512,0)),0,VLOOKUP(AC507,L505:P512,4,FALSE))</f>
        <v>G</v>
      </c>
      <c r="AJ507" s="419">
        <f>IF(ISNA(MATCH(AC507,R505:R512,0)),0,VLOOKUP(AC507,R505:U512,4,FALSE))</f>
        <v>0</v>
      </c>
      <c r="AK507" s="32">
        <f t="shared" si="445"/>
        <v>7</v>
      </c>
      <c r="AL507" s="32">
        <f t="shared" si="446"/>
        <v>0</v>
      </c>
      <c r="AM507" s="32">
        <f>IF(ISNA(MATCH(AC507,L505:L512,0)),0,VLOOKUP(AC507,L505:W512,AM$1,FALSE))</f>
        <v>2</v>
      </c>
      <c r="AN507" s="146">
        <f>IF(ISNA(MATCH(AC507,R505:R512,0)),0,VLOOKUP(AC507,R505:W512,AN$1,FALSE))</f>
        <v>0</v>
      </c>
      <c r="AP507" s="927"/>
      <c r="AQ507" s="927"/>
    </row>
    <row r="508" spans="1:47" ht="15.6" x14ac:dyDescent="0.3">
      <c r="A508" s="417">
        <f t="shared" si="447"/>
        <v>454</v>
      </c>
      <c r="B508" s="362" t="str">
        <f>'Event Details'!D$25</f>
        <v>R</v>
      </c>
      <c r="C508" s="381" t="str">
        <f>'Event Details'!E$25</f>
        <v>Rugby &amp; N'hampton</v>
      </c>
      <c r="D508" s="379"/>
      <c r="E508" s="378"/>
      <c r="F508" s="363" t="str">
        <f>VLOOKUP($B504,IF($H504="F",TeamSheetFemale,TeamSheetMale),$Y508-1,FALSE)</f>
        <v>R</v>
      </c>
      <c r="G508" s="380" t="str">
        <f>VLOOKUP($B504,IF($H504="F",TeamSheetFemale,TeamSheetMale),$Y508,FALSE)</f>
        <v>Tommy McGuire</v>
      </c>
      <c r="H508" s="363" t="str">
        <f>VLOOKUP($B504,IF($H504="F",TeamSheetFemale,TeamSheetMale),$Y508+1,FALSE)</f>
        <v>RR</v>
      </c>
      <c r="I508" s="364" t="str">
        <f>VLOOKUP($B504,IF($H504="F",TeamSheetFemale,TeamSheetMale),$Y508+2,FALSE)</f>
        <v>Joe White</v>
      </c>
      <c r="K508" s="341" t="s">
        <v>274</v>
      </c>
      <c r="L508" s="16" t="str">
        <f t="shared" si="440"/>
        <v>M</v>
      </c>
      <c r="M508" s="927" t="s">
        <v>127</v>
      </c>
      <c r="N508" s="927">
        <v>1.45</v>
      </c>
      <c r="O508" s="354" t="s">
        <v>127</v>
      </c>
      <c r="P508" s="410" t="str">
        <f>IF(LEN($M508)=1,VLOOKUP(LEFT($M508,1),B505:I512,6,FALSE),IF(LEN($M508)=2,VLOOKUP(LEFT($M508,1),B505:I512,8,FALSE),""))</f>
        <v>Luke Ager</v>
      </c>
      <c r="Q508" s="371" t="s">
        <v>274</v>
      </c>
      <c r="R508" s="146" t="str">
        <f t="shared" si="441"/>
        <v>M</v>
      </c>
      <c r="S508" s="927" t="s">
        <v>821</v>
      </c>
      <c r="T508" s="927">
        <v>1.25</v>
      </c>
      <c r="U508" s="354" t="str">
        <f>IF(LEN($S508)=1,VLOOKUP(LEFT($S508,1),B505:I512,5,FALSE),IF(LEN($S508)=2,VLOOKUP(LEFT($S508,1),B505:I512,7,FALSE),""))</f>
        <v>MM</v>
      </c>
      <c r="V508" s="410" t="str">
        <f>IF(LEN($S508)=1,VLOOKUP(LEFT($S508,1),B505:I512,6,FALSE),IF(LEN($S508)=2,VLOOKUP(LEFT($S508,1),B505:I512,8,FALSE),""))</f>
        <v>Zakariya Rush</v>
      </c>
      <c r="W508" s="417">
        <f t="shared" si="448"/>
        <v>5</v>
      </c>
      <c r="Y508" s="16">
        <v>22</v>
      </c>
      <c r="Z508" s="16" t="str">
        <f t="shared" si="442"/>
        <v>Sol</v>
      </c>
      <c r="AA508" s="146" t="str">
        <f t="shared" si="443"/>
        <v>Sol</v>
      </c>
      <c r="AC508" s="16" t="str">
        <f t="shared" si="444"/>
        <v>R</v>
      </c>
      <c r="AD508" s="419" t="str">
        <f t="shared" si="444"/>
        <v>Rugby &amp; N'hampton</v>
      </c>
      <c r="AE508" s="419">
        <f>IF(ISNA(MATCH(AC508,N505:N558,0)),0,VLOOKUP(AC508,N505:S558,5,FALSE))</f>
        <v>0</v>
      </c>
      <c r="AF508" s="419" t="str">
        <f>IF(ISNA(MATCH(AC508,T505:T558,0))," ",VLOOKUP(AC508,T505:Y558,5,FALSE))</f>
        <v xml:space="preserve"> </v>
      </c>
      <c r="AG508" s="419">
        <f>IF(ISNA(MATCH(AC508,L505:L512,0)),0,VLOOKUP(AC508,L505:N512,3,FALSE))</f>
        <v>1.58</v>
      </c>
      <c r="AH508" s="419">
        <f>IF(ISNA(MATCH(AC508,R505:R512,0)),0,VLOOKUP(AC508,R505:T512,3,FALSE))</f>
        <v>0</v>
      </c>
      <c r="AI508" s="419" t="str">
        <f>IF(ISNA(MATCH(AC508,L505:L512,0)),0,VLOOKUP(AC508,L505:P512,4,FALSE))</f>
        <v>R</v>
      </c>
      <c r="AJ508" s="419">
        <f>IF(ISNA(MATCH(AC508,R505:R512,0)),0,VLOOKUP(AC508,R505:U512,4,FALSE))</f>
        <v>0</v>
      </c>
      <c r="AK508" s="32">
        <f t="shared" si="445"/>
        <v>1</v>
      </c>
      <c r="AL508" s="32">
        <f t="shared" si="446"/>
        <v>0</v>
      </c>
      <c r="AM508" s="32">
        <f>IF(ISNA(MATCH(AC508,L505:L512,0)),0,VLOOKUP(AC508,L505:W512,AM$1,FALSE))</f>
        <v>8</v>
      </c>
      <c r="AN508" s="146">
        <f>IF(ISNA(MATCH(AC508,R505:R512,0)),0,VLOOKUP(AC508,R505:W512,AN$1,FALSE))</f>
        <v>0</v>
      </c>
      <c r="AP508" s="927"/>
      <c r="AQ508" s="927"/>
    </row>
    <row r="509" spans="1:47" ht="15.6" x14ac:dyDescent="0.3">
      <c r="A509" s="417">
        <f t="shared" si="447"/>
        <v>455</v>
      </c>
      <c r="B509" s="362" t="str">
        <f>'Event Details'!D$26</f>
        <v>M</v>
      </c>
      <c r="C509" s="381" t="str">
        <f>'Event Details'!E$26</f>
        <v>Solihull &amp; S.Heath</v>
      </c>
      <c r="D509" s="379"/>
      <c r="E509" s="378"/>
      <c r="F509" s="363" t="str">
        <f>VLOOKUP($B504,IF($H504="F",TeamSheetFemale,TeamSheetMale),$Y509-1,FALSE)</f>
        <v>M</v>
      </c>
      <c r="G509" s="380" t="str">
        <f>VLOOKUP($B504,IF($H504="F",TeamSheetFemale,TeamSheetMale),$Y509,FALSE)</f>
        <v>Luke Ager</v>
      </c>
      <c r="H509" s="363" t="str">
        <f>VLOOKUP($B504,IF($H504="F",TeamSheetFemale,TeamSheetMale),$Y509+1,FALSE)</f>
        <v>MM</v>
      </c>
      <c r="I509" s="364" t="str">
        <f>VLOOKUP($B504,IF($H504="F",TeamSheetFemale,TeamSheetMale),$Y509+2,FALSE)</f>
        <v>Zakariya Rush</v>
      </c>
      <c r="K509" s="341" t="s">
        <v>275</v>
      </c>
      <c r="L509" s="16" t="str">
        <f t="shared" si="440"/>
        <v>F</v>
      </c>
      <c r="M509" s="927" t="s">
        <v>576</v>
      </c>
      <c r="N509" s="927">
        <v>1.45</v>
      </c>
      <c r="O509" s="354" t="str">
        <f>IF(LEN($M509)=1,VLOOKUP(LEFT($M509,1),B505:I512,5,FALSE),IF(LEN($M509)=2,VLOOKUP(LEFT($M509,1),B505:I512,7,FALSE),""))</f>
        <v>FF</v>
      </c>
      <c r="P509" s="410" t="str">
        <f>IF(LEN($M509)=1,VLOOKUP(LEFT($M509,1),B505:I512,6,FALSE),IF(LEN($M509)=2,VLOOKUP(LEFT($M509,1),B505:I512,8,FALSE),""))</f>
        <v>Lucas Lee</v>
      </c>
      <c r="Q509" s="371" t="s">
        <v>275</v>
      </c>
      <c r="R509" s="146" t="str">
        <f t="shared" si="441"/>
        <v>Y</v>
      </c>
      <c r="S509" s="927" t="s">
        <v>151</v>
      </c>
      <c r="T509" s="927">
        <v>1.2</v>
      </c>
      <c r="U509" s="354" t="str">
        <f>IF(LEN($S509)=1,VLOOKUP(LEFT($S509,1),B505:I512,5,FALSE),IF(LEN($S509)=2,VLOOKUP(LEFT($S509,1),B505:I512,7,FALSE),""))</f>
        <v>Y</v>
      </c>
      <c r="V509" s="410" t="str">
        <f>IF(LEN($S509)=1,VLOOKUP(LEFT($S509,1),B505:I512,6,FALSE),IF(LEN($S509)=2,VLOOKUP(LEFT($S509,1),B505:I512,8,FALSE),""))</f>
        <v>Tobias Collett</v>
      </c>
      <c r="W509" s="417">
        <f t="shared" si="448"/>
        <v>4</v>
      </c>
      <c r="Y509" s="16">
        <v>27</v>
      </c>
      <c r="Z509" s="16" t="str">
        <f t="shared" si="442"/>
        <v>Tam</v>
      </c>
      <c r="AA509" s="146" t="str">
        <f t="shared" si="443"/>
        <v>Worc</v>
      </c>
      <c r="AC509" s="16" t="str">
        <f t="shared" si="444"/>
        <v>M</v>
      </c>
      <c r="AD509" s="419" t="str">
        <f t="shared" si="444"/>
        <v>Solihull &amp; S.Heath</v>
      </c>
      <c r="AE509" s="419">
        <f>IF(ISNA(MATCH(AC509,N505:N558,0)),0,VLOOKUP(AC509,N505:S558,5,FALSE))</f>
        <v>0</v>
      </c>
      <c r="AF509" s="419" t="str">
        <f>IF(ISNA(MATCH(AC509,T505:T558,0))," ",VLOOKUP(AC509,T505:Y558,5,FALSE))</f>
        <v xml:space="preserve"> </v>
      </c>
      <c r="AG509" s="419">
        <f>IF(ISNA(MATCH(AC509,L505:L512,0)),0,VLOOKUP(AC509,L505:N512,3,FALSE))</f>
        <v>1.45</v>
      </c>
      <c r="AH509" s="419">
        <f>IF(ISNA(MATCH(AC509,R505:R512,0)),0,VLOOKUP(AC509,R505:T512,3,FALSE))</f>
        <v>1.25</v>
      </c>
      <c r="AI509" s="419" t="str">
        <f>IF(ISNA(MATCH(AC509,L505:L512,0)),0,VLOOKUP(AC509,L505:P512,4,FALSE))</f>
        <v>M</v>
      </c>
      <c r="AJ509" s="419" t="str">
        <f>IF(ISNA(MATCH(AC509,R505:R512,0)),0,VLOOKUP(AC509,R505:U512,4,FALSE))</f>
        <v>MM</v>
      </c>
      <c r="AK509" s="32">
        <f t="shared" si="445"/>
        <v>4</v>
      </c>
      <c r="AL509" s="32">
        <f t="shared" si="446"/>
        <v>4</v>
      </c>
      <c r="AM509" s="32">
        <f>IF(ISNA(MATCH(AC509,L505:L512,0)),0,VLOOKUP(AC509,L505:W512,AM$1,FALSE))</f>
        <v>5</v>
      </c>
      <c r="AN509" s="146">
        <f>IF(ISNA(MATCH(AC509,R505:R512,0)),0,VLOOKUP(AC509,R505:W512,AN$1,FALSE))</f>
        <v>5</v>
      </c>
      <c r="AP509" s="927"/>
      <c r="AQ509" s="927"/>
    </row>
    <row r="510" spans="1:47" ht="15.6" x14ac:dyDescent="0.3">
      <c r="A510" s="417">
        <f t="shared" si="447"/>
        <v>456</v>
      </c>
      <c r="B510" s="362" t="str">
        <f>'Event Details'!D$27</f>
        <v>D</v>
      </c>
      <c r="C510" s="381" t="str">
        <f>'Event Details'!E$27</f>
        <v>Stratford</v>
      </c>
      <c r="D510" s="379"/>
      <c r="E510" s="378"/>
      <c r="F510" s="363" t="str">
        <f>VLOOKUP($B504,IF($H504="F",TeamSheetFemale,TeamSheetMale),$Y510-1,FALSE)</f>
        <v>D</v>
      </c>
      <c r="G510" s="380" t="str">
        <f>VLOOKUP($B504,IF($H504="F",TeamSheetFemale,TeamSheetMale),$Y510,FALSE)</f>
        <v>Toby Wilkinson</v>
      </c>
      <c r="H510" s="363" t="str">
        <f>VLOOKUP($B504,IF($H504="F",TeamSheetFemale,TeamSheetMale),$Y510+1,FALSE)</f>
        <v>DD</v>
      </c>
      <c r="I510" s="364" t="str">
        <f>VLOOKUP($B504,IF($H504="F",TeamSheetFemale,TeamSheetMale),$Y510+2,FALSE)</f>
        <v>Finn Jackson</v>
      </c>
      <c r="K510" s="341" t="s">
        <v>276</v>
      </c>
      <c r="L510" s="16" t="str">
        <f t="shared" si="440"/>
        <v>D</v>
      </c>
      <c r="M510" s="927" t="s">
        <v>513</v>
      </c>
      <c r="N510" s="927">
        <v>1.45</v>
      </c>
      <c r="O510" s="354" t="str">
        <f>IF(LEN($M510)=1,VLOOKUP(LEFT($M510,1),B505:I512,5,FALSE),IF(LEN($M510)=2,VLOOKUP(LEFT($M510,1),B505:I512,7,FALSE),""))</f>
        <v>DD</v>
      </c>
      <c r="P510" s="410" t="str">
        <f>IF(LEN($M510)=1,VLOOKUP(LEFT($M510,1),B505:I512,6,FALSE),IF(LEN($M510)=2,VLOOKUP(LEFT($M510,1),B505:I512,8,FALSE),""))</f>
        <v>Finn Jackson</v>
      </c>
      <c r="Q510" s="371" t="s">
        <v>276</v>
      </c>
      <c r="R510" s="146" t="str">
        <f t="shared" si="441"/>
        <v/>
      </c>
      <c r="S510" s="927"/>
      <c r="T510" s="927">
        <v>59</v>
      </c>
      <c r="U510" s="354" t="str">
        <f>IF(LEN($S510)=1,VLOOKUP(LEFT($S510,1),B505:I512,5,FALSE),IF(LEN($S510)=2,VLOOKUP(LEFT($S510,1),B505:I512,7,FALSE),""))</f>
        <v/>
      </c>
      <c r="V510" s="410" t="str">
        <f>IF(LEN($S510)=1,VLOOKUP(LEFT($S510,1),B505:I512,6,FALSE),IF(LEN($S510)=2,VLOOKUP(LEFT($S510,1),B505:I512,8,FALSE),""))</f>
        <v/>
      </c>
      <c r="W510" s="417">
        <f t="shared" si="448"/>
        <v>3</v>
      </c>
      <c r="Y510" s="16">
        <v>32</v>
      </c>
      <c r="Z510" s="16" t="str">
        <f t="shared" si="442"/>
        <v>Strat</v>
      </c>
      <c r="AA510" s="146">
        <f t="shared" si="443"/>
        <v>0</v>
      </c>
      <c r="AC510" s="16" t="str">
        <f t="shared" si="444"/>
        <v>D</v>
      </c>
      <c r="AD510" s="419" t="str">
        <f t="shared" si="444"/>
        <v>Stratford</v>
      </c>
      <c r="AE510" s="419">
        <f>IF(ISNA(MATCH(AC510,N505:N558,0)),0,VLOOKUP(AC510,N505:S558,5,FALSE))</f>
        <v>0</v>
      </c>
      <c r="AF510" s="419" t="str">
        <f>IF(ISNA(MATCH(AC510,T505:T558,0))," ",VLOOKUP(AC510,T505:Y558,5,FALSE))</f>
        <v xml:space="preserve"> </v>
      </c>
      <c r="AG510" s="419">
        <f>IF(ISNA(MATCH(AC510,L505:L512,0)),0,VLOOKUP(AC510,L505:N512,3,FALSE))</f>
        <v>1.45</v>
      </c>
      <c r="AH510" s="419">
        <f>IF(ISNA(MATCH(AC510,R505:R512,0)),0,VLOOKUP(AC510,R505:T512,3,FALSE))</f>
        <v>1.4</v>
      </c>
      <c r="AI510" s="419" t="str">
        <f>IF(ISNA(MATCH(AC510,L505:L512,0)),0,VLOOKUP(AC510,L505:P512,4,FALSE))</f>
        <v>DD</v>
      </c>
      <c r="AJ510" s="419" t="str">
        <f>IF(ISNA(MATCH(AC510,R505:R512,0)),0,VLOOKUP(AC510,R505:U512,4,FALSE))</f>
        <v>D</v>
      </c>
      <c r="AK510" s="32">
        <f t="shared" si="445"/>
        <v>6</v>
      </c>
      <c r="AL510" s="32">
        <f t="shared" si="446"/>
        <v>2</v>
      </c>
      <c r="AM510" s="32">
        <f>IF(ISNA(MATCH(AC510,L505:L512,0)),0,VLOOKUP(AC510,L505:W512,AM$1,FALSE))</f>
        <v>3</v>
      </c>
      <c r="AN510" s="146">
        <f>IF(ISNA(MATCH(AC510,R505:R512,0)),0,VLOOKUP(AC510,R505:W512,AN$1,FALSE))</f>
        <v>7</v>
      </c>
      <c r="AP510" s="927"/>
      <c r="AQ510" s="927"/>
    </row>
    <row r="511" spans="1:47" ht="15.6" x14ac:dyDescent="0.3">
      <c r="A511" s="417">
        <f t="shared" si="447"/>
        <v>457</v>
      </c>
      <c r="B511" s="362" t="str">
        <f>'Event Details'!D$28</f>
        <v>F</v>
      </c>
      <c r="C511" s="381" t="str">
        <f>'Event Details'!E$28</f>
        <v>Tamworth</v>
      </c>
      <c r="D511" s="379"/>
      <c r="E511" s="378"/>
      <c r="F511" s="363" t="str">
        <f>VLOOKUP($B504,IF($H504="F",TeamSheetFemale,TeamSheetMale),$Y511-1,FALSE)</f>
        <v>F</v>
      </c>
      <c r="G511" s="380" t="str">
        <f>VLOOKUP($B504,IF($H504="F",TeamSheetFemale,TeamSheetMale),$Y511,FALSE)</f>
        <v>Alex Haywood</v>
      </c>
      <c r="H511" s="363" t="str">
        <f>VLOOKUP($B504,IF($H504="F",TeamSheetFemale,TeamSheetMale),$Y511+1,FALSE)</f>
        <v>FF</v>
      </c>
      <c r="I511" s="364" t="str">
        <f>VLOOKUP($B504,IF($H504="F",TeamSheetFemale,TeamSheetMale),$Y511+2,FALSE)</f>
        <v>Lucas Lee</v>
      </c>
      <c r="K511" s="341" t="s">
        <v>277</v>
      </c>
      <c r="L511" s="16" t="str">
        <f t="shared" si="440"/>
        <v>G</v>
      </c>
      <c r="M511" s="927" t="s">
        <v>110</v>
      </c>
      <c r="N511" s="927">
        <v>1.3</v>
      </c>
      <c r="O511" s="354" t="str">
        <f>IF(LEN($M511)=1,VLOOKUP(LEFT($M511,1),B505:I512,5,FALSE),IF(LEN($M511)=2,VLOOKUP(LEFT($M511,1),B505:I512,7,FALSE),""))</f>
        <v>G</v>
      </c>
      <c r="P511" s="410" t="str">
        <f>IF(LEN($M511)=1,VLOOKUP(LEFT($M511,1),B505:I512,6,FALSE),IF(LEN($M511)=2,VLOOKUP(LEFT($M511,1),B505:I512,8,FALSE),""))</f>
        <v>Jason Adobor</v>
      </c>
      <c r="Q511" s="371" t="s">
        <v>277</v>
      </c>
      <c r="R511" s="146" t="str">
        <f t="shared" si="441"/>
        <v/>
      </c>
      <c r="S511" s="927"/>
      <c r="T511" s="927"/>
      <c r="U511" s="354" t="str">
        <f>IF(LEN($S511)=1,VLOOKUP(LEFT($S511,1),B505:I512,5,FALSE),IF(LEN($S511)=2,VLOOKUP(LEFT($S511,1),B505:I512,7,FALSE),""))</f>
        <v/>
      </c>
      <c r="V511" s="410" t="str">
        <f>IF(LEN($S511)=1,VLOOKUP(LEFT($S511,1),B505:I512,6,FALSE),IF(LEN($S511)=2,VLOOKUP(LEFT($S511,1),B505:I512,8,FALSE),""))</f>
        <v/>
      </c>
      <c r="W511" s="417">
        <f t="shared" si="448"/>
        <v>2</v>
      </c>
      <c r="Y511" s="16">
        <v>37</v>
      </c>
      <c r="Z511" s="16" t="str">
        <f t="shared" si="442"/>
        <v>Royal</v>
      </c>
      <c r="AA511" s="146">
        <f t="shared" si="443"/>
        <v>0</v>
      </c>
      <c r="AC511" s="16" t="str">
        <f t="shared" si="444"/>
        <v>F</v>
      </c>
      <c r="AD511" s="419" t="str">
        <f t="shared" si="444"/>
        <v>Tamworth</v>
      </c>
      <c r="AE511" s="419">
        <f>IF(ISNA(MATCH(AC511,N503:N512,0)),0,VLOOKUP(AC511,N503:S512,5,FALSE))</f>
        <v>0</v>
      </c>
      <c r="AF511" s="419" t="str">
        <f>IF(ISNA(MATCH(AC511,T503:T512,0))," ",VLOOKUP(AC511,T503:Y512,5,FALSE))</f>
        <v xml:space="preserve"> </v>
      </c>
      <c r="AG511" s="419">
        <f>IF(ISNA(MATCH(AC511,L505:L512,0)),0,VLOOKUP(AC511,L505:N512,3,FALSE))</f>
        <v>1.45</v>
      </c>
      <c r="AH511" s="419">
        <f>IF(ISNA(MATCH(AC511,R505:R512,0)),0,VLOOKUP(AC511,R505:T512,3,FALSE))</f>
        <v>1.4</v>
      </c>
      <c r="AI511" s="419" t="str">
        <f>IF(ISNA(MATCH(AC511,L505:L512,0)),0,VLOOKUP(AC511,L505:P512,4,FALSE))</f>
        <v>FF</v>
      </c>
      <c r="AJ511" s="419" t="str">
        <f>IF(ISNA(MATCH(AC511,R505:R512,0)),0,VLOOKUP(AC511,R505:U512,4,FALSE))</f>
        <v>F</v>
      </c>
      <c r="AK511" s="32">
        <f t="shared" si="445"/>
        <v>5</v>
      </c>
      <c r="AL511" s="32">
        <f t="shared" si="446"/>
        <v>3</v>
      </c>
      <c r="AM511" s="32">
        <f>IF(ISNA(MATCH(AC511,L505:L512,0)),0,VLOOKUP(AC511,L505:W512,AM$1,FALSE))</f>
        <v>4</v>
      </c>
      <c r="AN511" s="146">
        <f>IF(ISNA(MATCH(AC511,R505:R512,0)),0,VLOOKUP(AC511,R505:W512,AN$1,FALSE))</f>
        <v>6</v>
      </c>
      <c r="AP511" s="927"/>
      <c r="AQ511" s="927"/>
    </row>
    <row r="512" spans="1:47" ht="16.2" thickBot="1" x14ac:dyDescent="0.35">
      <c r="A512" s="418">
        <f t="shared" si="447"/>
        <v>458</v>
      </c>
      <c r="B512" s="365" t="str">
        <f>'Event Details'!D$29</f>
        <v>Y</v>
      </c>
      <c r="C512" s="366" t="str">
        <f>'Event Details'!E$29</f>
        <v>Worcester</v>
      </c>
      <c r="D512" s="361"/>
      <c r="E512" s="370"/>
      <c r="F512" s="367" t="str">
        <f>VLOOKUP($B504,IF($H504="F",TeamSheetFemale,TeamSheetMale),$Y512-1,FALSE)</f>
        <v>Y</v>
      </c>
      <c r="G512" s="368" t="str">
        <f>VLOOKUP($B504,IF($H504="F",TeamSheetFemale,TeamSheetMale),$Y512,FALSE)</f>
        <v>Tobias Collett</v>
      </c>
      <c r="H512" s="367" t="str">
        <f>VLOOKUP($B504,IF($H504="F",TeamSheetFemale,TeamSheetMale),$Y512+1,FALSE)</f>
        <v>YY</v>
      </c>
      <c r="I512" s="369" t="str">
        <f>VLOOKUP($B504,IF($H504="F",TeamSheetFemale,TeamSheetMale),$Y512+2,FALSE)</f>
        <v>Hayden Helme</v>
      </c>
      <c r="K512" s="346" t="s">
        <v>278</v>
      </c>
      <c r="L512" s="25" t="str">
        <f t="shared" si="440"/>
        <v/>
      </c>
      <c r="M512" s="932"/>
      <c r="N512" s="932"/>
      <c r="O512" s="374" t="str">
        <f>IF(LEN($M512)=1,VLOOKUP(LEFT($M512,1),B505:I512,5,FALSE),IF(LEN($M512)=2,VLOOKUP(LEFT($M512,1),B505:I512,7,FALSE),""))</f>
        <v/>
      </c>
      <c r="P512" s="411" t="str">
        <f>IF(LEN($M512)=1,VLOOKUP(LEFT($M512,1),B505:I512,6,FALSE),IF(LEN($M512)=2,VLOOKUP(LEFT($M512,1),B505:I512,8,FALSE),""))</f>
        <v/>
      </c>
      <c r="Q512" s="407" t="s">
        <v>278</v>
      </c>
      <c r="R512" s="523" t="str">
        <f t="shared" si="441"/>
        <v/>
      </c>
      <c r="S512" s="932"/>
      <c r="T512" s="932"/>
      <c r="U512" s="374" t="str">
        <f>IF(LEN($S512)=1,VLOOKUP(LEFT($S512,1),B505:I512,5,FALSE),IF(LEN($S512)=2,VLOOKUP(LEFT($S512,1),B505:I512,7,FALSE),""))</f>
        <v/>
      </c>
      <c r="V512" s="411" t="str">
        <f>IF(LEN($S512)=1,VLOOKUP(LEFT($S512,1),B505:I512,6,FALSE),IF(LEN($S512)=2,VLOOKUP(LEFT($S512,1),B505:I512,8,FALSE),""))</f>
        <v/>
      </c>
      <c r="W512" s="418">
        <f t="shared" si="448"/>
        <v>1</v>
      </c>
      <c r="Y512" s="25">
        <v>42</v>
      </c>
      <c r="Z512" s="25">
        <f t="shared" si="442"/>
        <v>0</v>
      </c>
      <c r="AA512" s="523">
        <f t="shared" si="443"/>
        <v>0</v>
      </c>
      <c r="AC512" s="25" t="str">
        <f t="shared" si="444"/>
        <v>Y</v>
      </c>
      <c r="AD512" s="624" t="str">
        <f t="shared" si="444"/>
        <v>Worcester</v>
      </c>
      <c r="AE512" s="624">
        <f>IF(ISNA(MATCH(AC512,N504:N513,0)),0,VLOOKUP(AC512,N504:S513,5,FALSE))</f>
        <v>0</v>
      </c>
      <c r="AF512" s="624" t="str">
        <f t="shared" ref="AF512" si="449">IF(ISNA(MATCH(AC512,T504:T513,0))," ",VLOOKUP(AC512,T504:Y513,5,FALSE))</f>
        <v xml:space="preserve"> </v>
      </c>
      <c r="AG512" s="624">
        <f>IF(ISNA(MATCH(AC512,L505:L512,0)),0,VLOOKUP(AC512,L505:N512,3,FALSE))</f>
        <v>1.5</v>
      </c>
      <c r="AH512" s="624">
        <f>IF(ISNA(MATCH(AC512,R505:R512,0)),0,VLOOKUP(AC512,R505:T512,3,FALSE))</f>
        <v>1.2</v>
      </c>
      <c r="AI512" s="624" t="str">
        <f>IF(ISNA(MATCH(AC512,L505:L512,0)),0,VLOOKUP(AC512,L505:P512,4,FALSE))</f>
        <v>YY</v>
      </c>
      <c r="AJ512" s="624" t="str">
        <f>IF(ISNA(MATCH(AC512,R505:R512,0)),0,VLOOKUP(AC512,R505:U512,4,FALSE))</f>
        <v>Y</v>
      </c>
      <c r="AK512" s="116">
        <f t="shared" si="445"/>
        <v>3</v>
      </c>
      <c r="AL512" s="116">
        <f t="shared" si="446"/>
        <v>5</v>
      </c>
      <c r="AM512" s="116">
        <f>IF(ISNA(MATCH(AC512,L505:L512,0)),0,VLOOKUP(AC512,L505:W512,AM$1,FALSE))</f>
        <v>6</v>
      </c>
      <c r="AN512" s="523">
        <f>IF(ISNA(MATCH(AC512,R505:R512,0)),0,VLOOKUP(AC512,R505:W512,AN$1,FALSE))</f>
        <v>4</v>
      </c>
      <c r="AP512" s="932"/>
      <c r="AQ512" s="932"/>
    </row>
    <row r="513" spans="1:47" ht="15" thickBot="1" x14ac:dyDescent="0.35">
      <c r="M513" s="276"/>
      <c r="N513" s="276"/>
      <c r="S513" s="276"/>
      <c r="T513" s="276"/>
      <c r="AP513" s="276"/>
      <c r="AQ513" s="276"/>
    </row>
    <row r="514" spans="1:47" x14ac:dyDescent="0.3">
      <c r="B514" s="400" t="s">
        <v>258</v>
      </c>
      <c r="C514" s="398"/>
      <c r="D514" s="401" t="s">
        <v>165</v>
      </c>
      <c r="E514" s="398"/>
      <c r="F514" s="398"/>
      <c r="G514" s="402" t="s">
        <v>259</v>
      </c>
      <c r="H514" s="403" t="s">
        <v>249</v>
      </c>
      <c r="I514" s="404" t="s">
        <v>168</v>
      </c>
      <c r="K514" s="360"/>
      <c r="L514" s="661"/>
      <c r="M514" s="387" t="s">
        <v>260</v>
      </c>
      <c r="N514" s="387" t="s">
        <v>261</v>
      </c>
      <c r="O514" s="387" t="s">
        <v>262</v>
      </c>
      <c r="P514" s="388" t="s">
        <v>75</v>
      </c>
      <c r="Q514" s="412"/>
      <c r="R514" s="657"/>
      <c r="S514" s="387" t="s">
        <v>260</v>
      </c>
      <c r="T514" s="387" t="s">
        <v>261</v>
      </c>
      <c r="U514" s="387" t="s">
        <v>262</v>
      </c>
      <c r="V514" s="388" t="s">
        <v>75</v>
      </c>
      <c r="W514" s="672" t="s">
        <v>76</v>
      </c>
      <c r="Y514" s="654" t="s">
        <v>263</v>
      </c>
      <c r="Z514" s="656" t="s">
        <v>74</v>
      </c>
      <c r="AA514" s="657" t="s">
        <v>75</v>
      </c>
      <c r="AC514" s="665" t="s">
        <v>71</v>
      </c>
      <c r="AD514" s="657" t="s">
        <v>86</v>
      </c>
      <c r="AE514" s="661" t="s">
        <v>149</v>
      </c>
      <c r="AF514" s="661" t="s">
        <v>94</v>
      </c>
      <c r="AG514" s="661" t="s">
        <v>149</v>
      </c>
      <c r="AH514" s="661" t="s">
        <v>94</v>
      </c>
      <c r="AI514" s="661" t="s">
        <v>149</v>
      </c>
      <c r="AJ514" s="661" t="s">
        <v>94</v>
      </c>
      <c r="AK514" s="1332" t="s">
        <v>149</v>
      </c>
      <c r="AL514" s="661" t="s">
        <v>94</v>
      </c>
      <c r="AM514" s="1406" t="s">
        <v>76</v>
      </c>
      <c r="AN514" s="1407"/>
      <c r="AP514" s="387" t="s">
        <v>260</v>
      </c>
      <c r="AQ514" s="387" t="s">
        <v>261</v>
      </c>
      <c r="AS514" s="1218" t="s">
        <v>165</v>
      </c>
      <c r="AT514" s="1219" t="s">
        <v>79</v>
      </c>
      <c r="AU514" s="1220" t="s">
        <v>80</v>
      </c>
    </row>
    <row r="515" spans="1:47" ht="15" thickBot="1" x14ac:dyDescent="0.35">
      <c r="B515" s="405">
        <v>46</v>
      </c>
      <c r="C515" s="399"/>
      <c r="D515" s="385" t="str">
        <f>VLOOKUP($B515,EventOrder,6,FALSE)</f>
        <v xml:space="preserve">100m (U18/U20) </v>
      </c>
      <c r="E515" s="399"/>
      <c r="F515" s="385"/>
      <c r="G515" s="386" t="str">
        <f>VLOOKUP($B515,EventOrder,4,FALSE)</f>
        <v>U18 Men</v>
      </c>
      <c r="H515" s="396" t="str">
        <f>IF(MID(G515,5,1)="F","F","M")</f>
        <v>M</v>
      </c>
      <c r="I515" s="397">
        <f>VLOOKUP($B515,EventOrder,2,FALSE)</f>
        <v>2.4500000000000002</v>
      </c>
      <c r="K515" s="372"/>
      <c r="L515" s="667" t="s">
        <v>149</v>
      </c>
      <c r="M515" s="409" t="s">
        <v>264</v>
      </c>
      <c r="N515" s="409" t="s">
        <v>265</v>
      </c>
      <c r="O515" s="409" t="s">
        <v>266</v>
      </c>
      <c r="P515" s="408"/>
      <c r="Q515" s="413"/>
      <c r="R515" s="659" t="s">
        <v>94</v>
      </c>
      <c r="S515" s="409" t="s">
        <v>264</v>
      </c>
      <c r="T515" s="409" t="s">
        <v>265</v>
      </c>
      <c r="U515" s="409" t="s">
        <v>266</v>
      </c>
      <c r="V515" s="408"/>
      <c r="W515" s="671"/>
      <c r="Y515" s="655" t="s">
        <v>167</v>
      </c>
      <c r="Z515" s="658" t="s">
        <v>149</v>
      </c>
      <c r="AA515" s="659" t="s">
        <v>94</v>
      </c>
      <c r="AC515" s="666"/>
      <c r="AD515" s="668"/>
      <c r="AE515" s="768" t="s">
        <v>75</v>
      </c>
      <c r="AF515" s="768" t="s">
        <v>75</v>
      </c>
      <c r="AG515" s="768" t="s">
        <v>267</v>
      </c>
      <c r="AH515" s="768" t="s">
        <v>267</v>
      </c>
      <c r="AI515" s="768" t="s">
        <v>268</v>
      </c>
      <c r="AJ515" s="768" t="s">
        <v>268</v>
      </c>
      <c r="AK515" s="770" t="s">
        <v>269</v>
      </c>
      <c r="AL515" s="768" t="s">
        <v>269</v>
      </c>
      <c r="AM515" s="667" t="s">
        <v>149</v>
      </c>
      <c r="AN515" s="659" t="s">
        <v>94</v>
      </c>
      <c r="AP515" s="409" t="s">
        <v>264</v>
      </c>
      <c r="AQ515" s="409" t="s">
        <v>265</v>
      </c>
      <c r="AS515" s="1221" t="s">
        <v>270</v>
      </c>
      <c r="AT515" s="1222" t="s">
        <v>270</v>
      </c>
      <c r="AU515" s="1223" t="s">
        <v>270</v>
      </c>
    </row>
    <row r="516" spans="1:47" ht="15.6" x14ac:dyDescent="0.3">
      <c r="A516" s="416">
        <f>(B515*10)+1</f>
        <v>461</v>
      </c>
      <c r="B516" s="362" t="str">
        <f>'Event Details'!D$22</f>
        <v>S</v>
      </c>
      <c r="C516" s="381" t="str">
        <f>'Event Details'!E$22</f>
        <v>BRAT</v>
      </c>
      <c r="D516" s="379"/>
      <c r="E516" s="378"/>
      <c r="F516" s="363" t="str">
        <f>VLOOKUP($B515,IF($H515="F",TeamSheetFemale,TeamSheetMale),$Y516-1,FALSE)</f>
        <v>S</v>
      </c>
      <c r="G516" s="380" t="str">
        <f>VLOOKUP($B515,IF($H515="F",TeamSheetFemale,TeamSheetMale),$Y516,FALSE)</f>
        <v>Miguel Daley</v>
      </c>
      <c r="H516" s="363" t="str">
        <f>VLOOKUP($B515,IF($H515="F",TeamSheetFemale,TeamSheetMale),$Y516+1,FALSE)</f>
        <v>SS</v>
      </c>
      <c r="I516" s="364" t="str">
        <f>VLOOKUP($B515,IF($H515="F",TeamSheetFemale,TeamSheetMale),$Y516+2,FALSE)</f>
        <v>Saleh Beshir</v>
      </c>
      <c r="K516" s="393" t="s">
        <v>271</v>
      </c>
      <c r="L516" s="16" t="str">
        <f t="shared" ref="L516:L523" si="450">LEFT(M516,1)</f>
        <v>M</v>
      </c>
      <c r="M516" s="926" t="s">
        <v>127</v>
      </c>
      <c r="N516" s="926">
        <v>11.2</v>
      </c>
      <c r="O516" s="394" t="str">
        <f>IF(LEN($M516)=1,VLOOKUP(LEFT($M516,1),B516:I523,5,FALSE),IF(LEN($M516)=2,VLOOKUP(LEFT($M516,1),B516:I523,7,FALSE),""))</f>
        <v>M</v>
      </c>
      <c r="P516" s="395" t="str">
        <f>IF(LEN($M516)=1,VLOOKUP(LEFT($M516,1),B516:I523,6,FALSE),IF(LEN($M516)=2,VLOOKUP(LEFT($M516,1),B516:I523,8,FALSE),""))</f>
        <v>Noah Latusek</v>
      </c>
      <c r="Q516" s="406" t="s">
        <v>271</v>
      </c>
      <c r="R516" s="146" t="str">
        <f t="shared" ref="R516:R523" si="451">LEFT(S516,1)</f>
        <v>M</v>
      </c>
      <c r="S516" s="926" t="s">
        <v>821</v>
      </c>
      <c r="T516" s="926">
        <v>11.7</v>
      </c>
      <c r="U516" s="394" t="str">
        <f>IF(LEN($S516)=1,VLOOKUP(LEFT($S516,1),B516:I523,5,FALSE),IF(LEN($S516)=2,VLOOKUP(LEFT($S516,1),B516:I523,7,FALSE),""))</f>
        <v>MM</v>
      </c>
      <c r="V516" s="395" t="str">
        <f>IF(LEN($S516)=1,VLOOKUP(LEFT($S516,1),B516:I523,6,FALSE),IF(LEN($S516)=2,VLOOKUP(LEFT($S516,1),B516:I523,8,FALSE),""))</f>
        <v>Ben Hilton</v>
      </c>
      <c r="W516" s="417">
        <f>AN$6</f>
        <v>8</v>
      </c>
      <c r="Y516" s="653">
        <v>7</v>
      </c>
      <c r="Z516" s="653" t="str">
        <f t="shared" ref="Z516:Z523" si="452">IF(LEN(M516)&gt;0,VLOOKUP(LEFT(M516,1),ShortName,5,FALSE),0)</f>
        <v>Sol</v>
      </c>
      <c r="AA516" s="138" t="str">
        <f t="shared" ref="AA516:AA523" si="453">IF(LEN(S516)&gt;0,VLOOKUP(LEFT(S516,1),ShortName,5,FALSE),0)</f>
        <v>Sol</v>
      </c>
      <c r="AC516" s="16" t="str">
        <f t="shared" ref="AC516:AC523" si="454">B516</f>
        <v>S</v>
      </c>
      <c r="AD516" s="419" t="str">
        <f t="shared" ref="AD516:AD523" si="455">C516</f>
        <v>BRAT</v>
      </c>
      <c r="AE516" s="635">
        <f>IF(ISNA(MATCH(AC516,N516:N525,0)),0,VLOOKUP(AC516,N516:S525,5,FALSE))</f>
        <v>0</v>
      </c>
      <c r="AF516" s="635" t="str">
        <f>IF(ISNA(MATCH(AC516,T516:T525,0))," ",VLOOKUP(AC516,T516:Y525,5,FALSE))</f>
        <v xml:space="preserve"> </v>
      </c>
      <c r="AG516" s="635">
        <f>IF(ISNA(MATCH(AC516,L516:L523,0)),0,VLOOKUP(AC516,L516:N523,3,FALSE))</f>
        <v>11.9</v>
      </c>
      <c r="AH516" s="635">
        <f>IF(ISNA(MATCH(AC516,R516:R523,0)),0,VLOOKUP(AC516,R516:T523,3,FALSE))</f>
        <v>12.7</v>
      </c>
      <c r="AI516" s="635" t="str">
        <f>IF(ISNA(MATCH(AC516,L516:L523,0)),0,VLOOKUP(AC516,L516:P523,4,FALSE))</f>
        <v>S</v>
      </c>
      <c r="AJ516" s="635" t="str">
        <f>IF(ISNA(MATCH(AC516,R516:R523,0)),0,VLOOKUP(AC516,R516:U523,4,FALSE))</f>
        <v>SS</v>
      </c>
      <c r="AK516" s="49">
        <f t="shared" ref="AK516:AK523" si="456">IF(AM516=0,0,AN$6-(AM516-1))</f>
        <v>3</v>
      </c>
      <c r="AL516" s="49">
        <f t="shared" ref="AL516:AL523" si="457">IF(AN516=0,0,AN$6-(AN516-1))</f>
        <v>3</v>
      </c>
      <c r="AM516" s="49">
        <f>IF(ISNA(MATCH(AC516,L516:L523,0)),0,VLOOKUP(AC516,L516:W523,AM$1,FALSE))</f>
        <v>6</v>
      </c>
      <c r="AN516" s="138">
        <f>IF(ISNA(MATCH(AC516,R516:R523,0)),0,VLOOKUP(AC516,R516:W523,AN$1,FALSE))</f>
        <v>6</v>
      </c>
      <c r="AP516" s="926"/>
      <c r="AQ516" s="926"/>
      <c r="AS516" s="32">
        <f>IF(LEN(N516)&gt;0,1,0)</f>
        <v>1</v>
      </c>
      <c r="AT516" s="32">
        <f>IF(AND(AS516=1,H515="M"),1,0)</f>
        <v>1</v>
      </c>
      <c r="AU516" s="32">
        <f>IF(AND(AS516=1,H515="F"),1,0)</f>
        <v>0</v>
      </c>
    </row>
    <row r="517" spans="1:47" ht="15.6" x14ac:dyDescent="0.3">
      <c r="A517" s="417">
        <f>A516+1</f>
        <v>462</v>
      </c>
      <c r="B517" s="362" t="str">
        <f>'Event Details'!D$23</f>
        <v>U</v>
      </c>
      <c r="C517" s="381" t="str">
        <f>'Event Details'!E$23</f>
        <v>Kidder &amp; Stourport</v>
      </c>
      <c r="D517" s="379"/>
      <c r="E517" s="378"/>
      <c r="F517" s="363">
        <f>VLOOKUP($B515,IF($H515="F",TeamSheetFemale,TeamSheetMale),$Y517-1,FALSE)</f>
        <v>0</v>
      </c>
      <c r="G517" s="380">
        <f>VLOOKUP($B515,IF($H515="F",TeamSheetFemale,TeamSheetMale),$Y517,FALSE)</f>
        <v>0</v>
      </c>
      <c r="H517" s="363">
        <f>VLOOKUP($B515,IF($H515="F",TeamSheetFemale,TeamSheetMale),$Y517+1,FALSE)</f>
        <v>0</v>
      </c>
      <c r="I517" s="364">
        <f>VLOOKUP($B515,IF($H515="F",TeamSheetFemale,TeamSheetMale),$Y517+2,FALSE)</f>
        <v>0</v>
      </c>
      <c r="K517" s="341" t="s">
        <v>272</v>
      </c>
      <c r="L517" s="16" t="str">
        <f t="shared" si="450"/>
        <v>G</v>
      </c>
      <c r="M517" s="927" t="s">
        <v>110</v>
      </c>
      <c r="N517" s="927">
        <v>11.9</v>
      </c>
      <c r="O517" s="354" t="str">
        <f>IF(LEN($M517)=1,VLOOKUP(LEFT($M517,1),B516:I523,5,FALSE),IF(LEN($M517)=2,VLOOKUP(LEFT($M517,1),B516:I523,7,FALSE),""))</f>
        <v>G</v>
      </c>
      <c r="P517" s="410" t="str">
        <f>IF(LEN($M517)=1,VLOOKUP(LEFT($M517,1),B516:I523,6,FALSE),IF(LEN($M517)=2,VLOOKUP(LEFT($M517,1),B516:I523,8,FALSE),""))</f>
        <v>K'Shein Radcliffe</v>
      </c>
      <c r="Q517" s="371" t="s">
        <v>272</v>
      </c>
      <c r="R517" s="146" t="str">
        <f t="shared" si="451"/>
        <v>G</v>
      </c>
      <c r="S517" s="927" t="s">
        <v>820</v>
      </c>
      <c r="T517" s="927">
        <v>12.3</v>
      </c>
      <c r="U517" s="354" t="str">
        <f>IF(LEN($S517)=1,VLOOKUP(LEFT($S517,1),B516:I523,5,FALSE),IF(LEN($S517)=2,VLOOKUP(LEFT($S517,1),B516:I523,7,FALSE),""))</f>
        <v>GG</v>
      </c>
      <c r="V517" s="410" t="str">
        <f>IF(LEN($S517)=1,VLOOKUP(LEFT($S517,1),B516:I523,6,FALSE),IF(LEN($S517)=2,VLOOKUP(LEFT($S517,1),B516:I523,8,FALSE),""))</f>
        <v>Jamie Millichamp</v>
      </c>
      <c r="W517" s="417">
        <f>W516-1</f>
        <v>7</v>
      </c>
      <c r="Y517" s="16">
        <v>12</v>
      </c>
      <c r="Z517" s="16" t="str">
        <f t="shared" si="452"/>
        <v>Royal</v>
      </c>
      <c r="AA517" s="146" t="str">
        <f t="shared" si="453"/>
        <v>Royal</v>
      </c>
      <c r="AC517" s="16" t="str">
        <f t="shared" si="454"/>
        <v>U</v>
      </c>
      <c r="AD517" s="419" t="str">
        <f t="shared" si="455"/>
        <v>Kidder &amp; Stourport</v>
      </c>
      <c r="AE517" s="419">
        <f>IF(ISNA(MATCH(AC517,N516:N525,0)),0,VLOOKUP(AC517,N516:S525,5,FALSE))</f>
        <v>0</v>
      </c>
      <c r="AF517" s="419" t="str">
        <f>IF(ISNA(MATCH(AC517,T516:T525,0))," ",VLOOKUP(AC517,T516:Y525,5,FALSE))</f>
        <v xml:space="preserve"> </v>
      </c>
      <c r="AG517" s="419">
        <f>IF(ISNA(MATCH(AC517,L516:L523,0)),0,VLOOKUP(AC517,L516:N523,3,FALSE))</f>
        <v>0</v>
      </c>
      <c r="AH517" s="419">
        <f>IF(ISNA(MATCH(AC517,R516:R523,0)),0,VLOOKUP(AC517,R516:T523,3,FALSE))</f>
        <v>0</v>
      </c>
      <c r="AI517" s="419">
        <f>IF(ISNA(MATCH(AC517,L516:L523,0)),0,VLOOKUP(AC517,L516:P523,4,FALSE))</f>
        <v>0</v>
      </c>
      <c r="AJ517" s="419">
        <f>IF(ISNA(MATCH(AC517,R516:R523,0)),0,VLOOKUP(AC517,R516:U523,4,FALSE))</f>
        <v>0</v>
      </c>
      <c r="AK517" s="32">
        <f t="shared" si="456"/>
        <v>0</v>
      </c>
      <c r="AL517" s="32">
        <f t="shared" si="457"/>
        <v>0</v>
      </c>
      <c r="AM517" s="32">
        <f>IF(ISNA(MATCH(AC517,L516:L523,0)),0,VLOOKUP(AC517,L516:W523,AM$1,FALSE))</f>
        <v>0</v>
      </c>
      <c r="AN517" s="146">
        <f>IF(ISNA(MATCH(AC517,R516:R523,0)),0,VLOOKUP(AC517,R516:W523,AN$1,FALSE))</f>
        <v>0</v>
      </c>
      <c r="AP517" s="927"/>
      <c r="AQ517" s="927"/>
    </row>
    <row r="518" spans="1:47" ht="15.6" x14ac:dyDescent="0.3">
      <c r="A518" s="417">
        <f t="shared" ref="A518:A523" si="458">A517+1</f>
        <v>463</v>
      </c>
      <c r="B518" s="362" t="str">
        <f>'Event Details'!D$24</f>
        <v>G</v>
      </c>
      <c r="C518" s="381" t="str">
        <f>'Event Details'!E$24</f>
        <v>Royal Sutton</v>
      </c>
      <c r="D518" s="379"/>
      <c r="E518" s="378"/>
      <c r="F518" s="363" t="str">
        <f>VLOOKUP($B515,IF($H515="F",TeamSheetFemale,TeamSheetMale),$Y518-1,FALSE)</f>
        <v>G</v>
      </c>
      <c r="G518" s="380" t="str">
        <f>VLOOKUP($B515,IF($H515="F",TeamSheetFemale,TeamSheetMale),$Y518,FALSE)</f>
        <v>K'Shein Radcliffe</v>
      </c>
      <c r="H518" s="363" t="str">
        <f>VLOOKUP($B515,IF($H515="F",TeamSheetFemale,TeamSheetMale),$Y518+1,FALSE)</f>
        <v>GG</v>
      </c>
      <c r="I518" s="364" t="str">
        <f>VLOOKUP($B515,IF($H515="F",TeamSheetFemale,TeamSheetMale),$Y518+2,FALSE)</f>
        <v>Jamie Millichamp</v>
      </c>
      <c r="K518" s="341" t="s">
        <v>273</v>
      </c>
      <c r="L518" s="16" t="str">
        <f t="shared" si="450"/>
        <v>S</v>
      </c>
      <c r="M518" s="927" t="s">
        <v>100</v>
      </c>
      <c r="N518" s="927">
        <v>11.9</v>
      </c>
      <c r="O518" s="354" t="str">
        <f>IF(LEN($M518)=1,VLOOKUP(LEFT($M518,1),B516:I523,5,FALSE),IF(LEN($M518)=2,VLOOKUP(LEFT($M518,1),B516:I523,7,FALSE),""))</f>
        <v>S</v>
      </c>
      <c r="P518" s="410" t="str">
        <f>IF(LEN($M518)=1,VLOOKUP(LEFT($M518,1),B516:I523,6,FALSE),IF(LEN($M518)=2,VLOOKUP(LEFT($M518,1),B516:I523,8,FALSE),""))</f>
        <v>Miguel Daley</v>
      </c>
      <c r="Q518" s="371" t="s">
        <v>273</v>
      </c>
      <c r="R518" s="146" t="str">
        <f t="shared" si="451"/>
        <v>S</v>
      </c>
      <c r="S518" s="927" t="s">
        <v>818</v>
      </c>
      <c r="T518" s="927">
        <v>12.7</v>
      </c>
      <c r="U518" s="354" t="str">
        <f>IF(LEN($S518)=1,VLOOKUP(LEFT($S518,1),B516:I523,5,FALSE),IF(LEN($S518)=2,VLOOKUP(LEFT($S518,1),B516:I523,7,FALSE),""))</f>
        <v>SS</v>
      </c>
      <c r="V518" s="410" t="str">
        <f>IF(LEN($S518)=1,VLOOKUP(LEFT($S518,1),B516:I523,6,FALSE),IF(LEN($S518)=2,VLOOKUP(LEFT($S518,1),B516:I523,8,FALSE),""))</f>
        <v>Saleh Beshir</v>
      </c>
      <c r="W518" s="417">
        <f t="shared" ref="W518:W523" si="459">W517-1</f>
        <v>6</v>
      </c>
      <c r="Y518" s="16">
        <v>17</v>
      </c>
      <c r="Z518" s="16" t="str">
        <f t="shared" si="452"/>
        <v>BRAT</v>
      </c>
      <c r="AA518" s="146" t="str">
        <f t="shared" si="453"/>
        <v>BRAT</v>
      </c>
      <c r="AC518" s="16" t="str">
        <f t="shared" si="454"/>
        <v>G</v>
      </c>
      <c r="AD518" s="419" t="str">
        <f t="shared" si="455"/>
        <v>Royal Sutton</v>
      </c>
      <c r="AE518" s="419">
        <f>IF(ISNA(MATCH(AC518,N516:N525,0)),0,VLOOKUP(AC518,N516:S525,5,FALSE))</f>
        <v>0</v>
      </c>
      <c r="AF518" s="419" t="str">
        <f>IF(ISNA(MATCH(AC518,T516:T525,0))," ",VLOOKUP(AC518,T516:Y525,5,FALSE))</f>
        <v xml:space="preserve"> </v>
      </c>
      <c r="AG518" s="419">
        <f>IF(ISNA(MATCH(AC518,L516:L523,0)),0,VLOOKUP(AC518,L516:N523,3,FALSE))</f>
        <v>11.9</v>
      </c>
      <c r="AH518" s="419">
        <f>IF(ISNA(MATCH(AC518,R516:R523,0)),0,VLOOKUP(AC518,R516:T523,3,FALSE))</f>
        <v>12.3</v>
      </c>
      <c r="AI518" s="419" t="str">
        <f>IF(ISNA(MATCH(AC518,L516:L523,0)),0,VLOOKUP(AC518,L516:P523,4,FALSE))</f>
        <v>G</v>
      </c>
      <c r="AJ518" s="419" t="str">
        <f>IF(ISNA(MATCH(AC518,R516:R523,0)),0,VLOOKUP(AC518,R516:U523,4,FALSE))</f>
        <v>GG</v>
      </c>
      <c r="AK518" s="32">
        <f t="shared" si="456"/>
        <v>2</v>
      </c>
      <c r="AL518" s="32">
        <f t="shared" si="457"/>
        <v>2</v>
      </c>
      <c r="AM518" s="32">
        <f>IF(ISNA(MATCH(AC518,L516:L523,0)),0,VLOOKUP(AC518,L516:W523,AM$1,FALSE))</f>
        <v>7</v>
      </c>
      <c r="AN518" s="146">
        <f>IF(ISNA(MATCH(AC518,R516:R523,0)),0,VLOOKUP(AC518,R516:W523,AN$1,FALSE))</f>
        <v>7</v>
      </c>
      <c r="AP518" s="927"/>
      <c r="AQ518" s="927"/>
    </row>
    <row r="519" spans="1:47" ht="15.6" x14ac:dyDescent="0.3">
      <c r="A519" s="417">
        <f t="shared" si="458"/>
        <v>464</v>
      </c>
      <c r="B519" s="362" t="str">
        <f>'Event Details'!D$25</f>
        <v>R</v>
      </c>
      <c r="C519" s="381" t="str">
        <f>'Event Details'!E$25</f>
        <v>Rugby &amp; N'hampton</v>
      </c>
      <c r="D519" s="379"/>
      <c r="E519" s="378"/>
      <c r="F519" s="363" t="str">
        <f>VLOOKUP($B515,IF($H515="F",TeamSheetFemale,TeamSheetMale),$Y519-1,FALSE)</f>
        <v>R</v>
      </c>
      <c r="G519" s="380" t="str">
        <f>VLOOKUP($B515,IF($H515="F",TeamSheetFemale,TeamSheetMale),$Y519,FALSE)</f>
        <v>Georgios Ammari</v>
      </c>
      <c r="H519" s="363" t="str">
        <f>VLOOKUP($B515,IF($H515="F",TeamSheetFemale,TeamSheetMale),$Y519+1,FALSE)</f>
        <v>RR</v>
      </c>
      <c r="I519" s="364" t="str">
        <f>VLOOKUP($B515,IF($H515="F",TeamSheetFemale,TeamSheetMale),$Y519+2,FALSE)</f>
        <v>Ricardo Campos</v>
      </c>
      <c r="K519" s="341" t="s">
        <v>274</v>
      </c>
      <c r="L519" s="16" t="str">
        <f t="shared" si="450"/>
        <v>R</v>
      </c>
      <c r="M519" s="927" t="s">
        <v>118</v>
      </c>
      <c r="N519" s="927">
        <v>12.1</v>
      </c>
      <c r="O519" s="354" t="str">
        <f>IF(LEN($M519)=1,VLOOKUP(LEFT($M519,1),B516:I523,5,FALSE),IF(LEN($M519)=2,VLOOKUP(LEFT($M519,1),B516:I523,7,FALSE),""))</f>
        <v>R</v>
      </c>
      <c r="P519" s="410" t="str">
        <f>IF(LEN($M519)=1,VLOOKUP(LEFT($M519,1),B516:I523,6,FALSE),IF(LEN($M519)=2,VLOOKUP(LEFT($M519,1),B516:I523,8,FALSE),""))</f>
        <v>Georgios Ammari</v>
      </c>
      <c r="Q519" s="371" t="s">
        <v>274</v>
      </c>
      <c r="R519" s="146" t="str">
        <f t="shared" si="451"/>
        <v>R</v>
      </c>
      <c r="S519" s="927" t="s">
        <v>819</v>
      </c>
      <c r="T519" s="927">
        <v>12.7</v>
      </c>
      <c r="U519" s="354" t="str">
        <f>IF(LEN($S519)=1,VLOOKUP(LEFT($S519,1),B516:I523,5,FALSE),IF(LEN($S519)=2,VLOOKUP(LEFT($S519,1),B516:I523,7,FALSE),""))</f>
        <v>RR</v>
      </c>
      <c r="V519" s="410" t="str">
        <f>IF(LEN($S519)=1,VLOOKUP(LEFT($S519,1),B516:I523,6,FALSE),IF(LEN($S519)=2,VLOOKUP(LEFT($S519,1),B516:I523,8,FALSE),""))</f>
        <v>Ricardo Campos</v>
      </c>
      <c r="W519" s="417">
        <f t="shared" si="459"/>
        <v>5</v>
      </c>
      <c r="Y519" s="16">
        <v>22</v>
      </c>
      <c r="Z519" s="16" t="str">
        <f t="shared" si="452"/>
        <v>Rugby</v>
      </c>
      <c r="AA519" s="146" t="str">
        <f t="shared" si="453"/>
        <v>Rugby</v>
      </c>
      <c r="AC519" s="16" t="str">
        <f t="shared" si="454"/>
        <v>R</v>
      </c>
      <c r="AD519" s="419" t="str">
        <f t="shared" si="455"/>
        <v>Rugby &amp; N'hampton</v>
      </c>
      <c r="AE519" s="419">
        <f>IF(ISNA(MATCH(AC519,N516:N525,0)),0,VLOOKUP(AC519,N516:S525,5,FALSE))</f>
        <v>0</v>
      </c>
      <c r="AF519" s="419" t="str">
        <f>IF(ISNA(MATCH(AC519,T516:T525,0))," ",VLOOKUP(AC519,T516:Y525,5,FALSE))</f>
        <v xml:space="preserve"> </v>
      </c>
      <c r="AG519" s="419">
        <f>IF(ISNA(MATCH(AC519,L516:L523,0)),0,VLOOKUP(AC519,L516:N523,3,FALSE))</f>
        <v>12.1</v>
      </c>
      <c r="AH519" s="419">
        <f>IF(ISNA(MATCH(AC519,R516:R523,0)),0,VLOOKUP(AC519,R516:T523,3,FALSE))</f>
        <v>12.7</v>
      </c>
      <c r="AI519" s="419" t="str">
        <f>IF(ISNA(MATCH(AC519,L516:L523,0)),0,VLOOKUP(AC519,L516:P523,4,FALSE))</f>
        <v>R</v>
      </c>
      <c r="AJ519" s="419" t="str">
        <f>IF(ISNA(MATCH(AC519,R516:R523,0)),0,VLOOKUP(AC519,R516:U523,4,FALSE))</f>
        <v>RR</v>
      </c>
      <c r="AK519" s="32">
        <f t="shared" si="456"/>
        <v>4</v>
      </c>
      <c r="AL519" s="32">
        <f t="shared" si="457"/>
        <v>4</v>
      </c>
      <c r="AM519" s="32">
        <f>IF(ISNA(MATCH(AC519,L516:L523,0)),0,VLOOKUP(AC519,L516:W523,AM$1,FALSE))</f>
        <v>5</v>
      </c>
      <c r="AN519" s="146">
        <f>IF(ISNA(MATCH(AC519,R516:R523,0)),0,VLOOKUP(AC519,R516:W523,AN$1,FALSE))</f>
        <v>5</v>
      </c>
      <c r="AP519" s="927"/>
      <c r="AQ519" s="927"/>
    </row>
    <row r="520" spans="1:47" ht="15.6" x14ac:dyDescent="0.3">
      <c r="A520" s="417">
        <f t="shared" si="458"/>
        <v>465</v>
      </c>
      <c r="B520" s="362" t="str">
        <f>'Event Details'!D$26</f>
        <v>M</v>
      </c>
      <c r="C520" s="381" t="str">
        <f>'Event Details'!E$26</f>
        <v>Solihull &amp; S.Heath</v>
      </c>
      <c r="D520" s="379"/>
      <c r="E520" s="378"/>
      <c r="F520" s="363" t="str">
        <f>VLOOKUP($B515,IF($H515="F",TeamSheetFemale,TeamSheetMale),$Y520-1,FALSE)</f>
        <v>M</v>
      </c>
      <c r="G520" s="380" t="str">
        <f>VLOOKUP($B515,IF($H515="F",TeamSheetFemale,TeamSheetMale),$Y520,FALSE)</f>
        <v>Noah Latusek</v>
      </c>
      <c r="H520" s="363" t="str">
        <f>VLOOKUP($B515,IF($H515="F",TeamSheetFemale,TeamSheetMale),$Y520+1,FALSE)</f>
        <v>MM</v>
      </c>
      <c r="I520" s="364" t="str">
        <f>VLOOKUP($B515,IF($H515="F",TeamSheetFemale,TeamSheetMale),$Y520+2,FALSE)</f>
        <v>Ben Hilton</v>
      </c>
      <c r="K520" s="341" t="s">
        <v>275</v>
      </c>
      <c r="L520" s="16" t="str">
        <f t="shared" si="450"/>
        <v>D</v>
      </c>
      <c r="M520" s="927" t="s">
        <v>136</v>
      </c>
      <c r="N520" s="927">
        <v>12.2</v>
      </c>
      <c r="O520" s="354" t="str">
        <f>IF(LEN($M520)=1,VLOOKUP(LEFT($M520,1),B516:I523,5,FALSE),IF(LEN($M520)=2,VLOOKUP(LEFT($M520,1),B516:I523,7,FALSE),""))</f>
        <v>D</v>
      </c>
      <c r="P520" s="410" t="str">
        <f>IF(LEN($M520)=1,VLOOKUP(LEFT($M520,1),B516:I523,6,FALSE),IF(LEN($M520)=2,VLOOKUP(LEFT($M520,1),B516:I523,8,FALSE),""))</f>
        <v>George Wright</v>
      </c>
      <c r="Q520" s="371" t="s">
        <v>275</v>
      </c>
      <c r="R520" s="146" t="str">
        <f t="shared" si="451"/>
        <v/>
      </c>
      <c r="S520" s="927"/>
      <c r="T520" s="927"/>
      <c r="U520" s="354" t="str">
        <f>IF(LEN($S520)=1,VLOOKUP(LEFT($S520,1),B516:I523,5,FALSE),IF(LEN($S520)=2,VLOOKUP(LEFT($S520,1),B516:I523,7,FALSE),""))</f>
        <v/>
      </c>
      <c r="V520" s="410" t="str">
        <f>IF(LEN($S520)=1,VLOOKUP(LEFT($S520,1),B516:I523,6,FALSE),IF(LEN($S520)=2,VLOOKUP(LEFT($S520,1),B516:I523,8,FALSE),""))</f>
        <v/>
      </c>
      <c r="W520" s="417">
        <f t="shared" si="459"/>
        <v>4</v>
      </c>
      <c r="Y520" s="16">
        <v>27</v>
      </c>
      <c r="Z520" s="16" t="str">
        <f t="shared" si="452"/>
        <v>Strat</v>
      </c>
      <c r="AA520" s="146">
        <f t="shared" si="453"/>
        <v>0</v>
      </c>
      <c r="AC520" s="16" t="str">
        <f t="shared" si="454"/>
        <v>M</v>
      </c>
      <c r="AD520" s="419" t="str">
        <f t="shared" si="455"/>
        <v>Solihull &amp; S.Heath</v>
      </c>
      <c r="AE520" s="419">
        <f>IF(ISNA(MATCH(AC520,N516:N525,0)),0,VLOOKUP(AC520,N516:S525,5,FALSE))</f>
        <v>0</v>
      </c>
      <c r="AF520" s="419" t="str">
        <f>IF(ISNA(MATCH(AC520,T516:T525,0))," ",VLOOKUP(AC520,T516:Y525,5,FALSE))</f>
        <v xml:space="preserve"> </v>
      </c>
      <c r="AG520" s="419">
        <f>IF(ISNA(MATCH(AC520,L516:L523,0)),0,VLOOKUP(AC520,L516:N523,3,FALSE))</f>
        <v>11.2</v>
      </c>
      <c r="AH520" s="419">
        <f>IF(ISNA(MATCH(AC520,R516:R523,0)),0,VLOOKUP(AC520,R516:T523,3,FALSE))</f>
        <v>11.7</v>
      </c>
      <c r="AI520" s="419" t="str">
        <f>IF(ISNA(MATCH(AC520,L516:L523,0)),0,VLOOKUP(AC520,L516:P523,4,FALSE))</f>
        <v>M</v>
      </c>
      <c r="AJ520" s="419" t="str">
        <f>IF(ISNA(MATCH(AC520,R516:R523,0)),0,VLOOKUP(AC520,R516:U523,4,FALSE))</f>
        <v>MM</v>
      </c>
      <c r="AK520" s="32">
        <f t="shared" si="456"/>
        <v>1</v>
      </c>
      <c r="AL520" s="32">
        <f t="shared" si="457"/>
        <v>1</v>
      </c>
      <c r="AM520" s="32">
        <f>IF(ISNA(MATCH(AC520,L516:L523,0)),0,VLOOKUP(AC520,L516:W523,AM$1,FALSE))</f>
        <v>8</v>
      </c>
      <c r="AN520" s="146">
        <f>IF(ISNA(MATCH(AC520,R516:R523,0)),0,VLOOKUP(AC520,R516:W523,AN$1,FALSE))</f>
        <v>8</v>
      </c>
      <c r="AP520" s="927"/>
      <c r="AQ520" s="927"/>
    </row>
    <row r="521" spans="1:47" ht="15.6" x14ac:dyDescent="0.3">
      <c r="A521" s="417">
        <f t="shared" si="458"/>
        <v>466</v>
      </c>
      <c r="B521" s="362" t="str">
        <f>'Event Details'!D$27</f>
        <v>D</v>
      </c>
      <c r="C521" s="381" t="str">
        <f>'Event Details'!E$27</f>
        <v>Stratford</v>
      </c>
      <c r="D521" s="379"/>
      <c r="E521" s="378"/>
      <c r="F521" s="363" t="str">
        <f>VLOOKUP($B515,IF($H515="F",TeamSheetFemale,TeamSheetMale),$Y521-1,FALSE)</f>
        <v>D</v>
      </c>
      <c r="G521" s="380" t="str">
        <f>VLOOKUP($B515,IF($H515="F",TeamSheetFemale,TeamSheetMale),$Y521,FALSE)</f>
        <v>George Wright</v>
      </c>
      <c r="H521" s="363">
        <f>VLOOKUP($B515,IF($H515="F",TeamSheetFemale,TeamSheetMale),$Y521+1,FALSE)</f>
        <v>0</v>
      </c>
      <c r="I521" s="364">
        <f>VLOOKUP($B515,IF($H515="F",TeamSheetFemale,TeamSheetMale),$Y521+2,FALSE)</f>
        <v>0</v>
      </c>
      <c r="K521" s="341" t="s">
        <v>276</v>
      </c>
      <c r="L521" s="16" t="str">
        <f t="shared" si="450"/>
        <v/>
      </c>
      <c r="M521" s="927"/>
      <c r="N521" s="927"/>
      <c r="O521" s="354" t="str">
        <f>IF(LEN($M521)=1,VLOOKUP(LEFT($M521,1),B516:I523,5,FALSE),IF(LEN($M521)=2,VLOOKUP(LEFT($M521,1),B516:I523,7,FALSE),""))</f>
        <v/>
      </c>
      <c r="P521" s="410" t="str">
        <f>IF(LEN($M521)=1,VLOOKUP(LEFT($M521,1),B516:I523,6,FALSE),IF(LEN($M521)=2,VLOOKUP(LEFT($M521,1),B516:I523,8,FALSE),""))</f>
        <v/>
      </c>
      <c r="Q521" s="371" t="s">
        <v>276</v>
      </c>
      <c r="R521" s="146" t="str">
        <f t="shared" si="451"/>
        <v/>
      </c>
      <c r="S521" s="927"/>
      <c r="T521" s="927"/>
      <c r="U521" s="354" t="str">
        <f>IF(LEN($S521)=1,VLOOKUP(LEFT($S521,1),B516:I523,5,FALSE),IF(LEN($S521)=2,VLOOKUP(LEFT($S521,1),B516:I523,7,FALSE),""))</f>
        <v/>
      </c>
      <c r="V521" s="410" t="str">
        <f>IF(LEN($S521)=1,VLOOKUP(LEFT($S521,1),B516:I523,6,FALSE),IF(LEN($S521)=2,VLOOKUP(LEFT($S521,1),B516:I523,8,FALSE),""))</f>
        <v/>
      </c>
      <c r="W521" s="417">
        <f t="shared" si="459"/>
        <v>3</v>
      </c>
      <c r="Y521" s="16">
        <v>32</v>
      </c>
      <c r="Z521" s="16">
        <f t="shared" si="452"/>
        <v>0</v>
      </c>
      <c r="AA521" s="146">
        <f t="shared" si="453"/>
        <v>0</v>
      </c>
      <c r="AC521" s="16" t="str">
        <f t="shared" si="454"/>
        <v>D</v>
      </c>
      <c r="AD521" s="419" t="str">
        <f t="shared" si="455"/>
        <v>Stratford</v>
      </c>
      <c r="AE521" s="419">
        <f>IF(ISNA(MATCH(AC521,N516:N525,0)),0,VLOOKUP(AC521,N516:S525,5,FALSE))</f>
        <v>0</v>
      </c>
      <c r="AF521" s="419" t="str">
        <f>IF(ISNA(MATCH(AC521,T516:T525,0))," ",VLOOKUP(AC521,T516:Y525,5,FALSE))</f>
        <v xml:space="preserve"> </v>
      </c>
      <c r="AG521" s="419">
        <f>IF(ISNA(MATCH(AC521,L516:L523,0)),0,VLOOKUP(AC521,L516:N523,3,FALSE))</f>
        <v>12.2</v>
      </c>
      <c r="AH521" s="419">
        <f>IF(ISNA(MATCH(AC521,R516:R523,0)),0,VLOOKUP(AC521,R516:T523,3,FALSE))</f>
        <v>0</v>
      </c>
      <c r="AI521" s="419" t="str">
        <f>IF(ISNA(MATCH(AC521,L516:L523,0)),0,VLOOKUP(AC521,L516:P523,4,FALSE))</f>
        <v>D</v>
      </c>
      <c r="AJ521" s="419">
        <f>IF(ISNA(MATCH(AC521,R516:R523,0)),0,VLOOKUP(AC521,R516:U523,4,FALSE))</f>
        <v>0</v>
      </c>
      <c r="AK521" s="32">
        <f t="shared" si="456"/>
        <v>5</v>
      </c>
      <c r="AL521" s="32">
        <f t="shared" si="457"/>
        <v>0</v>
      </c>
      <c r="AM521" s="32">
        <f>IF(ISNA(MATCH(AC521,L516:L523,0)),0,VLOOKUP(AC521,L516:W523,AM$1,FALSE))</f>
        <v>4</v>
      </c>
      <c r="AN521" s="146">
        <f>IF(ISNA(MATCH(AC521,R516:R523,0)),0,VLOOKUP(AC521,R516:W523,AN$1,FALSE))</f>
        <v>0</v>
      </c>
      <c r="AP521" s="927"/>
      <c r="AQ521" s="927"/>
    </row>
    <row r="522" spans="1:47" ht="15.6" x14ac:dyDescent="0.3">
      <c r="A522" s="417">
        <f t="shared" si="458"/>
        <v>467</v>
      </c>
      <c r="B522" s="362" t="str">
        <f>'Event Details'!D$28</f>
        <v>F</v>
      </c>
      <c r="C522" s="381" t="str">
        <f>'Event Details'!E$28</f>
        <v>Tamworth</v>
      </c>
      <c r="D522" s="379"/>
      <c r="E522" s="378"/>
      <c r="F522" s="363">
        <f>VLOOKUP($B515,IF($H515="F",TeamSheetFemale,TeamSheetMale),$Y522-1,FALSE)</f>
        <v>0</v>
      </c>
      <c r="G522" s="380">
        <f>VLOOKUP($B515,IF($H515="F",TeamSheetFemale,TeamSheetMale),$Y522,FALSE)</f>
        <v>0</v>
      </c>
      <c r="H522" s="363">
        <f>VLOOKUP($B515,IF($H515="F",TeamSheetFemale,TeamSheetMale),$Y522+1,FALSE)</f>
        <v>0</v>
      </c>
      <c r="I522" s="364">
        <f>VLOOKUP($B515,IF($H515="F",TeamSheetFemale,TeamSheetMale),$Y522+2,FALSE)</f>
        <v>0</v>
      </c>
      <c r="K522" s="341" t="s">
        <v>277</v>
      </c>
      <c r="L522" s="16" t="str">
        <f t="shared" si="450"/>
        <v/>
      </c>
      <c r="M522" s="927"/>
      <c r="N522" s="927"/>
      <c r="O522" s="354" t="str">
        <f>IF(LEN($M522)=1,VLOOKUP(LEFT($M522,1),B516:I523,5,FALSE),IF(LEN($M522)=2,VLOOKUP(LEFT($M522,1),B516:I523,7,FALSE),""))</f>
        <v/>
      </c>
      <c r="P522" s="410" t="str">
        <f>IF(LEN($M522)=1,VLOOKUP(LEFT($M522,1),B516:I523,6,FALSE),IF(LEN($M522)=2,VLOOKUP(LEFT($M522,1),B516:I523,8,FALSE),""))</f>
        <v/>
      </c>
      <c r="Q522" s="371" t="s">
        <v>277</v>
      </c>
      <c r="R522" s="146" t="str">
        <f t="shared" si="451"/>
        <v/>
      </c>
      <c r="S522" s="927"/>
      <c r="T522" s="927"/>
      <c r="U522" s="354" t="str">
        <f>IF(LEN($S522)=1,VLOOKUP(LEFT($S522,1),B516:I523,5,FALSE),IF(LEN($S522)=2,VLOOKUP(LEFT($S522,1),B516:I523,7,FALSE),""))</f>
        <v/>
      </c>
      <c r="V522" s="410" t="str">
        <f>IF(LEN($S522)=1,VLOOKUP(LEFT($S522,1),B516:I523,6,FALSE),IF(LEN($S522)=2,VLOOKUP(LEFT($S522,1),B516:I523,8,FALSE),""))</f>
        <v/>
      </c>
      <c r="W522" s="417">
        <f t="shared" si="459"/>
        <v>2</v>
      </c>
      <c r="Y522" s="16">
        <v>37</v>
      </c>
      <c r="Z522" s="16">
        <f t="shared" si="452"/>
        <v>0</v>
      </c>
      <c r="AA522" s="146">
        <f t="shared" si="453"/>
        <v>0</v>
      </c>
      <c r="AC522" s="16" t="str">
        <f t="shared" si="454"/>
        <v>F</v>
      </c>
      <c r="AD522" s="419" t="str">
        <f t="shared" si="455"/>
        <v>Tamworth</v>
      </c>
      <c r="AE522" s="419">
        <f>IF(ISNA(MATCH(AC522,N514:N523,0)),0,VLOOKUP(AC522,N514:S523,5,FALSE))</f>
        <v>0</v>
      </c>
      <c r="AF522" s="419" t="str">
        <f>IF(ISNA(MATCH(AC522,T514:T523,0))," ",VLOOKUP(AC522,T514:Y523,5,FALSE))</f>
        <v xml:space="preserve"> </v>
      </c>
      <c r="AG522" s="419">
        <f>IF(ISNA(MATCH(AC522,L516:L523,0)),0,VLOOKUP(AC522,L516:N523,3,FALSE))</f>
        <v>0</v>
      </c>
      <c r="AH522" s="419">
        <f>IF(ISNA(MATCH(AC522,R516:R523,0)),0,VLOOKUP(AC522,R516:T523,3,FALSE))</f>
        <v>0</v>
      </c>
      <c r="AI522" s="419">
        <f>IF(ISNA(MATCH(AC522,L516:L523,0)),0,VLOOKUP(AC522,L516:P523,4,FALSE))</f>
        <v>0</v>
      </c>
      <c r="AJ522" s="419">
        <f>IF(ISNA(MATCH(AC522,R516:R523,0)),0,VLOOKUP(AC522,R516:U523,4,FALSE))</f>
        <v>0</v>
      </c>
      <c r="AK522" s="32">
        <f t="shared" si="456"/>
        <v>0</v>
      </c>
      <c r="AL522" s="32">
        <f t="shared" si="457"/>
        <v>0</v>
      </c>
      <c r="AM522" s="32">
        <f>IF(ISNA(MATCH(AC522,L516:L523,0)),0,VLOOKUP(AC522,L516:W523,AM$1,FALSE))</f>
        <v>0</v>
      </c>
      <c r="AN522" s="146">
        <f>IF(ISNA(MATCH(AC522,R516:R523,0)),0,VLOOKUP(AC522,R516:W523,AN$1,FALSE))</f>
        <v>0</v>
      </c>
      <c r="AP522" s="927"/>
      <c r="AQ522" s="927"/>
    </row>
    <row r="523" spans="1:47" ht="16.2" thickBot="1" x14ac:dyDescent="0.35">
      <c r="A523" s="418">
        <f t="shared" si="458"/>
        <v>468</v>
      </c>
      <c r="B523" s="365" t="str">
        <f>'Event Details'!D$29</f>
        <v>Y</v>
      </c>
      <c r="C523" s="366" t="str">
        <f>'Event Details'!E$29</f>
        <v>Worcester</v>
      </c>
      <c r="D523" s="361"/>
      <c r="E523" s="370"/>
      <c r="F523" s="367">
        <f>VLOOKUP($B515,IF($H515="F",TeamSheetFemale,TeamSheetMale),$Y523-1,FALSE)</f>
        <v>0</v>
      </c>
      <c r="G523" s="368">
        <f>VLOOKUP($B515,IF($H515="F",TeamSheetFemale,TeamSheetMale),$Y523,FALSE)</f>
        <v>0</v>
      </c>
      <c r="H523" s="367">
        <f>VLOOKUP($B515,IF($H515="F",TeamSheetFemale,TeamSheetMale),$Y523+1,FALSE)</f>
        <v>0</v>
      </c>
      <c r="I523" s="369">
        <f>VLOOKUP($B515,IF($H515="F",TeamSheetFemale,TeamSheetMale),$Y523+2,FALSE)</f>
        <v>0</v>
      </c>
      <c r="K523" s="346" t="s">
        <v>278</v>
      </c>
      <c r="L523" s="25" t="str">
        <f t="shared" si="450"/>
        <v/>
      </c>
      <c r="M523" s="928"/>
      <c r="N523" s="932"/>
      <c r="O523" s="374" t="str">
        <f>IF(LEN($M523)=1,VLOOKUP(LEFT($M523,1),B516:I523,5,FALSE),IF(LEN($M523)=2,VLOOKUP(LEFT($M523,1),B516:I523,7,FALSE),""))</f>
        <v/>
      </c>
      <c r="P523" s="411" t="str">
        <f>IF(LEN($M523)=1,VLOOKUP(LEFT($M523,1),B516:I523,6,FALSE),IF(LEN($M523)=2,VLOOKUP(LEFT($M523,1),B516:I523,8,FALSE),""))</f>
        <v/>
      </c>
      <c r="Q523" s="407" t="s">
        <v>278</v>
      </c>
      <c r="R523" s="523" t="str">
        <f t="shared" si="451"/>
        <v/>
      </c>
      <c r="S523" s="928"/>
      <c r="T523" s="932"/>
      <c r="U523" s="374" t="str">
        <f>IF(LEN($S523)=1,VLOOKUP(LEFT($S523,1),B516:I523,5,FALSE),IF(LEN($S523)=2,VLOOKUP(LEFT($S523,1),B516:I523,7,FALSE),""))</f>
        <v/>
      </c>
      <c r="V523" s="411" t="str">
        <f>IF(LEN($S523)=1,VLOOKUP(LEFT($S523,1),B516:I523,6,FALSE),IF(LEN($S523)=2,VLOOKUP(LEFT($S523,1),B516:I523,8,FALSE),""))</f>
        <v/>
      </c>
      <c r="W523" s="418">
        <f t="shared" si="459"/>
        <v>1</v>
      </c>
      <c r="Y523" s="25">
        <v>42</v>
      </c>
      <c r="Z523" s="25">
        <f t="shared" si="452"/>
        <v>0</v>
      </c>
      <c r="AA523" s="523">
        <f t="shared" si="453"/>
        <v>0</v>
      </c>
      <c r="AC523" s="25" t="str">
        <f t="shared" si="454"/>
        <v>Y</v>
      </c>
      <c r="AD523" s="624" t="str">
        <f t="shared" si="455"/>
        <v>Worcester</v>
      </c>
      <c r="AE523" s="624">
        <f>IF(ISNA(MATCH(AC523,N515:N524,0)),0,VLOOKUP(AC523,N515:S524,5,FALSE))</f>
        <v>0</v>
      </c>
      <c r="AF523" s="624" t="str">
        <f t="shared" ref="AF523" si="460">IF(ISNA(MATCH(AC523,T515:T524,0))," ",VLOOKUP(AC523,T515:Y524,5,FALSE))</f>
        <v xml:space="preserve"> </v>
      </c>
      <c r="AG523" s="624">
        <f>IF(ISNA(MATCH(AC523,L516:L523,0)),0,VLOOKUP(AC523,L516:N523,3,FALSE))</f>
        <v>0</v>
      </c>
      <c r="AH523" s="624">
        <f>IF(ISNA(MATCH(AC523,R516:R523,0)),0,VLOOKUP(AC523,R516:T523,3,FALSE))</f>
        <v>0</v>
      </c>
      <c r="AI523" s="624">
        <f>IF(ISNA(MATCH(AC523,L516:L523,0)),0,VLOOKUP(AC523,L516:P523,4,FALSE))</f>
        <v>0</v>
      </c>
      <c r="AJ523" s="624">
        <f>IF(ISNA(MATCH(AC523,R516:R523,0)),0,VLOOKUP(AC523,R516:U523,4,FALSE))</f>
        <v>0</v>
      </c>
      <c r="AK523" s="116">
        <f t="shared" si="456"/>
        <v>0</v>
      </c>
      <c r="AL523" s="116">
        <f t="shared" si="457"/>
        <v>0</v>
      </c>
      <c r="AM523" s="116">
        <f>IF(ISNA(MATCH(AC523,L516:L523,0)),0,VLOOKUP(AC523,L516:W523,AM$1,FALSE))</f>
        <v>0</v>
      </c>
      <c r="AN523" s="523">
        <f>IF(ISNA(MATCH(AC523,R516:R523,0)),0,VLOOKUP(AC523,R516:W523,AN$1,FALSE))</f>
        <v>0</v>
      </c>
      <c r="AP523" s="928"/>
      <c r="AQ523" s="932"/>
    </row>
    <row r="524" spans="1:47" ht="15" thickBot="1" x14ac:dyDescent="0.35">
      <c r="M524" s="276"/>
      <c r="N524" s="307"/>
      <c r="S524" s="276"/>
      <c r="T524" s="307"/>
      <c r="AP524" s="276"/>
      <c r="AQ524" s="307"/>
    </row>
    <row r="525" spans="1:47" x14ac:dyDescent="0.3">
      <c r="B525" s="400" t="s">
        <v>258</v>
      </c>
      <c r="C525" s="398"/>
      <c r="D525" s="401" t="s">
        <v>165</v>
      </c>
      <c r="E525" s="398"/>
      <c r="F525" s="398"/>
      <c r="G525" s="402" t="s">
        <v>259</v>
      </c>
      <c r="H525" s="403" t="s">
        <v>249</v>
      </c>
      <c r="I525" s="404" t="s">
        <v>168</v>
      </c>
      <c r="K525" s="360"/>
      <c r="L525" s="661"/>
      <c r="M525" s="387" t="s">
        <v>260</v>
      </c>
      <c r="N525" s="387" t="s">
        <v>261</v>
      </c>
      <c r="O525" s="387" t="s">
        <v>262</v>
      </c>
      <c r="P525" s="388" t="s">
        <v>75</v>
      </c>
      <c r="Q525" s="389"/>
      <c r="R525" s="657"/>
      <c r="S525" s="387" t="s">
        <v>260</v>
      </c>
      <c r="T525" s="387" t="s">
        <v>261</v>
      </c>
      <c r="U525" s="387" t="s">
        <v>262</v>
      </c>
      <c r="V525" s="388" t="s">
        <v>75</v>
      </c>
      <c r="W525" s="672" t="s">
        <v>76</v>
      </c>
      <c r="Y525" s="414" t="s">
        <v>263</v>
      </c>
      <c r="Z525" s="656" t="s">
        <v>74</v>
      </c>
      <c r="AA525" s="657" t="s">
        <v>75</v>
      </c>
      <c r="AC525" s="665" t="s">
        <v>71</v>
      </c>
      <c r="AD525" s="657" t="s">
        <v>86</v>
      </c>
      <c r="AE525" s="661" t="s">
        <v>149</v>
      </c>
      <c r="AF525" s="661" t="s">
        <v>94</v>
      </c>
      <c r="AG525" s="661" t="s">
        <v>149</v>
      </c>
      <c r="AH525" s="661" t="s">
        <v>94</v>
      </c>
      <c r="AI525" s="661" t="s">
        <v>149</v>
      </c>
      <c r="AJ525" s="661" t="s">
        <v>94</v>
      </c>
      <c r="AK525" s="1332" t="s">
        <v>149</v>
      </c>
      <c r="AL525" s="661" t="s">
        <v>94</v>
      </c>
      <c r="AM525" s="1406" t="s">
        <v>76</v>
      </c>
      <c r="AN525" s="1407"/>
      <c r="AP525" s="387" t="s">
        <v>260</v>
      </c>
      <c r="AQ525" s="387" t="s">
        <v>261</v>
      </c>
      <c r="AS525" s="1218" t="s">
        <v>165</v>
      </c>
      <c r="AT525" s="1219" t="s">
        <v>79</v>
      </c>
      <c r="AU525" s="1220" t="s">
        <v>80</v>
      </c>
    </row>
    <row r="526" spans="1:47" ht="15" thickBot="1" x14ac:dyDescent="0.35">
      <c r="B526" s="405">
        <v>47</v>
      </c>
      <c r="C526" s="399"/>
      <c r="D526" s="385" t="str">
        <f>VLOOKUP($B526,EventOrder,6,FALSE)</f>
        <v xml:space="preserve">Shot </v>
      </c>
      <c r="E526" s="399"/>
      <c r="F526" s="385"/>
      <c r="G526" s="386" t="str">
        <f>VLOOKUP($B526,EventOrder,4,FALSE)</f>
        <v>U14 Male</v>
      </c>
      <c r="H526" s="396" t="str">
        <f>IF(MID(G526,5,1)="F","F","M")</f>
        <v>M</v>
      </c>
      <c r="I526" s="397">
        <f>VLOOKUP($B526,EventOrder,2,FALSE)</f>
        <v>2.4</v>
      </c>
      <c r="K526" s="377"/>
      <c r="L526" s="667" t="s">
        <v>149</v>
      </c>
      <c r="M526" s="409" t="s">
        <v>264</v>
      </c>
      <c r="N526" s="409" t="s">
        <v>265</v>
      </c>
      <c r="O526" s="390" t="s">
        <v>266</v>
      </c>
      <c r="P526" s="391"/>
      <c r="Q526" s="392"/>
      <c r="R526" s="659" t="s">
        <v>94</v>
      </c>
      <c r="S526" s="409" t="s">
        <v>264</v>
      </c>
      <c r="T526" s="409" t="s">
        <v>265</v>
      </c>
      <c r="U526" s="390" t="s">
        <v>266</v>
      </c>
      <c r="V526" s="391"/>
      <c r="W526" s="671"/>
      <c r="Y526" s="415" t="s">
        <v>167</v>
      </c>
      <c r="Z526" s="658" t="s">
        <v>149</v>
      </c>
      <c r="AA526" s="659" t="s">
        <v>94</v>
      </c>
      <c r="AC526" s="666"/>
      <c r="AD526" s="668"/>
      <c r="AE526" s="768" t="s">
        <v>75</v>
      </c>
      <c r="AF526" s="768" t="s">
        <v>75</v>
      </c>
      <c r="AG526" s="768" t="s">
        <v>267</v>
      </c>
      <c r="AH526" s="768" t="s">
        <v>267</v>
      </c>
      <c r="AI526" s="768" t="s">
        <v>268</v>
      </c>
      <c r="AJ526" s="768" t="s">
        <v>268</v>
      </c>
      <c r="AK526" s="770" t="s">
        <v>269</v>
      </c>
      <c r="AL526" s="768" t="s">
        <v>269</v>
      </c>
      <c r="AM526" s="667" t="s">
        <v>149</v>
      </c>
      <c r="AN526" s="659" t="s">
        <v>94</v>
      </c>
      <c r="AP526" s="409" t="s">
        <v>264</v>
      </c>
      <c r="AQ526" s="409" t="s">
        <v>265</v>
      </c>
      <c r="AS526" s="1221" t="s">
        <v>270</v>
      </c>
      <c r="AT526" s="1222" t="s">
        <v>270</v>
      </c>
      <c r="AU526" s="1223" t="s">
        <v>270</v>
      </c>
    </row>
    <row r="527" spans="1:47" ht="15.6" x14ac:dyDescent="0.3">
      <c r="A527" s="416">
        <f>(B526*10)+1</f>
        <v>471</v>
      </c>
      <c r="B527" s="362" t="str">
        <f>'Event Details'!D$22</f>
        <v>S</v>
      </c>
      <c r="C527" s="381" t="str">
        <f>'Event Details'!E$22</f>
        <v>BRAT</v>
      </c>
      <c r="D527" s="379"/>
      <c r="E527" s="378"/>
      <c r="F527" s="363" t="str">
        <f>VLOOKUP($B526,IF($H526="F",TeamSheetFemale,TeamSheetMale),$Y527-1,FALSE)</f>
        <v>S</v>
      </c>
      <c r="G527" s="380" t="str">
        <f>VLOOKUP($B526,IF($H526="F",TeamSheetFemale,TeamSheetMale),$Y527,FALSE)</f>
        <v xml:space="preserve">Adrian Demanya </v>
      </c>
      <c r="H527" s="363" t="str">
        <f>VLOOKUP($B526,IF($H526="F",TeamSheetFemale,TeamSheetMale),$Y527+1,FALSE)</f>
        <v>SS</v>
      </c>
      <c r="I527" s="364" t="str">
        <f>VLOOKUP($B526,IF($H526="F",TeamSheetFemale,TeamSheetMale),$Y527+2,FALSE)</f>
        <v>Peton Godwin kalala</v>
      </c>
      <c r="K527" s="393" t="s">
        <v>271</v>
      </c>
      <c r="L527" s="16" t="str">
        <f t="shared" ref="L527:L534" si="461">LEFT(M527,1)</f>
        <v>G</v>
      </c>
      <c r="M527" s="926" t="s">
        <v>110</v>
      </c>
      <c r="N527" s="926">
        <v>13.4</v>
      </c>
      <c r="O527" s="394" t="str">
        <f>IF(LEN($M527)=1,VLOOKUP(LEFT($M527,1),B527:I534,5,FALSE),IF(LEN($M527)=2,VLOOKUP(LEFT($M527,1),B527:I534,7,FALSE),""))</f>
        <v>G</v>
      </c>
      <c r="P527" s="395" t="str">
        <f>IF(LEN($M527)=1,VLOOKUP(LEFT($M527,1),B527:I534,6,FALSE),IF(LEN($M527)=2,VLOOKUP(LEFT($M527,1),B527:I534,8,FALSE),""))</f>
        <v>Edward Burnell</v>
      </c>
      <c r="Q527" s="393" t="s">
        <v>271</v>
      </c>
      <c r="R527" s="146" t="str">
        <f t="shared" ref="R527:R534" si="462">LEFT(S527,1)</f>
        <v>S</v>
      </c>
      <c r="S527" s="926" t="s">
        <v>818</v>
      </c>
      <c r="T527" s="926">
        <v>7.73</v>
      </c>
      <c r="U527" s="394" t="str">
        <f>IF(LEN($S527)=1,VLOOKUP(LEFT($S527,1),B527:I534,5,FALSE),IF(LEN($S527)=2,VLOOKUP(LEFT($S527,1),B527:I534,7,FALSE),""))</f>
        <v>SS</v>
      </c>
      <c r="V527" s="395" t="str">
        <f>IF(LEN($S527)=1,VLOOKUP(LEFT($S527,1),B527:I534,6,FALSE),IF(LEN($S527)=2,VLOOKUP(LEFT($S527,1),B527:I534,8,FALSE),""))</f>
        <v>Peton Godwin kalala</v>
      </c>
      <c r="W527" s="417">
        <f>AN$6</f>
        <v>8</v>
      </c>
      <c r="Y527" s="416">
        <v>7</v>
      </c>
      <c r="Z527" s="653" t="str">
        <f t="shared" ref="Z527:Z534" si="463">IF(LEN(M527)&gt;0,VLOOKUP(LEFT(M527,1),ShortName,5,FALSE),0)</f>
        <v>Royal</v>
      </c>
      <c r="AA527" s="138" t="str">
        <f t="shared" ref="AA527:AA534" si="464">IF(LEN(S527)&gt;0,VLOOKUP(LEFT(S527,1),ShortName,5,FALSE),0)</f>
        <v>BRAT</v>
      </c>
      <c r="AC527" s="16" t="str">
        <f t="shared" ref="AC527:AC534" si="465">B527</f>
        <v>S</v>
      </c>
      <c r="AD527" s="419" t="str">
        <f t="shared" ref="AD527:AD534" si="466">C527</f>
        <v>BRAT</v>
      </c>
      <c r="AE527" s="635">
        <f>IF(ISNA(MATCH(AC527,N527:N536,0)),0,VLOOKUP(AC527,N527:S536,5,FALSE))</f>
        <v>0</v>
      </c>
      <c r="AF527" s="635" t="str">
        <f>IF(ISNA(MATCH(AC527,T527:T536,0))," ",VLOOKUP(AC527,T527:Y536,5,FALSE))</f>
        <v xml:space="preserve"> </v>
      </c>
      <c r="AG527" s="635">
        <f>IF(ISNA(MATCH(AC527,L527:L534,0)),0,VLOOKUP(AC527,L527:N534,3,FALSE))</f>
        <v>8.15</v>
      </c>
      <c r="AH527" s="635">
        <f>IF(ISNA(MATCH(AC527,R527:R534,0)),0,VLOOKUP(AC527,R527:T534,3,FALSE))</f>
        <v>7.73</v>
      </c>
      <c r="AI527" s="635" t="str">
        <f>IF(ISNA(MATCH(AC527,L527:L534,0)),0,VLOOKUP(AC527,L527:P534,4,FALSE))</f>
        <v>S</v>
      </c>
      <c r="AJ527" s="635" t="str">
        <f>IF(ISNA(MATCH(AC527,R527:R534,0)),0,VLOOKUP(AC527,R527:U534,4,FALSE))</f>
        <v>SS</v>
      </c>
      <c r="AK527" s="49">
        <f t="shared" ref="AK527:AK534" si="467">IF(AM527=0,0,AN$6-(AM527-1))</f>
        <v>4</v>
      </c>
      <c r="AL527" s="49">
        <f t="shared" ref="AL527:AL534" si="468">IF(AN527=0,0,AN$6-(AN527-1))</f>
        <v>1</v>
      </c>
      <c r="AM527" s="49">
        <f>IF(ISNA(MATCH(AC527,L527:L534,0)),0,VLOOKUP(AC527,L527:W534,AM$1,FALSE))</f>
        <v>5</v>
      </c>
      <c r="AN527" s="138">
        <f>IF(ISNA(MATCH(AC527,R527:R534,0)),0,VLOOKUP(AC527,R527:W534,AN$1,FALSE))</f>
        <v>8</v>
      </c>
      <c r="AP527" s="926"/>
      <c r="AQ527" s="926"/>
      <c r="AS527" s="32">
        <f>IF(LEN(N527)&gt;0,1,0)</f>
        <v>1</v>
      </c>
      <c r="AT527" s="32">
        <f>IF(AND(AS527=1,H526="M"),1,0)</f>
        <v>1</v>
      </c>
      <c r="AU527" s="32">
        <f>IF(AND(AS527=1,H526="F"),1,0)</f>
        <v>0</v>
      </c>
    </row>
    <row r="528" spans="1:47" ht="15.6" x14ac:dyDescent="0.3">
      <c r="A528" s="417">
        <f>A527+1</f>
        <v>472</v>
      </c>
      <c r="B528" s="362" t="str">
        <f>'Event Details'!D$23</f>
        <v>U</v>
      </c>
      <c r="C528" s="381" t="str">
        <f>'Event Details'!E$23</f>
        <v>Kidder &amp; Stourport</v>
      </c>
      <c r="D528" s="379"/>
      <c r="E528" s="378"/>
      <c r="F528" s="363">
        <f>VLOOKUP($B526,IF($H526="F",TeamSheetFemale,TeamSheetMale),$Y528-1,FALSE)</f>
        <v>0</v>
      </c>
      <c r="G528" s="380">
        <f>VLOOKUP($B526,IF($H526="F",TeamSheetFemale,TeamSheetMale),$Y528,FALSE)</f>
        <v>0</v>
      </c>
      <c r="H528" s="363">
        <f>VLOOKUP($B526,IF($H526="F",TeamSheetFemale,TeamSheetMale),$Y528+1,FALSE)</f>
        <v>0</v>
      </c>
      <c r="I528" s="364">
        <f>VLOOKUP($B526,IF($H526="F",TeamSheetFemale,TeamSheetMale),$Y528+2,FALSE)</f>
        <v>0</v>
      </c>
      <c r="K528" s="341" t="s">
        <v>272</v>
      </c>
      <c r="L528" s="16" t="str">
        <f t="shared" si="461"/>
        <v>F</v>
      </c>
      <c r="M528" s="927" t="s">
        <v>142</v>
      </c>
      <c r="N528" s="927">
        <v>8.65</v>
      </c>
      <c r="O528" s="353" t="str">
        <f>IF(LEN($M528)=1,VLOOKUP(LEFT($M528,1),B527:I534,5,FALSE),IF(LEN($M528)=2,VLOOKUP(LEFT($M528,1),B527:I534,7,FALSE),""))</f>
        <v>F</v>
      </c>
      <c r="P528" s="373" t="str">
        <f>IF(LEN($M528)=1,VLOOKUP(LEFT($M528,1),B527:I534,6,FALSE),IF(LEN($M528)=2,VLOOKUP(LEFT($M528,1),B527:I534,8,FALSE),""))</f>
        <v>Felix Hickman</v>
      </c>
      <c r="Q528" s="341" t="s">
        <v>272</v>
      </c>
      <c r="R528" s="146" t="str">
        <f t="shared" si="462"/>
        <v>G</v>
      </c>
      <c r="S528" s="927" t="s">
        <v>820</v>
      </c>
      <c r="T528" s="927">
        <v>7.68</v>
      </c>
      <c r="U528" s="353" t="str">
        <f>IF(LEN($S528)=1,VLOOKUP(LEFT($S528,1),B527:I534,5,FALSE),IF(LEN($S528)=2,VLOOKUP(LEFT($S528,1),B527:I534,7,FALSE),""))</f>
        <v>GG</v>
      </c>
      <c r="V528" s="373" t="str">
        <f>IF(LEN($S528)=1,VLOOKUP(LEFT($S528,1),B527:I534,6,FALSE),IF(LEN($S528)=2,VLOOKUP(LEFT($S528,1),B527:I534,8,FALSE),""))</f>
        <v>Oliver Marsh</v>
      </c>
      <c r="W528" s="417">
        <f>W527-1</f>
        <v>7</v>
      </c>
      <c r="Y528" s="417">
        <v>12</v>
      </c>
      <c r="Z528" s="16" t="str">
        <f t="shared" si="463"/>
        <v>Tam</v>
      </c>
      <c r="AA528" s="146" t="str">
        <f t="shared" si="464"/>
        <v>Royal</v>
      </c>
      <c r="AC528" s="16" t="str">
        <f t="shared" si="465"/>
        <v>U</v>
      </c>
      <c r="AD528" s="419" t="str">
        <f t="shared" si="466"/>
        <v>Kidder &amp; Stourport</v>
      </c>
      <c r="AE528" s="419">
        <f>IF(ISNA(MATCH(AC528,N527:N536,0)),0,VLOOKUP(AC528,N527:S536,5,FALSE))</f>
        <v>0</v>
      </c>
      <c r="AF528" s="419" t="str">
        <f>IF(ISNA(MATCH(AC528,T527:T536,0))," ",VLOOKUP(AC528,T527:Y536,5,FALSE))</f>
        <v xml:space="preserve"> </v>
      </c>
      <c r="AG528" s="419">
        <f>IF(ISNA(MATCH(AC528,L527:L534,0)),0,VLOOKUP(AC528,L527:N534,3,FALSE))</f>
        <v>0</v>
      </c>
      <c r="AH528" s="419">
        <f>IF(ISNA(MATCH(AC528,R527:R534,0)),0,VLOOKUP(AC528,R527:T534,3,FALSE))</f>
        <v>0</v>
      </c>
      <c r="AI528" s="419">
        <f>IF(ISNA(MATCH(AC528,L527:L534,0)),0,VLOOKUP(AC528,L527:P534,4,FALSE))</f>
        <v>0</v>
      </c>
      <c r="AJ528" s="419">
        <f>IF(ISNA(MATCH(AC528,R527:R534,0)),0,VLOOKUP(AC528,R527:U534,4,FALSE))</f>
        <v>0</v>
      </c>
      <c r="AK528" s="32">
        <f t="shared" si="467"/>
        <v>0</v>
      </c>
      <c r="AL528" s="32">
        <f t="shared" si="468"/>
        <v>0</v>
      </c>
      <c r="AM528" s="32">
        <f>IF(ISNA(MATCH(AC528,L527:L534,0)),0,VLOOKUP(AC528,L527:W534,AM$1,FALSE))</f>
        <v>0</v>
      </c>
      <c r="AN528" s="146">
        <f>IF(ISNA(MATCH(AC528,R527:R534,0)),0,VLOOKUP(AC528,R527:W534,AN$1,FALSE))</f>
        <v>0</v>
      </c>
      <c r="AP528" s="927"/>
      <c r="AQ528" s="927"/>
    </row>
    <row r="529" spans="1:47" ht="15.6" x14ac:dyDescent="0.3">
      <c r="A529" s="417">
        <f t="shared" ref="A529:A534" si="469">A528+1</f>
        <v>473</v>
      </c>
      <c r="B529" s="362" t="str">
        <f>'Event Details'!D$24</f>
        <v>G</v>
      </c>
      <c r="C529" s="381" t="str">
        <f>'Event Details'!E$24</f>
        <v>Royal Sutton</v>
      </c>
      <c r="D529" s="379"/>
      <c r="E529" s="378"/>
      <c r="F529" s="363" t="str">
        <f>VLOOKUP($B526,IF($H526="F",TeamSheetFemale,TeamSheetMale),$Y529-1,FALSE)</f>
        <v>G</v>
      </c>
      <c r="G529" s="380" t="str">
        <f>VLOOKUP($B526,IF($H526="F",TeamSheetFemale,TeamSheetMale),$Y529,FALSE)</f>
        <v>Edward Burnell</v>
      </c>
      <c r="H529" s="363" t="str">
        <f>VLOOKUP($B526,IF($H526="F",TeamSheetFemale,TeamSheetMale),$Y529+1,FALSE)</f>
        <v>GG</v>
      </c>
      <c r="I529" s="364" t="str">
        <f>VLOOKUP($B526,IF($H526="F",TeamSheetFemale,TeamSheetMale),$Y529+2,FALSE)</f>
        <v>Oliver Marsh</v>
      </c>
      <c r="K529" s="341" t="s">
        <v>273</v>
      </c>
      <c r="L529" s="16" t="str">
        <f t="shared" si="461"/>
        <v>R</v>
      </c>
      <c r="M529" s="927" t="s">
        <v>118</v>
      </c>
      <c r="N529" s="927">
        <v>8.41</v>
      </c>
      <c r="O529" s="353" t="str">
        <f>IF(LEN($M529)=1,VLOOKUP(LEFT($M529,1),B527:I534,5,FALSE),IF(LEN($M529)=2,VLOOKUP(LEFT($M529,1),B527:I534,7,FALSE),""))</f>
        <v>R</v>
      </c>
      <c r="P529" s="373" t="str">
        <f>IF(LEN($M529)=1,VLOOKUP(LEFT($M529,1),B527:I534,6,FALSE),IF(LEN($M529)=2,VLOOKUP(LEFT($M529,1),B527:I534,8,FALSE),""))</f>
        <v>Kye McCabe</v>
      </c>
      <c r="Q529" s="341" t="s">
        <v>273</v>
      </c>
      <c r="R529" s="146" t="str">
        <f t="shared" si="462"/>
        <v>R</v>
      </c>
      <c r="S529" s="927" t="s">
        <v>819</v>
      </c>
      <c r="T529" s="927">
        <v>7.04</v>
      </c>
      <c r="U529" s="353" t="str">
        <f>IF(LEN($S529)=1,VLOOKUP(LEFT($S529,1),B527:I534,5,FALSE),IF(LEN($S529)=2,VLOOKUP(LEFT($S529,1),B527:I534,7,FALSE),""))</f>
        <v>RR</v>
      </c>
      <c r="V529" s="373" t="str">
        <f>IF(LEN($S529)=1,VLOOKUP(LEFT($S529,1),B527:I534,6,FALSE),IF(LEN($S529)=2,VLOOKUP(LEFT($S529,1),B527:I534,8,FALSE),""))</f>
        <v>Joe Walden</v>
      </c>
      <c r="W529" s="417">
        <f t="shared" ref="W529:W534" si="470">W528-1</f>
        <v>6</v>
      </c>
      <c r="Y529" s="417">
        <v>17</v>
      </c>
      <c r="Z529" s="16" t="str">
        <f t="shared" si="463"/>
        <v>Rugby</v>
      </c>
      <c r="AA529" s="146" t="str">
        <f t="shared" si="464"/>
        <v>Rugby</v>
      </c>
      <c r="AB529" s="32"/>
      <c r="AC529" s="16" t="str">
        <f t="shared" si="465"/>
        <v>G</v>
      </c>
      <c r="AD529" s="419" t="str">
        <f t="shared" si="466"/>
        <v>Royal Sutton</v>
      </c>
      <c r="AE529" s="419">
        <f>IF(ISNA(MATCH(AC529,N527:N536,0)),0,VLOOKUP(AC529,N527:S536,5,FALSE))</f>
        <v>0</v>
      </c>
      <c r="AF529" s="419" t="str">
        <f>IF(ISNA(MATCH(AC529,T527:T536,0))," ",VLOOKUP(AC529,T527:Y536,5,FALSE))</f>
        <v xml:space="preserve"> </v>
      </c>
      <c r="AG529" s="419">
        <f>IF(ISNA(MATCH(AC529,L527:L534,0)),0,VLOOKUP(AC529,L527:N534,3,FALSE))</f>
        <v>13.4</v>
      </c>
      <c r="AH529" s="419">
        <f>IF(ISNA(MATCH(AC529,R527:R534,0)),0,VLOOKUP(AC529,R527:T534,3,FALSE))</f>
        <v>7.68</v>
      </c>
      <c r="AI529" s="419" t="str">
        <f>IF(ISNA(MATCH(AC529,L527:L534,0)),0,VLOOKUP(AC529,L527:P534,4,FALSE))</f>
        <v>G</v>
      </c>
      <c r="AJ529" s="419" t="str">
        <f>IF(ISNA(MATCH(AC529,R527:R534,0)),0,VLOOKUP(AC529,R527:U534,4,FALSE))</f>
        <v>GG</v>
      </c>
      <c r="AK529" s="32">
        <f t="shared" si="467"/>
        <v>1</v>
      </c>
      <c r="AL529" s="32">
        <f t="shared" si="468"/>
        <v>2</v>
      </c>
      <c r="AM529" s="32">
        <f>IF(ISNA(MATCH(AC529,L527:L534,0)),0,VLOOKUP(AC529,L527:W534,AM$1,FALSE))</f>
        <v>8</v>
      </c>
      <c r="AN529" s="146">
        <f>IF(ISNA(MATCH(AC529,R527:R534,0)),0,VLOOKUP(AC529,R527:W534,AN$1,FALSE))</f>
        <v>7</v>
      </c>
      <c r="AP529" s="927"/>
      <c r="AQ529" s="927"/>
    </row>
    <row r="530" spans="1:47" ht="15.6" x14ac:dyDescent="0.3">
      <c r="A530" s="417">
        <f t="shared" si="469"/>
        <v>474</v>
      </c>
      <c r="B530" s="362" t="str">
        <f>'Event Details'!D$25</f>
        <v>R</v>
      </c>
      <c r="C530" s="381" t="str">
        <f>'Event Details'!E$25</f>
        <v>Rugby &amp; N'hampton</v>
      </c>
      <c r="D530" s="379"/>
      <c r="E530" s="378"/>
      <c r="F530" s="363" t="str">
        <f>VLOOKUP($B526,IF($H526="F",TeamSheetFemale,TeamSheetMale),$Y530-1,FALSE)</f>
        <v>R</v>
      </c>
      <c r="G530" s="380" t="str">
        <f>VLOOKUP($B526,IF($H526="F",TeamSheetFemale,TeamSheetMale),$Y530,FALSE)</f>
        <v>Kye McCabe</v>
      </c>
      <c r="H530" s="363" t="str">
        <f>VLOOKUP($B526,IF($H526="F",TeamSheetFemale,TeamSheetMale),$Y530+1,FALSE)</f>
        <v>RR</v>
      </c>
      <c r="I530" s="364" t="str">
        <f>VLOOKUP($B526,IF($H526="F",TeamSheetFemale,TeamSheetMale),$Y530+2,FALSE)</f>
        <v>Joe Walden</v>
      </c>
      <c r="K530" s="341" t="s">
        <v>274</v>
      </c>
      <c r="L530" s="16" t="str">
        <f t="shared" si="461"/>
        <v>S</v>
      </c>
      <c r="M530" s="927" t="s">
        <v>100</v>
      </c>
      <c r="N530" s="927">
        <v>8.15</v>
      </c>
      <c r="O530" s="353" t="str">
        <f>IF(LEN($M530)=1,VLOOKUP(LEFT($M530,1),B527:I534,5,FALSE),IF(LEN($M530)=2,VLOOKUP(LEFT($M530,1),B527:I534,7,FALSE),""))</f>
        <v>S</v>
      </c>
      <c r="P530" s="373" t="str">
        <f>IF(LEN($M530)=1,VLOOKUP(LEFT($M530,1),B527:I534,6,FALSE),IF(LEN($M530)=2,VLOOKUP(LEFT($M530,1),B527:I534,8,FALSE),""))</f>
        <v xml:space="preserve">Adrian Demanya </v>
      </c>
      <c r="Q530" s="341" t="s">
        <v>274</v>
      </c>
      <c r="R530" s="146" t="str">
        <f t="shared" si="462"/>
        <v>D</v>
      </c>
      <c r="S530" s="927" t="s">
        <v>513</v>
      </c>
      <c r="T530" s="927">
        <v>5.26</v>
      </c>
      <c r="U530" s="353" t="str">
        <f>IF(LEN($S530)=1,VLOOKUP(LEFT($S530,1),B527:I534,5,FALSE),IF(LEN($S530)=2,VLOOKUP(LEFT($S530,1),B527:I534,7,FALSE),""))</f>
        <v>DD</v>
      </c>
      <c r="V530" s="373" t="str">
        <f>IF(LEN($S530)=1,VLOOKUP(LEFT($S530,1),B527:I534,6,FALSE),IF(LEN($S530)=2,VLOOKUP(LEFT($S530,1),B527:I534,8,FALSE),""))</f>
        <v xml:space="preserve">Henry Stacey Harper </v>
      </c>
      <c r="W530" s="417">
        <f t="shared" si="470"/>
        <v>5</v>
      </c>
      <c r="Y530" s="417">
        <v>22</v>
      </c>
      <c r="Z530" s="16" t="str">
        <f t="shared" si="463"/>
        <v>BRAT</v>
      </c>
      <c r="AA530" s="146" t="str">
        <f t="shared" si="464"/>
        <v>Strat</v>
      </c>
      <c r="AB530" s="32"/>
      <c r="AC530" s="16" t="str">
        <f t="shared" si="465"/>
        <v>R</v>
      </c>
      <c r="AD530" s="419" t="str">
        <f t="shared" si="466"/>
        <v>Rugby &amp; N'hampton</v>
      </c>
      <c r="AE530" s="419">
        <f>IF(ISNA(MATCH(AC530,N527:N536,0)),0,VLOOKUP(AC530,N527:S536,5,FALSE))</f>
        <v>0</v>
      </c>
      <c r="AF530" s="419" t="str">
        <f>IF(ISNA(MATCH(AC530,T527:T536,0))," ",VLOOKUP(AC530,T527:Y536,5,FALSE))</f>
        <v xml:space="preserve"> </v>
      </c>
      <c r="AG530" s="419">
        <f>IF(ISNA(MATCH(AC530,L527:L534,0)),0,VLOOKUP(AC530,L527:N534,3,FALSE))</f>
        <v>8.41</v>
      </c>
      <c r="AH530" s="419">
        <f>IF(ISNA(MATCH(AC530,R527:R534,0)),0,VLOOKUP(AC530,R527:T534,3,FALSE))</f>
        <v>7.04</v>
      </c>
      <c r="AI530" s="419" t="str">
        <f>IF(ISNA(MATCH(AC530,L527:L534,0)),0,VLOOKUP(AC530,L527:P534,4,FALSE))</f>
        <v>R</v>
      </c>
      <c r="AJ530" s="419" t="str">
        <f>IF(ISNA(MATCH(AC530,R527:R534,0)),0,VLOOKUP(AC530,R527:U534,4,FALSE))</f>
        <v>RR</v>
      </c>
      <c r="AK530" s="32">
        <f t="shared" si="467"/>
        <v>3</v>
      </c>
      <c r="AL530" s="32">
        <f t="shared" si="468"/>
        <v>3</v>
      </c>
      <c r="AM530" s="32">
        <f>IF(ISNA(MATCH(AC530,L527:L534,0)),0,VLOOKUP(AC530,L527:W534,AM$1,FALSE))</f>
        <v>6</v>
      </c>
      <c r="AN530" s="146">
        <f>IF(ISNA(MATCH(AC530,R527:R534,0)),0,VLOOKUP(AC530,R527:W534,AN$1,FALSE))</f>
        <v>6</v>
      </c>
      <c r="AP530" s="927"/>
      <c r="AQ530" s="927"/>
    </row>
    <row r="531" spans="1:47" ht="15.6" x14ac:dyDescent="0.3">
      <c r="A531" s="417">
        <f t="shared" si="469"/>
        <v>475</v>
      </c>
      <c r="B531" s="362" t="str">
        <f>'Event Details'!D$26</f>
        <v>M</v>
      </c>
      <c r="C531" s="381" t="str">
        <f>'Event Details'!E$26</f>
        <v>Solihull &amp; S.Heath</v>
      </c>
      <c r="D531" s="379"/>
      <c r="E531" s="378"/>
      <c r="F531" s="363" t="str">
        <f>VLOOKUP($B526,IF($H526="F",TeamSheetFemale,TeamSheetMale),$Y531-1,FALSE)</f>
        <v>M</v>
      </c>
      <c r="G531" s="380" t="str">
        <f>VLOOKUP($B526,IF($H526="F",TeamSheetFemale,TeamSheetMale),$Y531,FALSE)</f>
        <v>Jacob Austerberry</v>
      </c>
      <c r="H531" s="363" t="str">
        <f>VLOOKUP($B526,IF($H526="F",TeamSheetFemale,TeamSheetMale),$Y531+1,FALSE)</f>
        <v>MM</v>
      </c>
      <c r="I531" s="364" t="str">
        <f>VLOOKUP($B526,IF($H526="F",TeamSheetFemale,TeamSheetMale),$Y531+2,FALSE)</f>
        <v>Noah Rush</v>
      </c>
      <c r="K531" s="341" t="s">
        <v>275</v>
      </c>
      <c r="L531" s="16" t="str">
        <f t="shared" si="461"/>
        <v>D</v>
      </c>
      <c r="M531" s="927" t="s">
        <v>136</v>
      </c>
      <c r="N531" s="927">
        <v>6.8</v>
      </c>
      <c r="O531" s="353" t="str">
        <f>IF(LEN($M531)=1,VLOOKUP(LEFT($M531,1),B527:I534,5,FALSE),IF(LEN($M531)=2,VLOOKUP(LEFT($M531,1),B527:I534,7,FALSE),""))</f>
        <v>D</v>
      </c>
      <c r="P531" s="373" t="str">
        <f>IF(LEN($M531)=1,VLOOKUP(LEFT($M531,1),B527:I534,6,FALSE),IF(LEN($M531)=2,VLOOKUP(LEFT($M531,1),B527:I534,8,FALSE),""))</f>
        <v>Otis Lesatele</v>
      </c>
      <c r="Q531" s="341" t="s">
        <v>275</v>
      </c>
      <c r="R531" s="146" t="str">
        <f t="shared" si="462"/>
        <v>M</v>
      </c>
      <c r="S531" s="927" t="s">
        <v>821</v>
      </c>
      <c r="T531" s="927">
        <v>3.93</v>
      </c>
      <c r="U531" s="353" t="str">
        <f>IF(LEN($S531)=1,VLOOKUP(LEFT($S531,1),B527:I534,5,FALSE),IF(LEN($S531)=2,VLOOKUP(LEFT($S531,1),B527:I534,7,FALSE),""))</f>
        <v>MM</v>
      </c>
      <c r="V531" s="373" t="str">
        <f>IF(LEN($S531)=1,VLOOKUP(LEFT($S531,1),B527:I534,6,FALSE),IF(LEN($S531)=2,VLOOKUP(LEFT($S531,1),B527:I534,8,FALSE),""))</f>
        <v>Noah Rush</v>
      </c>
      <c r="W531" s="417">
        <f t="shared" si="470"/>
        <v>4</v>
      </c>
      <c r="Y531" s="417">
        <v>27</v>
      </c>
      <c r="Z531" s="16" t="str">
        <f t="shared" si="463"/>
        <v>Strat</v>
      </c>
      <c r="AA531" s="146" t="str">
        <f t="shared" si="464"/>
        <v>Sol</v>
      </c>
      <c r="AB531" s="32"/>
      <c r="AC531" s="16" t="str">
        <f t="shared" si="465"/>
        <v>M</v>
      </c>
      <c r="AD531" s="419" t="str">
        <f t="shared" si="466"/>
        <v>Solihull &amp; S.Heath</v>
      </c>
      <c r="AE531" s="419">
        <f>IF(ISNA(MATCH(AC531,N527:N536,0)),0,VLOOKUP(AC531,N527:S536,5,FALSE))</f>
        <v>0</v>
      </c>
      <c r="AF531" s="419" t="str">
        <f>IF(ISNA(MATCH(AC531,T527:T536,0))," ",VLOOKUP(AC531,T527:Y536,5,FALSE))</f>
        <v xml:space="preserve"> </v>
      </c>
      <c r="AG531" s="419">
        <f>IF(ISNA(MATCH(AC531,L527:L534,0)),0,VLOOKUP(AC531,L527:N534,3,FALSE))</f>
        <v>4.9400000000000004</v>
      </c>
      <c r="AH531" s="419">
        <f>IF(ISNA(MATCH(AC531,R527:R534,0)),0,VLOOKUP(AC531,R527:T534,3,FALSE))</f>
        <v>3.93</v>
      </c>
      <c r="AI531" s="419" t="str">
        <f>IF(ISNA(MATCH(AC531,L527:L534,0)),0,VLOOKUP(AC531,L527:P534,4,FALSE))</f>
        <v>M</v>
      </c>
      <c r="AJ531" s="419" t="str">
        <f>IF(ISNA(MATCH(AC531,R527:R534,0)),0,VLOOKUP(AC531,R527:U534,4,FALSE))</f>
        <v>MM</v>
      </c>
      <c r="AK531" s="32">
        <f t="shared" si="467"/>
        <v>7</v>
      </c>
      <c r="AL531" s="32">
        <f t="shared" si="468"/>
        <v>5</v>
      </c>
      <c r="AM531" s="32">
        <f>IF(ISNA(MATCH(AC531,L527:L534,0)),0,VLOOKUP(AC531,L527:W534,AM$1,FALSE))</f>
        <v>2</v>
      </c>
      <c r="AN531" s="146">
        <f>IF(ISNA(MATCH(AC531,R527:R534,0)),0,VLOOKUP(AC531,R527:W534,AN$1,FALSE))</f>
        <v>4</v>
      </c>
      <c r="AP531" s="927"/>
      <c r="AQ531" s="927"/>
    </row>
    <row r="532" spans="1:47" ht="15.6" x14ac:dyDescent="0.3">
      <c r="A532" s="417">
        <f t="shared" si="469"/>
        <v>476</v>
      </c>
      <c r="B532" s="362" t="str">
        <f>'Event Details'!D$27</f>
        <v>D</v>
      </c>
      <c r="C532" s="381" t="str">
        <f>'Event Details'!E$27</f>
        <v>Stratford</v>
      </c>
      <c r="D532" s="379"/>
      <c r="E532" s="378"/>
      <c r="F532" s="363" t="str">
        <f>VLOOKUP($B526,IF($H526="F",TeamSheetFemale,TeamSheetMale),$Y532-1,FALSE)</f>
        <v>D</v>
      </c>
      <c r="G532" s="380" t="str">
        <f>VLOOKUP($B526,IF($H526="F",TeamSheetFemale,TeamSheetMale),$Y532,FALSE)</f>
        <v>Otis Lesatele</v>
      </c>
      <c r="H532" s="363" t="str">
        <f>VLOOKUP($B526,IF($H526="F",TeamSheetFemale,TeamSheetMale),$Y532+1,FALSE)</f>
        <v>DD</v>
      </c>
      <c r="I532" s="364" t="str">
        <f>VLOOKUP($B526,IF($H526="F",TeamSheetFemale,TeamSheetMale),$Y532+2,FALSE)</f>
        <v xml:space="preserve">Henry Stacey Harper </v>
      </c>
      <c r="K532" s="341" t="s">
        <v>276</v>
      </c>
      <c r="L532" s="16" t="str">
        <f t="shared" si="461"/>
        <v>Y</v>
      </c>
      <c r="M532" s="927" t="s">
        <v>151</v>
      </c>
      <c r="N532" s="927">
        <v>6.13</v>
      </c>
      <c r="O532" s="353" t="str">
        <f>IF(LEN($M532)=1,VLOOKUP(LEFT($M532,1),B527:I534,5,FALSE),IF(LEN($M532)=2,VLOOKUP(LEFT($M532,1),B527:I534,7,FALSE),""))</f>
        <v>Y</v>
      </c>
      <c r="P532" s="373" t="str">
        <f>IF(LEN($M532)=1,VLOOKUP(LEFT($M532,1),B527:I534,6,FALSE),IF(LEN($M532)=2,VLOOKUP(LEFT($M532,1),B527:I534,8,FALSE),""))</f>
        <v>Sam Gromski</v>
      </c>
      <c r="Q532" s="341" t="s">
        <v>276</v>
      </c>
      <c r="R532" s="146" t="str">
        <f t="shared" si="462"/>
        <v>Y</v>
      </c>
      <c r="S532" s="927" t="s">
        <v>822</v>
      </c>
      <c r="T532" s="927">
        <v>3.92</v>
      </c>
      <c r="U532" s="353" t="str">
        <f>IF(LEN($S532)=1,VLOOKUP(LEFT($S532,1),B527:I534,5,FALSE),IF(LEN($S532)=2,VLOOKUP(LEFT($S532,1),B527:I534,7,FALSE),""))</f>
        <v>YY</v>
      </c>
      <c r="V532" s="373" t="str">
        <f>IF(LEN($S532)=1,VLOOKUP(LEFT($S532,1),B527:I534,6,FALSE),IF(LEN($S532)=2,VLOOKUP(LEFT($S532,1),B527:I534,8,FALSE),""))</f>
        <v>Alex Thompson</v>
      </c>
      <c r="W532" s="417">
        <f t="shared" si="470"/>
        <v>3</v>
      </c>
      <c r="Y532" s="417">
        <v>32</v>
      </c>
      <c r="Z532" s="16" t="str">
        <f t="shared" si="463"/>
        <v>Worc</v>
      </c>
      <c r="AA532" s="146" t="str">
        <f t="shared" si="464"/>
        <v>Worc</v>
      </c>
      <c r="AB532" s="32"/>
      <c r="AC532" s="16" t="str">
        <f t="shared" si="465"/>
        <v>D</v>
      </c>
      <c r="AD532" s="419" t="str">
        <f t="shared" si="466"/>
        <v>Stratford</v>
      </c>
      <c r="AE532" s="419">
        <f>IF(ISNA(MATCH(AC532,N527:N536,0)),0,VLOOKUP(AC532,N527:S536,5,FALSE))</f>
        <v>0</v>
      </c>
      <c r="AF532" s="419" t="str">
        <f>IF(ISNA(MATCH(AC532,T527:T536,0))," ",VLOOKUP(AC532,T527:Y536,5,FALSE))</f>
        <v xml:space="preserve"> </v>
      </c>
      <c r="AG532" s="419">
        <f>IF(ISNA(MATCH(AC532,L527:L534,0)),0,VLOOKUP(AC532,L527:N534,3,FALSE))</f>
        <v>6.8</v>
      </c>
      <c r="AH532" s="419">
        <f>IF(ISNA(MATCH(AC532,R527:R534,0)),0,VLOOKUP(AC532,R527:T534,3,FALSE))</f>
        <v>5.26</v>
      </c>
      <c r="AI532" s="419" t="str">
        <f>IF(ISNA(MATCH(AC532,L527:L534,0)),0,VLOOKUP(AC532,L527:P534,4,FALSE))</f>
        <v>D</v>
      </c>
      <c r="AJ532" s="419" t="str">
        <f>IF(ISNA(MATCH(AC532,R527:R534,0)),0,VLOOKUP(AC532,R527:U534,4,FALSE))</f>
        <v>DD</v>
      </c>
      <c r="AK532" s="32">
        <f t="shared" si="467"/>
        <v>5</v>
      </c>
      <c r="AL532" s="32">
        <f t="shared" si="468"/>
        <v>4</v>
      </c>
      <c r="AM532" s="32">
        <f>IF(ISNA(MATCH(AC532,L527:L534,0)),0,VLOOKUP(AC532,L527:W534,AM$1,FALSE))</f>
        <v>4</v>
      </c>
      <c r="AN532" s="146">
        <f>IF(ISNA(MATCH(AC532,R527:R534,0)),0,VLOOKUP(AC532,R527:W534,AN$1,FALSE))</f>
        <v>5</v>
      </c>
      <c r="AP532" s="927"/>
      <c r="AQ532" s="927"/>
    </row>
    <row r="533" spans="1:47" ht="15.6" x14ac:dyDescent="0.3">
      <c r="A533" s="417">
        <f t="shared" si="469"/>
        <v>477</v>
      </c>
      <c r="B533" s="362" t="str">
        <f>'Event Details'!D$28</f>
        <v>F</v>
      </c>
      <c r="C533" s="381" t="str">
        <f>'Event Details'!E$28</f>
        <v>Tamworth</v>
      </c>
      <c r="D533" s="379"/>
      <c r="E533" s="378"/>
      <c r="F533" s="363" t="str">
        <f>VLOOKUP($B526,IF($H526="F",TeamSheetFemale,TeamSheetMale),$Y533-1,FALSE)</f>
        <v>F</v>
      </c>
      <c r="G533" s="380" t="str">
        <f>VLOOKUP($B526,IF($H526="F",TeamSheetFemale,TeamSheetMale),$Y533,FALSE)</f>
        <v>Felix Hickman</v>
      </c>
      <c r="H533" s="363" t="str">
        <f>VLOOKUP($B526,IF($H526="F",TeamSheetFemale,TeamSheetMale),$Y533+1,FALSE)</f>
        <v>FF</v>
      </c>
      <c r="I533" s="364">
        <f>VLOOKUP($B526,IF($H526="F",TeamSheetFemale,TeamSheetMale),$Y533+2,FALSE)</f>
        <v>0</v>
      </c>
      <c r="K533" s="341" t="s">
        <v>277</v>
      </c>
      <c r="L533" s="16" t="str">
        <f t="shared" si="461"/>
        <v>M</v>
      </c>
      <c r="M533" s="931" t="s">
        <v>127</v>
      </c>
      <c r="N533" s="927">
        <v>4.9400000000000004</v>
      </c>
      <c r="O533" s="353" t="str">
        <f>IF(LEN($M533)=1,VLOOKUP(LEFT($M533,1),B527:I534,5,FALSE),IF(LEN($M533)=2,VLOOKUP(LEFT($M533,1),B527:I534,7,FALSE),""))</f>
        <v>M</v>
      </c>
      <c r="P533" s="373" t="str">
        <f>IF(LEN($M533)=1,VLOOKUP(LEFT($M533,1),B527:I534,6,FALSE),IF(LEN($M533)=2,VLOOKUP(LEFT($M533,1),B527:I534,8,FALSE),""))</f>
        <v>Jacob Austerberry</v>
      </c>
      <c r="Q533" s="341" t="s">
        <v>277</v>
      </c>
      <c r="R533" s="146" t="str">
        <f t="shared" si="462"/>
        <v/>
      </c>
      <c r="S533" s="931"/>
      <c r="T533" s="927"/>
      <c r="U533" s="353" t="str">
        <f>IF(LEN($S533)=1,VLOOKUP(LEFT($S533,1),B527:I534,5,FALSE),IF(LEN($S533)=2,VLOOKUP(LEFT($S533,1),B527:I534,7,FALSE),""))</f>
        <v/>
      </c>
      <c r="V533" s="373" t="str">
        <f>IF(LEN($S533)=1,VLOOKUP(LEFT($S533,1),B527:I534,6,FALSE),IF(LEN($S533)=2,VLOOKUP(LEFT($S533,1),B527:I534,8,FALSE),""))</f>
        <v/>
      </c>
      <c r="W533" s="417">
        <f t="shared" si="470"/>
        <v>2</v>
      </c>
      <c r="Y533" s="417">
        <v>37</v>
      </c>
      <c r="Z533" s="16" t="str">
        <f t="shared" si="463"/>
        <v>Sol</v>
      </c>
      <c r="AA533" s="146">
        <f t="shared" si="464"/>
        <v>0</v>
      </c>
      <c r="AB533" s="32"/>
      <c r="AC533" s="16" t="str">
        <f t="shared" si="465"/>
        <v>F</v>
      </c>
      <c r="AD533" s="419" t="str">
        <f t="shared" si="466"/>
        <v>Tamworth</v>
      </c>
      <c r="AE533" s="419">
        <f>IF(ISNA(MATCH(AC533,N525:N534,0)),0,VLOOKUP(AC533,N525:S534,5,FALSE))</f>
        <v>0</v>
      </c>
      <c r="AF533" s="419" t="str">
        <f>IF(ISNA(MATCH(AC533,T525:T534,0))," ",VLOOKUP(AC533,T525:Y534,5,FALSE))</f>
        <v xml:space="preserve"> </v>
      </c>
      <c r="AG533" s="419">
        <f>IF(ISNA(MATCH(AC533,L527:L534,0)),0,VLOOKUP(AC533,L527:N534,3,FALSE))</f>
        <v>8.65</v>
      </c>
      <c r="AH533" s="419">
        <f>IF(ISNA(MATCH(AC533,R527:R534,0)),0,VLOOKUP(AC533,R527:T534,3,FALSE))</f>
        <v>0</v>
      </c>
      <c r="AI533" s="419" t="str">
        <f>IF(ISNA(MATCH(AC533,L527:L534,0)),0,VLOOKUP(AC533,L527:P534,4,FALSE))</f>
        <v>F</v>
      </c>
      <c r="AJ533" s="419">
        <f>IF(ISNA(MATCH(AC533,R527:R534,0)),0,VLOOKUP(AC533,R527:U534,4,FALSE))</f>
        <v>0</v>
      </c>
      <c r="AK533" s="32">
        <f t="shared" si="467"/>
        <v>2</v>
      </c>
      <c r="AL533" s="32">
        <f t="shared" si="468"/>
        <v>0</v>
      </c>
      <c r="AM533" s="32">
        <f>IF(ISNA(MATCH(AC533,L527:L534,0)),0,VLOOKUP(AC533,L527:W534,AM$1,FALSE))</f>
        <v>7</v>
      </c>
      <c r="AN533" s="146">
        <f>IF(ISNA(MATCH(AC533,R527:R534,0)),0,VLOOKUP(AC533,R527:W534,AN$1,FALSE))</f>
        <v>0</v>
      </c>
      <c r="AP533" s="931"/>
      <c r="AQ533" s="927"/>
    </row>
    <row r="534" spans="1:47" ht="16.2" thickBot="1" x14ac:dyDescent="0.35">
      <c r="A534" s="418">
        <f t="shared" si="469"/>
        <v>478</v>
      </c>
      <c r="B534" s="365" t="str">
        <f>'Event Details'!D$29</f>
        <v>Y</v>
      </c>
      <c r="C534" s="366" t="str">
        <f>'Event Details'!E$29</f>
        <v>Worcester</v>
      </c>
      <c r="D534" s="361"/>
      <c r="E534" s="370"/>
      <c r="F534" s="367" t="str">
        <f>VLOOKUP($B526,IF($H526="F",TeamSheetFemale,TeamSheetMale),$Y534-1,FALSE)</f>
        <v>Y</v>
      </c>
      <c r="G534" s="368" t="str">
        <f>VLOOKUP($B526,IF($H526="F",TeamSheetFemale,TeamSheetMale),$Y534,FALSE)</f>
        <v>Sam Gromski</v>
      </c>
      <c r="H534" s="367" t="str">
        <f>VLOOKUP($B526,IF($H526="F",TeamSheetFemale,TeamSheetMale),$Y534+1,FALSE)</f>
        <v>YY</v>
      </c>
      <c r="I534" s="369" t="str">
        <f>VLOOKUP($B526,IF($H526="F",TeamSheetFemale,TeamSheetMale),$Y534+2,FALSE)</f>
        <v>Alex Thompson</v>
      </c>
      <c r="K534" s="346" t="s">
        <v>278</v>
      </c>
      <c r="L534" s="25" t="str">
        <f t="shared" si="461"/>
        <v/>
      </c>
      <c r="M534" s="928" t="s">
        <v>148</v>
      </c>
      <c r="N534" s="932"/>
      <c r="O534" s="375" t="str">
        <f>IF(LEN($M534)=1,VLOOKUP(LEFT($M534,1),B527:I534,5,FALSE),IF(LEN($M534)=2,VLOOKUP(LEFT($M534,1),B527:I534,7,FALSE),""))</f>
        <v/>
      </c>
      <c r="P534" s="376" t="str">
        <f>IF(LEN($M534)=1,VLOOKUP(LEFT($M534,1),B527:I534,6,FALSE),IF(LEN($M534)=2,VLOOKUP(LEFT($M534,1),B527:I534,8,FALSE),""))</f>
        <v/>
      </c>
      <c r="Q534" s="346" t="s">
        <v>278</v>
      </c>
      <c r="R534" s="523" t="str">
        <f t="shared" si="462"/>
        <v/>
      </c>
      <c r="S534" s="928" t="s">
        <v>148</v>
      </c>
      <c r="T534" s="932"/>
      <c r="U534" s="375" t="str">
        <f>IF(LEN($S534)=1,VLOOKUP(LEFT($S534,1),B527:I534,5,FALSE),IF(LEN($S534)=2,VLOOKUP(LEFT($S534,1),B527:I534,7,FALSE),""))</f>
        <v/>
      </c>
      <c r="V534" s="376" t="str">
        <f>IF(LEN($S534)=1,VLOOKUP(LEFT($S534,1),B527:I534,6,FALSE),IF(LEN($S534)=2,VLOOKUP(LEFT($S534,1),B527:I534,8,FALSE),""))</f>
        <v/>
      </c>
      <c r="W534" s="418">
        <f t="shared" si="470"/>
        <v>1</v>
      </c>
      <c r="Y534" s="418">
        <v>42</v>
      </c>
      <c r="Z534" s="25">
        <f t="shared" si="463"/>
        <v>0</v>
      </c>
      <c r="AA534" s="523">
        <f t="shared" si="464"/>
        <v>0</v>
      </c>
      <c r="AB534" s="32"/>
      <c r="AC534" s="25" t="str">
        <f t="shared" si="465"/>
        <v>Y</v>
      </c>
      <c r="AD534" s="624" t="str">
        <f t="shared" si="466"/>
        <v>Worcester</v>
      </c>
      <c r="AE534" s="624">
        <f>IF(ISNA(MATCH(AC534,N526:N535,0)),0,VLOOKUP(AC534,N526:S535,5,FALSE))</f>
        <v>0</v>
      </c>
      <c r="AF534" s="624" t="str">
        <f t="shared" ref="AF534" si="471">IF(ISNA(MATCH(AC534,T526:T535,0))," ",VLOOKUP(AC534,T526:Y535,5,FALSE))</f>
        <v xml:space="preserve"> </v>
      </c>
      <c r="AG534" s="624">
        <f>IF(ISNA(MATCH(AC534,L527:L534,0)),0,VLOOKUP(AC534,L527:N534,3,FALSE))</f>
        <v>6.13</v>
      </c>
      <c r="AH534" s="624">
        <f>IF(ISNA(MATCH(AC534,R527:R534,0)),0,VLOOKUP(AC534,R527:T534,3,FALSE))</f>
        <v>3.92</v>
      </c>
      <c r="AI534" s="624" t="str">
        <f>IF(ISNA(MATCH(AC534,L527:L534,0)),0,VLOOKUP(AC534,L527:P534,4,FALSE))</f>
        <v>Y</v>
      </c>
      <c r="AJ534" s="624" t="str">
        <f>IF(ISNA(MATCH(AC534,R527:R534,0)),0,VLOOKUP(AC534,R527:U534,4,FALSE))</f>
        <v>YY</v>
      </c>
      <c r="AK534" s="116">
        <f t="shared" si="467"/>
        <v>6</v>
      </c>
      <c r="AL534" s="116">
        <f t="shared" si="468"/>
        <v>6</v>
      </c>
      <c r="AM534" s="116">
        <f>IF(ISNA(MATCH(AC534,L527:L534,0)),0,VLOOKUP(AC534,L527:W534,AM$1,FALSE))</f>
        <v>3</v>
      </c>
      <c r="AN534" s="523">
        <f>IF(ISNA(MATCH(AC534,R527:R534,0)),0,VLOOKUP(AC534,R527:W534,AN$1,FALSE))</f>
        <v>3</v>
      </c>
      <c r="AP534" s="928" t="s">
        <v>148</v>
      </c>
      <c r="AQ534" s="932"/>
    </row>
    <row r="535" spans="1:47" ht="15" thickBot="1" x14ac:dyDescent="0.35">
      <c r="M535" s="276"/>
      <c r="N535" s="307"/>
      <c r="S535" s="276"/>
      <c r="T535" s="307"/>
      <c r="AP535" s="276"/>
      <c r="AQ535" s="307"/>
    </row>
    <row r="536" spans="1:47" x14ac:dyDescent="0.3">
      <c r="B536" s="400" t="s">
        <v>258</v>
      </c>
      <c r="C536" s="398"/>
      <c r="D536" s="401" t="s">
        <v>165</v>
      </c>
      <c r="E536" s="398"/>
      <c r="F536" s="398"/>
      <c r="G536" s="402" t="s">
        <v>259</v>
      </c>
      <c r="H536" s="403" t="s">
        <v>249</v>
      </c>
      <c r="I536" s="404" t="s">
        <v>168</v>
      </c>
      <c r="K536" s="360"/>
      <c r="L536" s="661"/>
      <c r="M536" s="387" t="s">
        <v>260</v>
      </c>
      <c r="N536" s="387" t="s">
        <v>261</v>
      </c>
      <c r="O536" s="387" t="s">
        <v>262</v>
      </c>
      <c r="P536" s="388" t="s">
        <v>75</v>
      </c>
      <c r="Q536" s="412"/>
      <c r="R536" s="657"/>
      <c r="S536" s="387" t="s">
        <v>260</v>
      </c>
      <c r="T536" s="387" t="s">
        <v>261</v>
      </c>
      <c r="U536" s="387" t="s">
        <v>262</v>
      </c>
      <c r="V536" s="388" t="s">
        <v>75</v>
      </c>
      <c r="W536" s="672" t="s">
        <v>76</v>
      </c>
      <c r="Y536" s="654" t="s">
        <v>263</v>
      </c>
      <c r="Z536" s="656" t="s">
        <v>74</v>
      </c>
      <c r="AA536" s="657" t="s">
        <v>75</v>
      </c>
      <c r="AC536" s="665" t="s">
        <v>71</v>
      </c>
      <c r="AD536" s="657" t="s">
        <v>86</v>
      </c>
      <c r="AE536" s="661" t="s">
        <v>149</v>
      </c>
      <c r="AF536" s="661" t="s">
        <v>94</v>
      </c>
      <c r="AG536" s="661" t="s">
        <v>149</v>
      </c>
      <c r="AH536" s="661" t="s">
        <v>94</v>
      </c>
      <c r="AI536" s="661" t="s">
        <v>149</v>
      </c>
      <c r="AJ536" s="661" t="s">
        <v>94</v>
      </c>
      <c r="AK536" s="1332" t="s">
        <v>149</v>
      </c>
      <c r="AL536" s="661" t="s">
        <v>94</v>
      </c>
      <c r="AM536" s="1406" t="s">
        <v>76</v>
      </c>
      <c r="AN536" s="1407"/>
      <c r="AP536" s="387" t="s">
        <v>260</v>
      </c>
      <c r="AQ536" s="387" t="s">
        <v>261</v>
      </c>
      <c r="AS536" s="1218" t="s">
        <v>165</v>
      </c>
      <c r="AT536" s="1219" t="s">
        <v>79</v>
      </c>
      <c r="AU536" s="1220" t="s">
        <v>80</v>
      </c>
    </row>
    <row r="537" spans="1:47" ht="15" thickBot="1" x14ac:dyDescent="0.35">
      <c r="B537" s="405">
        <v>48</v>
      </c>
      <c r="C537" s="399"/>
      <c r="D537" s="385" t="str">
        <f>VLOOKUP($B537,EventOrder,6,FALSE)</f>
        <v>Discus (U18) Match 2</v>
      </c>
      <c r="E537" s="399"/>
      <c r="F537" s="385"/>
      <c r="G537" s="386" t="str">
        <f>VLOOKUP($B537,EventOrder,4,FALSE)</f>
        <v>U18 Female</v>
      </c>
      <c r="H537" s="396" t="str">
        <f>IF(MID(G537,5,1)="F","F","M")</f>
        <v>F</v>
      </c>
      <c r="I537" s="397">
        <f>VLOOKUP($B537,EventOrder,2,FALSE)</f>
        <v>2.4</v>
      </c>
      <c r="K537" s="372"/>
      <c r="L537" s="667" t="s">
        <v>149</v>
      </c>
      <c r="M537" s="409" t="s">
        <v>264</v>
      </c>
      <c r="N537" s="409" t="s">
        <v>265</v>
      </c>
      <c r="O537" s="409" t="s">
        <v>266</v>
      </c>
      <c r="P537" s="408"/>
      <c r="Q537" s="413"/>
      <c r="R537" s="659" t="s">
        <v>94</v>
      </c>
      <c r="S537" s="409" t="s">
        <v>264</v>
      </c>
      <c r="T537" s="409" t="s">
        <v>265</v>
      </c>
      <c r="U537" s="409" t="s">
        <v>266</v>
      </c>
      <c r="V537" s="408"/>
      <c r="W537" s="671"/>
      <c r="Y537" s="655" t="s">
        <v>167</v>
      </c>
      <c r="Z537" s="658" t="s">
        <v>149</v>
      </c>
      <c r="AA537" s="659" t="s">
        <v>94</v>
      </c>
      <c r="AC537" s="666"/>
      <c r="AD537" s="668"/>
      <c r="AE537" s="768" t="s">
        <v>75</v>
      </c>
      <c r="AF537" s="768" t="s">
        <v>75</v>
      </c>
      <c r="AG537" s="768" t="s">
        <v>267</v>
      </c>
      <c r="AH537" s="768" t="s">
        <v>267</v>
      </c>
      <c r="AI537" s="768" t="s">
        <v>268</v>
      </c>
      <c r="AJ537" s="768" t="s">
        <v>268</v>
      </c>
      <c r="AK537" s="770" t="s">
        <v>269</v>
      </c>
      <c r="AL537" s="768" t="s">
        <v>269</v>
      </c>
      <c r="AM537" s="667" t="s">
        <v>149</v>
      </c>
      <c r="AN537" s="659" t="s">
        <v>94</v>
      </c>
      <c r="AP537" s="409" t="s">
        <v>264</v>
      </c>
      <c r="AQ537" s="409" t="s">
        <v>265</v>
      </c>
      <c r="AS537" s="1221" t="s">
        <v>270</v>
      </c>
      <c r="AT537" s="1222" t="s">
        <v>270</v>
      </c>
      <c r="AU537" s="1223" t="s">
        <v>270</v>
      </c>
    </row>
    <row r="538" spans="1:47" ht="15.6" x14ac:dyDescent="0.3">
      <c r="A538" s="416">
        <f>(B537*10)+1</f>
        <v>481</v>
      </c>
      <c r="B538" s="362" t="str">
        <f>'Event Details'!D$22</f>
        <v>S</v>
      </c>
      <c r="C538" s="381" t="str">
        <f>'Event Details'!E$22</f>
        <v>BRAT</v>
      </c>
      <c r="D538" s="379"/>
      <c r="E538" s="378"/>
      <c r="F538" s="363">
        <f>VLOOKUP($B537,IF($H537="F",TeamSheetFemale,TeamSheetMale),$Y538-1,FALSE)</f>
        <v>0</v>
      </c>
      <c r="G538" s="380">
        <f>VLOOKUP($B537,IF($H537="F",TeamSheetFemale,TeamSheetMale),$Y538,FALSE)</f>
        <v>0</v>
      </c>
      <c r="H538" s="363">
        <f>VLOOKUP($B537,IF($H537="F",TeamSheetFemale,TeamSheetMale),$Y538+1,FALSE)</f>
        <v>0</v>
      </c>
      <c r="I538" s="364">
        <f>VLOOKUP($B537,IF($H537="F",TeamSheetFemale,TeamSheetMale),$Y538+2,FALSE)</f>
        <v>0</v>
      </c>
      <c r="K538" s="393" t="s">
        <v>271</v>
      </c>
      <c r="L538" s="16" t="str">
        <f t="shared" ref="L538:L545" si="472">LEFT(M538,1)</f>
        <v/>
      </c>
      <c r="M538" s="926"/>
      <c r="N538" s="926"/>
      <c r="O538" s="394" t="str">
        <f>IF(LEN($M538)=1,VLOOKUP(LEFT($M538,1),B538:I545,5,FALSE),IF(LEN($M538)=2,VLOOKUP(LEFT($M538,1),B538:I545,7,FALSE),""))</f>
        <v/>
      </c>
      <c r="P538" s="395" t="str">
        <f>IF(LEN($M538)=1,VLOOKUP(LEFT($M538,1),B538:I545,6,FALSE),IF(LEN($M538)=2,VLOOKUP(LEFT($M538,1),B538:I545,8,FALSE),""))</f>
        <v/>
      </c>
      <c r="Q538" s="406" t="s">
        <v>271</v>
      </c>
      <c r="R538" s="146" t="str">
        <f t="shared" ref="R538:R545" si="473">LEFT(S538,1)</f>
        <v/>
      </c>
      <c r="S538" s="926"/>
      <c r="T538" s="926"/>
      <c r="U538" s="394" t="str">
        <f>IF(LEN($S538)=1,VLOOKUP(LEFT($S538,1),B538:I545,5,FALSE),IF(LEN($S538)=2,VLOOKUP(LEFT($S538,1),B538:I545,7,FALSE),""))</f>
        <v/>
      </c>
      <c r="V538" s="395" t="str">
        <f>IF(LEN($S538)=1,VLOOKUP(LEFT($S538,1),B538:I545,6,FALSE),IF(LEN($S538)=2,VLOOKUP(LEFT($S538,1),B538:I545,8,FALSE),""))</f>
        <v/>
      </c>
      <c r="W538" s="417">
        <f>AN$6</f>
        <v>8</v>
      </c>
      <c r="Y538" s="653">
        <v>7</v>
      </c>
      <c r="Z538" s="653">
        <f t="shared" ref="Z538:Z545" si="474">IF(LEN(M538)&gt;0,VLOOKUP(LEFT(M538,1),ShortName,5,FALSE),0)</f>
        <v>0</v>
      </c>
      <c r="AA538" s="138">
        <f t="shared" ref="AA538:AA545" si="475">IF(LEN(S538)&gt;0,VLOOKUP(LEFT(S538,1),ShortName,5,FALSE),0)</f>
        <v>0</v>
      </c>
      <c r="AC538" s="16" t="str">
        <f t="shared" ref="AC538:AC545" si="476">B538</f>
        <v>S</v>
      </c>
      <c r="AD538" s="419" t="str">
        <f t="shared" ref="AD538:AD545" si="477">C538</f>
        <v>BRAT</v>
      </c>
      <c r="AE538" s="635">
        <f>IF(ISNA(MATCH(AC538,N538:N547,0)),0,VLOOKUP(AC538,N538:S547,5,FALSE))</f>
        <v>0</v>
      </c>
      <c r="AF538" s="635" t="str">
        <f>IF(ISNA(MATCH(AC538,T538:T547,0))," ",VLOOKUP(AC538,T538:Y547,5,FALSE))</f>
        <v xml:space="preserve"> </v>
      </c>
      <c r="AG538" s="635">
        <f>IF(ISNA(MATCH(AC538,L538:L545,0)),0,VLOOKUP(AC538,L538:N545,3,FALSE))</f>
        <v>0</v>
      </c>
      <c r="AH538" s="635">
        <f>IF(ISNA(MATCH(AC538,R538:R545,0)),0,VLOOKUP(AC538,R538:T545,3,FALSE))</f>
        <v>0</v>
      </c>
      <c r="AI538" s="635">
        <f>IF(ISNA(MATCH(AC538,L538:L545,0)),0,VLOOKUP(AC538,L538:P545,4,FALSE))</f>
        <v>0</v>
      </c>
      <c r="AJ538" s="635">
        <f>IF(ISNA(MATCH(AC538,R538:R545,0)),0,VLOOKUP(AC538,R538:U545,4,FALSE))</f>
        <v>0</v>
      </c>
      <c r="AK538" s="49">
        <f t="shared" ref="AK538:AK545" si="478">IF(AM538=0,0,AN$6-(AM538-1))</f>
        <v>0</v>
      </c>
      <c r="AL538" s="49">
        <f t="shared" ref="AL538:AL545" si="479">IF(AN538=0,0,AN$6-(AN538-1))</f>
        <v>0</v>
      </c>
      <c r="AM538" s="49">
        <f>IF(ISNA(MATCH(AC538,L538:L545,0)),0,VLOOKUP(AC538,L538:W545,AM$1,FALSE))</f>
        <v>0</v>
      </c>
      <c r="AN538" s="138">
        <f>IF(ISNA(MATCH(AC538,R538:R545,0)),0,VLOOKUP(AC538,R538:W545,AN$1,FALSE))</f>
        <v>0</v>
      </c>
      <c r="AP538" s="926"/>
      <c r="AQ538" s="926"/>
      <c r="AS538" s="32">
        <f>IF(LEN(N538)&gt;0,1,0)</f>
        <v>0</v>
      </c>
      <c r="AT538" s="32">
        <f>IF(AND(AS538=1,H537="M"),1,0)</f>
        <v>0</v>
      </c>
      <c r="AU538" s="32">
        <f>IF(AND(AS538=1,H537="F"),1,0)</f>
        <v>0</v>
      </c>
    </row>
    <row r="539" spans="1:47" ht="15.6" x14ac:dyDescent="0.3">
      <c r="A539" s="417">
        <f>A538+1</f>
        <v>482</v>
      </c>
      <c r="B539" s="362" t="str">
        <f>'Event Details'!D$23</f>
        <v>U</v>
      </c>
      <c r="C539" s="381" t="str">
        <f>'Event Details'!E$23</f>
        <v>Kidder &amp; Stourport</v>
      </c>
      <c r="D539" s="379"/>
      <c r="E539" s="378"/>
      <c r="F539" s="363">
        <f>VLOOKUP($B537,IF($H537="F",TeamSheetFemale,TeamSheetMale),$Y539-1,FALSE)</f>
        <v>0</v>
      </c>
      <c r="G539" s="380">
        <f>VLOOKUP($B537,IF($H537="F",TeamSheetFemale,TeamSheetMale),$Y539,FALSE)</f>
        <v>0</v>
      </c>
      <c r="H539" s="363">
        <f>VLOOKUP($B537,IF($H537="F",TeamSheetFemale,TeamSheetMale),$Y539+1,FALSE)</f>
        <v>0</v>
      </c>
      <c r="I539" s="364">
        <f>VLOOKUP($B537,IF($H537="F",TeamSheetFemale,TeamSheetMale),$Y539+2,FALSE)</f>
        <v>0</v>
      </c>
      <c r="K539" s="341" t="s">
        <v>272</v>
      </c>
      <c r="L539" s="16" t="str">
        <f t="shared" si="472"/>
        <v/>
      </c>
      <c r="M539" s="927"/>
      <c r="N539" s="927"/>
      <c r="O539" s="354" t="str">
        <f>IF(LEN($M539)=1,VLOOKUP(LEFT($M539,1),B538:I545,5,FALSE),IF(LEN($M539)=2,VLOOKUP(LEFT($M539,1),B538:I545,7,FALSE),""))</f>
        <v/>
      </c>
      <c r="P539" s="410" t="str">
        <f>IF(LEN($M539)=1,VLOOKUP(LEFT($M539,1),B538:I545,6,FALSE),IF(LEN($M539)=2,VLOOKUP(LEFT($M539,1),B538:I545,8,FALSE),""))</f>
        <v/>
      </c>
      <c r="Q539" s="371" t="s">
        <v>272</v>
      </c>
      <c r="R539" s="146" t="str">
        <f t="shared" si="473"/>
        <v/>
      </c>
      <c r="S539" s="927"/>
      <c r="T539" s="927"/>
      <c r="U539" s="354" t="str">
        <f>IF(LEN($S539)=1,VLOOKUP(LEFT($S539,1),B538:I545,5,FALSE),IF(LEN($S539)=2,VLOOKUP(LEFT($S539,1),B538:I545,7,FALSE),""))</f>
        <v/>
      </c>
      <c r="V539" s="410" t="str">
        <f>IF(LEN($S539)=1,VLOOKUP(LEFT($S539,1),B538:I545,6,FALSE),IF(LEN($S539)=2,VLOOKUP(LEFT($S539,1),B538:I545,8,FALSE),""))</f>
        <v/>
      </c>
      <c r="W539" s="417">
        <f>W538-1</f>
        <v>7</v>
      </c>
      <c r="Y539" s="16">
        <v>12</v>
      </c>
      <c r="Z539" s="16">
        <f t="shared" si="474"/>
        <v>0</v>
      </c>
      <c r="AA539" s="146">
        <f t="shared" si="475"/>
        <v>0</v>
      </c>
      <c r="AC539" s="16" t="str">
        <f t="shared" si="476"/>
        <v>U</v>
      </c>
      <c r="AD539" s="419" t="str">
        <f t="shared" si="477"/>
        <v>Kidder &amp; Stourport</v>
      </c>
      <c r="AE539" s="419">
        <f>IF(ISNA(MATCH(AC539,N538:N547,0)),0,VLOOKUP(AC539,N538:S547,5,FALSE))</f>
        <v>0</v>
      </c>
      <c r="AF539" s="419" t="str">
        <f>IF(ISNA(MATCH(AC539,T538:T547,0))," ",VLOOKUP(AC539,T538:Y547,5,FALSE))</f>
        <v xml:space="preserve"> </v>
      </c>
      <c r="AG539" s="419">
        <f>IF(ISNA(MATCH(AC539,L538:L545,0)),0,VLOOKUP(AC539,L538:N545,3,FALSE))</f>
        <v>0</v>
      </c>
      <c r="AH539" s="419">
        <f>IF(ISNA(MATCH(AC539,R538:R545,0)),0,VLOOKUP(AC539,R538:T545,3,FALSE))</f>
        <v>0</v>
      </c>
      <c r="AI539" s="419">
        <f>IF(ISNA(MATCH(AC539,L538:L545,0)),0,VLOOKUP(AC539,L538:P545,4,FALSE))</f>
        <v>0</v>
      </c>
      <c r="AJ539" s="419">
        <f>IF(ISNA(MATCH(AC539,R538:R545,0)),0,VLOOKUP(AC539,R538:U545,4,FALSE))</f>
        <v>0</v>
      </c>
      <c r="AK539" s="32">
        <f t="shared" si="478"/>
        <v>0</v>
      </c>
      <c r="AL539" s="32">
        <f t="shared" si="479"/>
        <v>0</v>
      </c>
      <c r="AM539" s="32">
        <f>IF(ISNA(MATCH(AC539,L538:L545,0)),0,VLOOKUP(AC539,L538:W545,AM$1,FALSE))</f>
        <v>0</v>
      </c>
      <c r="AN539" s="146">
        <f>IF(ISNA(MATCH(AC539,R538:R545,0)),0,VLOOKUP(AC539,R538:W545,AN$1,FALSE))</f>
        <v>0</v>
      </c>
      <c r="AP539" s="927"/>
      <c r="AQ539" s="927"/>
    </row>
    <row r="540" spans="1:47" ht="15.6" x14ac:dyDescent="0.3">
      <c r="A540" s="417">
        <f t="shared" ref="A540:A545" si="480">A539+1</f>
        <v>483</v>
      </c>
      <c r="B540" s="362" t="str">
        <f>'Event Details'!D$24</f>
        <v>G</v>
      </c>
      <c r="C540" s="381" t="str">
        <f>'Event Details'!E$24</f>
        <v>Royal Sutton</v>
      </c>
      <c r="D540" s="379"/>
      <c r="E540" s="378"/>
      <c r="F540" s="363" t="str">
        <f>VLOOKUP($B537,IF($H537="F",TeamSheetFemale,TeamSheetMale),$Y540-1,FALSE)</f>
        <v>G</v>
      </c>
      <c r="G540" s="380">
        <f>VLOOKUP($B537,IF($H537="F",TeamSheetFemale,TeamSheetMale),$Y540,FALSE)</f>
        <v>0</v>
      </c>
      <c r="H540" s="363" t="str">
        <f>VLOOKUP($B537,IF($H537="F",TeamSheetFemale,TeamSheetMale),$Y540+1,FALSE)</f>
        <v>GG</v>
      </c>
      <c r="I540" s="364">
        <f>VLOOKUP($B537,IF($H537="F",TeamSheetFemale,TeamSheetMale),$Y540+2,FALSE)</f>
        <v>0</v>
      </c>
      <c r="K540" s="341" t="s">
        <v>273</v>
      </c>
      <c r="L540" s="16" t="str">
        <f t="shared" si="472"/>
        <v/>
      </c>
      <c r="M540" s="927"/>
      <c r="N540" s="927"/>
      <c r="O540" s="354" t="str">
        <f>IF(LEN($M540)=1,VLOOKUP(LEFT($M540,1),B538:I545,5,FALSE),IF(LEN($M540)=2,VLOOKUP(LEFT($M540,1),B538:I545,7,FALSE),""))</f>
        <v/>
      </c>
      <c r="P540" s="410" t="str">
        <f>IF(LEN($M540)=1,VLOOKUP(LEFT($M540,1),B538:I545,6,FALSE),IF(LEN($M540)=2,VLOOKUP(LEFT($M540,1),B538:I545,8,FALSE),""))</f>
        <v/>
      </c>
      <c r="Q540" s="371" t="s">
        <v>273</v>
      </c>
      <c r="R540" s="146" t="str">
        <f t="shared" si="473"/>
        <v/>
      </c>
      <c r="S540" s="927"/>
      <c r="T540" s="927"/>
      <c r="U540" s="354" t="str">
        <f>IF(LEN($S540)=1,VLOOKUP(LEFT($S540,1),B538:I545,5,FALSE),IF(LEN($S540)=2,VLOOKUP(LEFT($S540,1),B538:I545,7,FALSE),""))</f>
        <v/>
      </c>
      <c r="V540" s="410" t="str">
        <f>IF(LEN($S540)=1,VLOOKUP(LEFT($S540,1),B538:I545,6,FALSE),IF(LEN($S540)=2,VLOOKUP(LEFT($S540,1),B538:I545,8,FALSE),""))</f>
        <v/>
      </c>
      <c r="W540" s="417">
        <f t="shared" ref="W540:W545" si="481">W539-1</f>
        <v>6</v>
      </c>
      <c r="Y540" s="16">
        <v>17</v>
      </c>
      <c r="Z540" s="16">
        <f t="shared" si="474"/>
        <v>0</v>
      </c>
      <c r="AA540" s="146">
        <f t="shared" si="475"/>
        <v>0</v>
      </c>
      <c r="AC540" s="16" t="str">
        <f t="shared" si="476"/>
        <v>G</v>
      </c>
      <c r="AD540" s="419" t="str">
        <f t="shared" si="477"/>
        <v>Royal Sutton</v>
      </c>
      <c r="AE540" s="419">
        <f>IF(ISNA(MATCH(AC540,N538:N547,0)),0,VLOOKUP(AC540,N538:S547,5,FALSE))</f>
        <v>0</v>
      </c>
      <c r="AF540" s="419" t="str">
        <f>IF(ISNA(MATCH(AC540,T538:T547,0))," ",VLOOKUP(AC540,T538:Y547,5,FALSE))</f>
        <v xml:space="preserve"> </v>
      </c>
      <c r="AG540" s="419">
        <f>IF(ISNA(MATCH(AC540,L538:L545,0)),0,VLOOKUP(AC540,L538:N545,3,FALSE))</f>
        <v>0</v>
      </c>
      <c r="AH540" s="419">
        <f>IF(ISNA(MATCH(AC540,R538:R545,0)),0,VLOOKUP(AC540,R538:T545,3,FALSE))</f>
        <v>0</v>
      </c>
      <c r="AI540" s="419">
        <f>IF(ISNA(MATCH(AC540,L538:L545,0)),0,VLOOKUP(AC540,L538:P545,4,FALSE))</f>
        <v>0</v>
      </c>
      <c r="AJ540" s="419">
        <f>IF(ISNA(MATCH(AC540,R538:R545,0)),0,VLOOKUP(AC540,R538:U545,4,FALSE))</f>
        <v>0</v>
      </c>
      <c r="AK540" s="32">
        <f t="shared" si="478"/>
        <v>0</v>
      </c>
      <c r="AL540" s="32">
        <f t="shared" si="479"/>
        <v>0</v>
      </c>
      <c r="AM540" s="32">
        <f>IF(ISNA(MATCH(AC540,L538:L545,0)),0,VLOOKUP(AC540,L538:W545,AM$1,FALSE))</f>
        <v>0</v>
      </c>
      <c r="AN540" s="146">
        <f>IF(ISNA(MATCH(AC540,R538:R545,0)),0,VLOOKUP(AC540,R538:W545,AN$1,FALSE))</f>
        <v>0</v>
      </c>
      <c r="AP540" s="927"/>
      <c r="AQ540" s="927"/>
    </row>
    <row r="541" spans="1:47" ht="15.6" x14ac:dyDescent="0.3">
      <c r="A541" s="417">
        <f t="shared" si="480"/>
        <v>484</v>
      </c>
      <c r="B541" s="362" t="str">
        <f>'Event Details'!D$25</f>
        <v>R</v>
      </c>
      <c r="C541" s="381" t="str">
        <f>'Event Details'!E$25</f>
        <v>Rugby &amp; N'hampton</v>
      </c>
      <c r="D541" s="379"/>
      <c r="E541" s="378"/>
      <c r="F541" s="363" t="str">
        <f>VLOOKUP($B537,IF($H537="F",TeamSheetFemale,TeamSheetMale),$Y541-1,FALSE)</f>
        <v>R</v>
      </c>
      <c r="G541" s="380">
        <f>VLOOKUP($B537,IF($H537="F",TeamSheetFemale,TeamSheetMale),$Y541,FALSE)</f>
        <v>0</v>
      </c>
      <c r="H541" s="363" t="str">
        <f>VLOOKUP($B537,IF($H537="F",TeamSheetFemale,TeamSheetMale),$Y541+1,FALSE)</f>
        <v>RR</v>
      </c>
      <c r="I541" s="364">
        <f>VLOOKUP($B537,IF($H537="F",TeamSheetFemale,TeamSheetMale),$Y541+2,FALSE)</f>
        <v>0</v>
      </c>
      <c r="K541" s="341" t="s">
        <v>274</v>
      </c>
      <c r="L541" s="16" t="str">
        <f t="shared" si="472"/>
        <v/>
      </c>
      <c r="M541" s="927"/>
      <c r="N541" s="927"/>
      <c r="O541" s="354" t="str">
        <f>IF(LEN($M541)=1,VLOOKUP(LEFT($M541,1),B538:I545,5,FALSE),IF(LEN($M541)=2,VLOOKUP(LEFT($M541,1),B538:I545,7,FALSE),""))</f>
        <v/>
      </c>
      <c r="P541" s="410" t="str">
        <f>IF(LEN($M541)=1,VLOOKUP(LEFT($M541,1),B538:I545,6,FALSE),IF(LEN($M541)=2,VLOOKUP(LEFT($M541,1),B538:I545,8,FALSE),""))</f>
        <v/>
      </c>
      <c r="Q541" s="371" t="s">
        <v>274</v>
      </c>
      <c r="R541" s="146" t="str">
        <f t="shared" si="473"/>
        <v/>
      </c>
      <c r="S541" s="927"/>
      <c r="T541" s="927"/>
      <c r="U541" s="354" t="str">
        <f>IF(LEN($S541)=1,VLOOKUP(LEFT($S541,1),B538:I545,5,FALSE),IF(LEN($S541)=2,VLOOKUP(LEFT($S541,1),B538:I545,7,FALSE),""))</f>
        <v/>
      </c>
      <c r="V541" s="410" t="str">
        <f>IF(LEN($S541)=1,VLOOKUP(LEFT($S541,1),B538:I545,6,FALSE),IF(LEN($S541)=2,VLOOKUP(LEFT($S541,1),B538:I545,8,FALSE),""))</f>
        <v/>
      </c>
      <c r="W541" s="417">
        <f t="shared" si="481"/>
        <v>5</v>
      </c>
      <c r="Y541" s="16">
        <v>22</v>
      </c>
      <c r="Z541" s="16">
        <f t="shared" si="474"/>
        <v>0</v>
      </c>
      <c r="AA541" s="146">
        <f t="shared" si="475"/>
        <v>0</v>
      </c>
      <c r="AC541" s="16" t="str">
        <f t="shared" si="476"/>
        <v>R</v>
      </c>
      <c r="AD541" s="419" t="str">
        <f t="shared" si="477"/>
        <v>Rugby &amp; N'hampton</v>
      </c>
      <c r="AE541" s="419">
        <f>IF(ISNA(MATCH(AC541,N538:N547,0)),0,VLOOKUP(AC541,N538:S547,5,FALSE))</f>
        <v>0</v>
      </c>
      <c r="AF541" s="419" t="str">
        <f>IF(ISNA(MATCH(AC541,T538:T547,0))," ",VLOOKUP(AC541,T538:Y547,5,FALSE))</f>
        <v xml:space="preserve"> </v>
      </c>
      <c r="AG541" s="419">
        <f>IF(ISNA(MATCH(AC541,L538:L545,0)),0,VLOOKUP(AC541,L538:N545,3,FALSE))</f>
        <v>0</v>
      </c>
      <c r="AH541" s="419">
        <f>IF(ISNA(MATCH(AC541,R538:R545,0)),0,VLOOKUP(AC541,R538:T545,3,FALSE))</f>
        <v>0</v>
      </c>
      <c r="AI541" s="419">
        <f>IF(ISNA(MATCH(AC541,L538:L545,0)),0,VLOOKUP(AC541,L538:P545,4,FALSE))</f>
        <v>0</v>
      </c>
      <c r="AJ541" s="419">
        <f>IF(ISNA(MATCH(AC541,R538:R545,0)),0,VLOOKUP(AC541,R538:U545,4,FALSE))</f>
        <v>0</v>
      </c>
      <c r="AK541" s="32">
        <f t="shared" si="478"/>
        <v>0</v>
      </c>
      <c r="AL541" s="32">
        <f t="shared" si="479"/>
        <v>0</v>
      </c>
      <c r="AM541" s="32">
        <f>IF(ISNA(MATCH(AC541,L538:L545,0)),0,VLOOKUP(AC541,L538:W545,AM$1,FALSE))</f>
        <v>0</v>
      </c>
      <c r="AN541" s="146">
        <f>IF(ISNA(MATCH(AC541,R538:R545,0)),0,VLOOKUP(AC541,R538:W545,AN$1,FALSE))</f>
        <v>0</v>
      </c>
      <c r="AP541" s="927"/>
      <c r="AQ541" s="927"/>
    </row>
    <row r="542" spans="1:47" ht="15.6" x14ac:dyDescent="0.3">
      <c r="A542" s="417">
        <f t="shared" si="480"/>
        <v>485</v>
      </c>
      <c r="B542" s="362" t="str">
        <f>'Event Details'!D$26</f>
        <v>M</v>
      </c>
      <c r="C542" s="381" t="str">
        <f>'Event Details'!E$26</f>
        <v>Solihull &amp; S.Heath</v>
      </c>
      <c r="D542" s="379"/>
      <c r="E542" s="378"/>
      <c r="F542" s="363">
        <f>VLOOKUP($B537,IF($H537="F",TeamSheetFemale,TeamSheetMale),$Y542-1,FALSE)</f>
        <v>0</v>
      </c>
      <c r="G542" s="380">
        <f>VLOOKUP($B537,IF($H537="F",TeamSheetFemale,TeamSheetMale),$Y542,FALSE)</f>
        <v>0</v>
      </c>
      <c r="H542" s="363">
        <f>VLOOKUP($B537,IF($H537="F",TeamSheetFemale,TeamSheetMale),$Y542+1,FALSE)</f>
        <v>0</v>
      </c>
      <c r="I542" s="364">
        <f>VLOOKUP($B537,IF($H537="F",TeamSheetFemale,TeamSheetMale),$Y542+2,FALSE)</f>
        <v>0</v>
      </c>
      <c r="K542" s="341" t="s">
        <v>275</v>
      </c>
      <c r="L542" s="16" t="str">
        <f t="shared" si="472"/>
        <v/>
      </c>
      <c r="M542" s="927"/>
      <c r="N542" s="927"/>
      <c r="O542" s="354" t="str">
        <f>IF(LEN($M542)=1,VLOOKUP(LEFT($M542,1),B538:I545,5,FALSE),IF(LEN($M542)=2,VLOOKUP(LEFT($M542,1),B538:I545,7,FALSE),""))</f>
        <v/>
      </c>
      <c r="P542" s="410" t="str">
        <f>IF(LEN($M542)=1,VLOOKUP(LEFT($M542,1),B538:I545,6,FALSE),IF(LEN($M542)=2,VLOOKUP(LEFT($M542,1),B538:I545,8,FALSE),""))</f>
        <v/>
      </c>
      <c r="Q542" s="371" t="s">
        <v>275</v>
      </c>
      <c r="R542" s="146" t="str">
        <f t="shared" si="473"/>
        <v/>
      </c>
      <c r="S542" s="927"/>
      <c r="T542" s="927"/>
      <c r="U542" s="354" t="str">
        <f>IF(LEN($S542)=1,VLOOKUP(LEFT($S542,1),B538:I545,5,FALSE),IF(LEN($S542)=2,VLOOKUP(LEFT($S542,1),B538:I545,7,FALSE),""))</f>
        <v/>
      </c>
      <c r="V542" s="410" t="str">
        <f>IF(LEN($S542)=1,VLOOKUP(LEFT($S542,1),B538:I545,6,FALSE),IF(LEN($S542)=2,VLOOKUP(LEFT($S542,1),B538:I545,8,FALSE),""))</f>
        <v/>
      </c>
      <c r="W542" s="417">
        <f t="shared" si="481"/>
        <v>4</v>
      </c>
      <c r="Y542" s="16">
        <v>27</v>
      </c>
      <c r="Z542" s="16">
        <f t="shared" si="474"/>
        <v>0</v>
      </c>
      <c r="AA542" s="146">
        <f t="shared" si="475"/>
        <v>0</v>
      </c>
      <c r="AC542" s="16" t="str">
        <f t="shared" si="476"/>
        <v>M</v>
      </c>
      <c r="AD542" s="419" t="str">
        <f t="shared" si="477"/>
        <v>Solihull &amp; S.Heath</v>
      </c>
      <c r="AE542" s="419">
        <f>IF(ISNA(MATCH(AC542,N538:N547,0)),0,VLOOKUP(AC542,N538:S547,5,FALSE))</f>
        <v>0</v>
      </c>
      <c r="AF542" s="419" t="str">
        <f>IF(ISNA(MATCH(AC542,T538:T547,0))," ",VLOOKUP(AC542,T538:Y547,5,FALSE))</f>
        <v xml:space="preserve"> </v>
      </c>
      <c r="AG542" s="419">
        <f>IF(ISNA(MATCH(AC542,L538:L545,0)),0,VLOOKUP(AC542,L538:N545,3,FALSE))</f>
        <v>0</v>
      </c>
      <c r="AH542" s="419">
        <f>IF(ISNA(MATCH(AC542,R538:R545,0)),0,VLOOKUP(AC542,R538:T545,3,FALSE))</f>
        <v>0</v>
      </c>
      <c r="AI542" s="419">
        <f>IF(ISNA(MATCH(AC542,L538:L545,0)),0,VLOOKUP(AC542,L538:P545,4,FALSE))</f>
        <v>0</v>
      </c>
      <c r="AJ542" s="419">
        <f>IF(ISNA(MATCH(AC542,R538:R545,0)),0,VLOOKUP(AC542,R538:U545,4,FALSE))</f>
        <v>0</v>
      </c>
      <c r="AK542" s="32">
        <f t="shared" si="478"/>
        <v>0</v>
      </c>
      <c r="AL542" s="32">
        <f t="shared" si="479"/>
        <v>0</v>
      </c>
      <c r="AM542" s="32">
        <f>IF(ISNA(MATCH(AC542,L538:L545,0)),0,VLOOKUP(AC542,L538:W545,AM$1,FALSE))</f>
        <v>0</v>
      </c>
      <c r="AN542" s="146">
        <f>IF(ISNA(MATCH(AC542,R538:R545,0)),0,VLOOKUP(AC542,R538:W545,AN$1,FALSE))</f>
        <v>0</v>
      </c>
      <c r="AP542" s="927"/>
      <c r="AQ542" s="927"/>
    </row>
    <row r="543" spans="1:47" ht="15.6" x14ac:dyDescent="0.3">
      <c r="A543" s="417">
        <f t="shared" si="480"/>
        <v>486</v>
      </c>
      <c r="B543" s="362" t="str">
        <f>'Event Details'!D$27</f>
        <v>D</v>
      </c>
      <c r="C543" s="381" t="str">
        <f>'Event Details'!E$27</f>
        <v>Stratford</v>
      </c>
      <c r="D543" s="379"/>
      <c r="E543" s="378"/>
      <c r="F543" s="363">
        <f>VLOOKUP($B537,IF($H537="F",TeamSheetFemale,TeamSheetMale),$Y543-1,FALSE)</f>
        <v>0</v>
      </c>
      <c r="G543" s="380">
        <f>VLOOKUP($B537,IF($H537="F",TeamSheetFemale,TeamSheetMale),$Y543,FALSE)</f>
        <v>0</v>
      </c>
      <c r="H543" s="363">
        <f>VLOOKUP($B537,IF($H537="F",TeamSheetFemale,TeamSheetMale),$Y543+1,FALSE)</f>
        <v>0</v>
      </c>
      <c r="I543" s="364">
        <f>VLOOKUP($B537,IF($H537="F",TeamSheetFemale,TeamSheetMale),$Y543+2,FALSE)</f>
        <v>0</v>
      </c>
      <c r="K543" s="341" t="s">
        <v>276</v>
      </c>
      <c r="L543" s="16" t="str">
        <f t="shared" si="472"/>
        <v/>
      </c>
      <c r="M543" s="927"/>
      <c r="N543" s="927"/>
      <c r="O543" s="354" t="str">
        <f>IF(LEN($M543)=1,VLOOKUP(LEFT($M543,1),B538:I545,5,FALSE),IF(LEN($M543)=2,VLOOKUP(LEFT($M543,1),B538:I545,7,FALSE),""))</f>
        <v/>
      </c>
      <c r="P543" s="410" t="str">
        <f>IF(LEN($M543)=1,VLOOKUP(LEFT($M543,1),B538:I545,6,FALSE),IF(LEN($M543)=2,VLOOKUP(LEFT($M543,1),B538:I545,8,FALSE),""))</f>
        <v/>
      </c>
      <c r="Q543" s="371" t="s">
        <v>276</v>
      </c>
      <c r="R543" s="146" t="str">
        <f t="shared" si="473"/>
        <v/>
      </c>
      <c r="S543" s="927"/>
      <c r="T543" s="927"/>
      <c r="U543" s="354" t="str">
        <f>IF(LEN($S543)=1,VLOOKUP(LEFT($S543,1),B538:I545,5,FALSE),IF(LEN($S543)=2,VLOOKUP(LEFT($S543,1),B538:I545,7,FALSE),""))</f>
        <v/>
      </c>
      <c r="V543" s="410" t="str">
        <f>IF(LEN($S543)=1,VLOOKUP(LEFT($S543,1),B538:I545,6,FALSE),IF(LEN($S543)=2,VLOOKUP(LEFT($S543,1),B538:I545,8,FALSE),""))</f>
        <v/>
      </c>
      <c r="W543" s="417">
        <f t="shared" si="481"/>
        <v>3</v>
      </c>
      <c r="Y543" s="16">
        <v>32</v>
      </c>
      <c r="Z543" s="16">
        <f t="shared" si="474"/>
        <v>0</v>
      </c>
      <c r="AA543" s="146">
        <f t="shared" si="475"/>
        <v>0</v>
      </c>
      <c r="AC543" s="16" t="str">
        <f t="shared" si="476"/>
        <v>D</v>
      </c>
      <c r="AD543" s="419" t="str">
        <f t="shared" si="477"/>
        <v>Stratford</v>
      </c>
      <c r="AE543" s="419">
        <f>IF(ISNA(MATCH(AC543,N538:N547,0)),0,VLOOKUP(AC543,N538:S547,5,FALSE))</f>
        <v>0</v>
      </c>
      <c r="AF543" s="419" t="str">
        <f>IF(ISNA(MATCH(AC543,T538:T547,0))," ",VLOOKUP(AC543,T538:Y547,5,FALSE))</f>
        <v xml:space="preserve"> </v>
      </c>
      <c r="AG543" s="419">
        <f>IF(ISNA(MATCH(AC543,L538:L545,0)),0,VLOOKUP(AC543,L538:N545,3,FALSE))</f>
        <v>0</v>
      </c>
      <c r="AH543" s="419">
        <f>IF(ISNA(MATCH(AC543,R538:R545,0)),0,VLOOKUP(AC543,R538:T545,3,FALSE))</f>
        <v>0</v>
      </c>
      <c r="AI543" s="419">
        <f>IF(ISNA(MATCH(AC543,L538:L545,0)),0,VLOOKUP(AC543,L538:P545,4,FALSE))</f>
        <v>0</v>
      </c>
      <c r="AJ543" s="419">
        <f>IF(ISNA(MATCH(AC543,R538:R545,0)),0,VLOOKUP(AC543,R538:U545,4,FALSE))</f>
        <v>0</v>
      </c>
      <c r="AK543" s="32">
        <f t="shared" si="478"/>
        <v>0</v>
      </c>
      <c r="AL543" s="32">
        <f t="shared" si="479"/>
        <v>0</v>
      </c>
      <c r="AM543" s="32">
        <f>IF(ISNA(MATCH(AC543,L538:L545,0)),0,VLOOKUP(AC543,L538:W545,AM$1,FALSE))</f>
        <v>0</v>
      </c>
      <c r="AN543" s="146">
        <f>IF(ISNA(MATCH(AC543,R538:R545,0)),0,VLOOKUP(AC543,R538:W545,AN$1,FALSE))</f>
        <v>0</v>
      </c>
      <c r="AP543" s="927"/>
      <c r="AQ543" s="927"/>
    </row>
    <row r="544" spans="1:47" ht="15.6" x14ac:dyDescent="0.3">
      <c r="A544" s="417">
        <f t="shared" si="480"/>
        <v>487</v>
      </c>
      <c r="B544" s="362" t="str">
        <f>'Event Details'!D$28</f>
        <v>F</v>
      </c>
      <c r="C544" s="381" t="str">
        <f>'Event Details'!E$28</f>
        <v>Tamworth</v>
      </c>
      <c r="D544" s="379"/>
      <c r="E544" s="378"/>
      <c r="F544" s="363">
        <f>VLOOKUP($B537,IF($H537="F",TeamSheetFemale,TeamSheetMale),$Y544-1,FALSE)</f>
        <v>0</v>
      </c>
      <c r="G544" s="380">
        <f>VLOOKUP($B537,IF($H537="F",TeamSheetFemale,TeamSheetMale),$Y544,FALSE)</f>
        <v>0</v>
      </c>
      <c r="H544" s="363">
        <f>VLOOKUP($B537,IF($H537="F",TeamSheetFemale,TeamSheetMale),$Y544+1,FALSE)</f>
        <v>0</v>
      </c>
      <c r="I544" s="364">
        <f>VLOOKUP($B537,IF($H537="F",TeamSheetFemale,TeamSheetMale),$Y544+2,FALSE)</f>
        <v>0</v>
      </c>
      <c r="K544" s="341" t="s">
        <v>277</v>
      </c>
      <c r="L544" s="16" t="str">
        <f t="shared" si="472"/>
        <v/>
      </c>
      <c r="M544" s="931"/>
      <c r="N544" s="927"/>
      <c r="O544" s="354" t="str">
        <f>IF(LEN($M544)=1,VLOOKUP(LEFT($M544,1),B538:I545,5,FALSE),IF(LEN($M544)=2,VLOOKUP(LEFT($M544,1),B538:I545,7,FALSE),""))</f>
        <v/>
      </c>
      <c r="P544" s="410" t="str">
        <f>IF(LEN($M544)=1,VLOOKUP(LEFT($M544,1),B538:I545,6,FALSE),IF(LEN($M544)=2,VLOOKUP(LEFT($M544,1),B538:I545,8,FALSE),""))</f>
        <v/>
      </c>
      <c r="Q544" s="371" t="s">
        <v>277</v>
      </c>
      <c r="R544" s="146" t="str">
        <f t="shared" si="473"/>
        <v/>
      </c>
      <c r="S544" s="931"/>
      <c r="T544" s="927"/>
      <c r="U544" s="354" t="str">
        <f>IF(LEN($S544)=1,VLOOKUP(LEFT($S544,1),B538:I545,5,FALSE),IF(LEN($S544)=2,VLOOKUP(LEFT($S544,1),B538:I545,7,FALSE),""))</f>
        <v/>
      </c>
      <c r="V544" s="410" t="str">
        <f>IF(LEN($S544)=1,VLOOKUP(LEFT($S544,1),B538:I545,6,FALSE),IF(LEN($S544)=2,VLOOKUP(LEFT($S544,1),B538:I545,8,FALSE),""))</f>
        <v/>
      </c>
      <c r="W544" s="417">
        <f t="shared" si="481"/>
        <v>2</v>
      </c>
      <c r="Y544" s="16">
        <v>37</v>
      </c>
      <c r="Z544" s="16">
        <f t="shared" si="474"/>
        <v>0</v>
      </c>
      <c r="AA544" s="146">
        <f t="shared" si="475"/>
        <v>0</v>
      </c>
      <c r="AC544" s="16" t="str">
        <f t="shared" si="476"/>
        <v>F</v>
      </c>
      <c r="AD544" s="419" t="str">
        <f t="shared" si="477"/>
        <v>Tamworth</v>
      </c>
      <c r="AE544" s="419">
        <f>IF(ISNA(MATCH(AC544,N536:N545,0)),0,VLOOKUP(AC544,N536:S545,5,FALSE))</f>
        <v>0</v>
      </c>
      <c r="AF544" s="419" t="str">
        <f>IF(ISNA(MATCH(AC544,T536:T545,0))," ",VLOOKUP(AC544,T536:Y545,5,FALSE))</f>
        <v xml:space="preserve"> </v>
      </c>
      <c r="AG544" s="419">
        <f>IF(ISNA(MATCH(AC544,L538:L545,0)),0,VLOOKUP(AC544,L538:N545,3,FALSE))</f>
        <v>0</v>
      </c>
      <c r="AH544" s="419">
        <f>IF(ISNA(MATCH(AC544,R538:R545,0)),0,VLOOKUP(AC544,R538:T545,3,FALSE))</f>
        <v>0</v>
      </c>
      <c r="AI544" s="419">
        <f>IF(ISNA(MATCH(AC544,L538:L545,0)),0,VLOOKUP(AC544,L538:P545,4,FALSE))</f>
        <v>0</v>
      </c>
      <c r="AJ544" s="419">
        <f>IF(ISNA(MATCH(AC544,R538:R545,0)),0,VLOOKUP(AC544,R538:U545,4,FALSE))</f>
        <v>0</v>
      </c>
      <c r="AK544" s="32">
        <f t="shared" si="478"/>
        <v>0</v>
      </c>
      <c r="AL544" s="32">
        <f t="shared" si="479"/>
        <v>0</v>
      </c>
      <c r="AM544" s="32">
        <f>IF(ISNA(MATCH(AC544,L538:L545,0)),0,VLOOKUP(AC544,L538:W545,AM$1,FALSE))</f>
        <v>0</v>
      </c>
      <c r="AN544" s="146">
        <f>IF(ISNA(MATCH(AC544,R538:R545,0)),0,VLOOKUP(AC544,R538:W545,AN$1,FALSE))</f>
        <v>0</v>
      </c>
      <c r="AP544" s="931"/>
      <c r="AQ544" s="927"/>
    </row>
    <row r="545" spans="1:47" ht="16.2" thickBot="1" x14ac:dyDescent="0.35">
      <c r="A545" s="418">
        <f t="shared" si="480"/>
        <v>488</v>
      </c>
      <c r="B545" s="365" t="str">
        <f>'Event Details'!D$29</f>
        <v>Y</v>
      </c>
      <c r="C545" s="366" t="str">
        <f>'Event Details'!E$29</f>
        <v>Worcester</v>
      </c>
      <c r="D545" s="361"/>
      <c r="E545" s="370"/>
      <c r="F545" s="367">
        <f>VLOOKUP($B537,IF($H537="F",TeamSheetFemale,TeamSheetMale),$Y545-1,FALSE)</f>
        <v>0</v>
      </c>
      <c r="G545" s="368">
        <f>VLOOKUP($B537,IF($H537="F",TeamSheetFemale,TeamSheetMale),$Y545,FALSE)</f>
        <v>0</v>
      </c>
      <c r="H545" s="367">
        <f>VLOOKUP($B537,IF($H537="F",TeamSheetFemale,TeamSheetMale),$Y545+1,FALSE)</f>
        <v>0</v>
      </c>
      <c r="I545" s="369">
        <f>VLOOKUP($B537,IF($H537="F",TeamSheetFemale,TeamSheetMale),$Y545+2,FALSE)</f>
        <v>0</v>
      </c>
      <c r="K545" s="346" t="s">
        <v>278</v>
      </c>
      <c r="L545" s="25" t="str">
        <f t="shared" si="472"/>
        <v/>
      </c>
      <c r="M545" s="928"/>
      <c r="N545" s="932"/>
      <c r="O545" s="374" t="str">
        <f>IF(LEN($M545)=1,VLOOKUP(LEFT($M545,1),B538:I545,5,FALSE),IF(LEN($M545)=2,VLOOKUP(LEFT($M545,1),B538:I545,7,FALSE),""))</f>
        <v/>
      </c>
      <c r="P545" s="411" t="str">
        <f>IF(LEN($M545)=1,VLOOKUP(LEFT($M545,1),B538:I545,6,FALSE),IF(LEN($M545)=2,VLOOKUP(LEFT($M545,1),B538:I545,8,FALSE),""))</f>
        <v/>
      </c>
      <c r="Q545" s="407" t="s">
        <v>278</v>
      </c>
      <c r="R545" s="523" t="str">
        <f t="shared" si="473"/>
        <v/>
      </c>
      <c r="S545" s="928"/>
      <c r="T545" s="932"/>
      <c r="U545" s="374" t="str">
        <f>IF(LEN($S545)=1,VLOOKUP(LEFT($S545,1),B538:I545,5,FALSE),IF(LEN($S545)=2,VLOOKUP(LEFT($S545,1),B538:I545,7,FALSE),""))</f>
        <v/>
      </c>
      <c r="V545" s="411" t="str">
        <f>IF(LEN($S545)=1,VLOOKUP(LEFT($S545,1),B538:I545,6,FALSE),IF(LEN($S545)=2,VLOOKUP(LEFT($S545,1),B538:I545,8,FALSE),""))</f>
        <v/>
      </c>
      <c r="W545" s="418">
        <f t="shared" si="481"/>
        <v>1</v>
      </c>
      <c r="Y545" s="25">
        <v>42</v>
      </c>
      <c r="Z545" s="25">
        <f t="shared" si="474"/>
        <v>0</v>
      </c>
      <c r="AA545" s="523">
        <f t="shared" si="475"/>
        <v>0</v>
      </c>
      <c r="AC545" s="25" t="str">
        <f t="shared" si="476"/>
        <v>Y</v>
      </c>
      <c r="AD545" s="624" t="str">
        <f t="shared" si="477"/>
        <v>Worcester</v>
      </c>
      <c r="AE545" s="624">
        <f>IF(ISNA(MATCH(AC545,N537:N546,0)),0,VLOOKUP(AC545,N537:S546,5,FALSE))</f>
        <v>0</v>
      </c>
      <c r="AF545" s="624" t="str">
        <f t="shared" ref="AF545" si="482">IF(ISNA(MATCH(AC545,T537:T546,0))," ",VLOOKUP(AC545,T537:Y546,5,FALSE))</f>
        <v xml:space="preserve"> </v>
      </c>
      <c r="AG545" s="624">
        <f>IF(ISNA(MATCH(AC545,L538:L545,0)),0,VLOOKUP(AC545,L538:N545,3,FALSE))</f>
        <v>0</v>
      </c>
      <c r="AH545" s="624">
        <f>IF(ISNA(MATCH(AC545,R538:R545,0)),0,VLOOKUP(AC545,R538:T545,3,FALSE))</f>
        <v>0</v>
      </c>
      <c r="AI545" s="624">
        <f>IF(ISNA(MATCH(AC545,L538:L545,0)),0,VLOOKUP(AC545,L538:P545,4,FALSE))</f>
        <v>0</v>
      </c>
      <c r="AJ545" s="624">
        <f>IF(ISNA(MATCH(AC545,R538:R545,0)),0,VLOOKUP(AC545,R538:U545,4,FALSE))</f>
        <v>0</v>
      </c>
      <c r="AK545" s="116">
        <f t="shared" si="478"/>
        <v>0</v>
      </c>
      <c r="AL545" s="116">
        <f t="shared" si="479"/>
        <v>0</v>
      </c>
      <c r="AM545" s="116">
        <f>IF(ISNA(MATCH(AC545,L538:L545,0)),0,VLOOKUP(AC545,L538:W545,AM$1,FALSE))</f>
        <v>0</v>
      </c>
      <c r="AN545" s="523">
        <f>IF(ISNA(MATCH(AC545,R538:R545,0)),0,VLOOKUP(AC545,R538:W545,AN$1,FALSE))</f>
        <v>0</v>
      </c>
      <c r="AP545" s="928"/>
      <c r="AQ545" s="932"/>
    </row>
    <row r="546" spans="1:47" ht="15" thickBot="1" x14ac:dyDescent="0.35">
      <c r="M546" s="276"/>
      <c r="N546" s="307"/>
      <c r="S546" s="276"/>
      <c r="T546" s="307"/>
      <c r="AP546" s="276"/>
      <c r="AQ546" s="307"/>
    </row>
    <row r="547" spans="1:47" x14ac:dyDescent="0.3">
      <c r="B547" s="400" t="s">
        <v>258</v>
      </c>
      <c r="C547" s="398"/>
      <c r="D547" s="401" t="s">
        <v>165</v>
      </c>
      <c r="E547" s="398"/>
      <c r="F547" s="398"/>
      <c r="G547" s="402" t="s">
        <v>259</v>
      </c>
      <c r="H547" s="403" t="s">
        <v>249</v>
      </c>
      <c r="I547" s="404" t="s">
        <v>168</v>
      </c>
      <c r="K547" s="360"/>
      <c r="L547" s="661"/>
      <c r="M547" s="387" t="s">
        <v>260</v>
      </c>
      <c r="N547" s="387" t="s">
        <v>261</v>
      </c>
      <c r="O547" s="387" t="s">
        <v>262</v>
      </c>
      <c r="P547" s="388" t="s">
        <v>75</v>
      </c>
      <c r="Q547" s="389"/>
      <c r="R547" s="657"/>
      <c r="S547" s="387" t="s">
        <v>260</v>
      </c>
      <c r="T547" s="387" t="s">
        <v>261</v>
      </c>
      <c r="U547" s="387" t="s">
        <v>262</v>
      </c>
      <c r="V547" s="388" t="s">
        <v>75</v>
      </c>
      <c r="W547" s="672" t="s">
        <v>76</v>
      </c>
      <c r="Y547" s="414" t="s">
        <v>263</v>
      </c>
      <c r="Z547" s="656" t="s">
        <v>74</v>
      </c>
      <c r="AA547" s="657" t="s">
        <v>75</v>
      </c>
      <c r="AC547" s="665" t="s">
        <v>71</v>
      </c>
      <c r="AD547" s="657" t="s">
        <v>86</v>
      </c>
      <c r="AE547" s="661" t="s">
        <v>149</v>
      </c>
      <c r="AF547" s="661" t="s">
        <v>94</v>
      </c>
      <c r="AG547" s="661" t="s">
        <v>149</v>
      </c>
      <c r="AH547" s="661" t="s">
        <v>94</v>
      </c>
      <c r="AI547" s="661" t="s">
        <v>149</v>
      </c>
      <c r="AJ547" s="661" t="s">
        <v>94</v>
      </c>
      <c r="AK547" s="1332" t="s">
        <v>149</v>
      </c>
      <c r="AL547" s="661" t="s">
        <v>94</v>
      </c>
      <c r="AM547" s="1406" t="s">
        <v>76</v>
      </c>
      <c r="AN547" s="1407"/>
      <c r="AP547" s="387" t="s">
        <v>260</v>
      </c>
      <c r="AQ547" s="387" t="s">
        <v>261</v>
      </c>
      <c r="AS547" s="1218" t="s">
        <v>165</v>
      </c>
      <c r="AT547" s="1219" t="s">
        <v>79</v>
      </c>
      <c r="AU547" s="1220" t="s">
        <v>80</v>
      </c>
    </row>
    <row r="548" spans="1:47" ht="15" thickBot="1" x14ac:dyDescent="0.35">
      <c r="B548" s="405">
        <v>49</v>
      </c>
      <c r="C548" s="399"/>
      <c r="D548" s="385" t="str">
        <f>VLOOKUP($B548,EventOrder,6,FALSE)</f>
        <v>Javelin Match 1 &amp; 3</v>
      </c>
      <c r="E548" s="399"/>
      <c r="F548" s="385"/>
      <c r="G548" s="386" t="str">
        <f>VLOOKUP($B548,EventOrder,4,FALSE)</f>
        <v>U16 Female</v>
      </c>
      <c r="H548" s="396" t="str">
        <f>IF(MID(G548,5,1)="F","F","M")</f>
        <v>F</v>
      </c>
      <c r="I548" s="397">
        <f>VLOOKUP($B548,EventOrder,2,FALSE)</f>
        <v>2.4</v>
      </c>
      <c r="K548" s="377"/>
      <c r="L548" s="667" t="s">
        <v>149</v>
      </c>
      <c r="M548" s="409" t="s">
        <v>264</v>
      </c>
      <c r="N548" s="409" t="s">
        <v>265</v>
      </c>
      <c r="O548" s="390" t="s">
        <v>266</v>
      </c>
      <c r="P548" s="391"/>
      <c r="Q548" s="392"/>
      <c r="R548" s="659" t="s">
        <v>94</v>
      </c>
      <c r="S548" s="409" t="s">
        <v>264</v>
      </c>
      <c r="T548" s="409" t="s">
        <v>265</v>
      </c>
      <c r="U548" s="390" t="s">
        <v>266</v>
      </c>
      <c r="V548" s="391"/>
      <c r="W548" s="671"/>
      <c r="Y548" s="415" t="s">
        <v>167</v>
      </c>
      <c r="Z548" s="658" t="s">
        <v>149</v>
      </c>
      <c r="AA548" s="659" t="s">
        <v>94</v>
      </c>
      <c r="AC548" s="666"/>
      <c r="AD548" s="668"/>
      <c r="AE548" s="768" t="s">
        <v>75</v>
      </c>
      <c r="AF548" s="768" t="s">
        <v>75</v>
      </c>
      <c r="AG548" s="768" t="s">
        <v>267</v>
      </c>
      <c r="AH548" s="768" t="s">
        <v>267</v>
      </c>
      <c r="AI548" s="768" t="s">
        <v>268</v>
      </c>
      <c r="AJ548" s="768" t="s">
        <v>268</v>
      </c>
      <c r="AK548" s="770" t="s">
        <v>269</v>
      </c>
      <c r="AL548" s="768" t="s">
        <v>269</v>
      </c>
      <c r="AM548" s="667" t="s">
        <v>149</v>
      </c>
      <c r="AN548" s="659" t="s">
        <v>94</v>
      </c>
      <c r="AP548" s="409" t="s">
        <v>264</v>
      </c>
      <c r="AQ548" s="409" t="s">
        <v>265</v>
      </c>
      <c r="AS548" s="1221" t="s">
        <v>270</v>
      </c>
      <c r="AT548" s="1222" t="s">
        <v>270</v>
      </c>
      <c r="AU548" s="1223" t="s">
        <v>270</v>
      </c>
    </row>
    <row r="549" spans="1:47" ht="15.6" x14ac:dyDescent="0.3">
      <c r="A549" s="416">
        <f>(B548*10)+1</f>
        <v>491</v>
      </c>
      <c r="B549" s="362" t="str">
        <f>'Event Details'!D$22</f>
        <v>S</v>
      </c>
      <c r="C549" s="381" t="str">
        <f>'Event Details'!E$22</f>
        <v>BRAT</v>
      </c>
      <c r="D549" s="379"/>
      <c r="E549" s="378"/>
      <c r="F549" s="363" t="str">
        <f>VLOOKUP($B548,IF($H548="F",TeamSheetFemale,TeamSheetMale),$Y549-1,FALSE)</f>
        <v>S</v>
      </c>
      <c r="G549" s="380" t="str">
        <f>VLOOKUP($B548,IF($H548="F",TeamSheetFemale,TeamSheetMale),$Y549,FALSE)</f>
        <v>Palia-Elsie Kalala</v>
      </c>
      <c r="H549" s="363" t="str">
        <f>VLOOKUP($B548,IF($H548="F",TeamSheetFemale,TeamSheetMale),$Y549+1,FALSE)</f>
        <v>SS</v>
      </c>
      <c r="I549" s="364" t="str">
        <f>VLOOKUP($B548,IF($H548="F",TeamSheetFemale,TeamSheetMale),$Y549+2,FALSE)</f>
        <v>Amber Stevens</v>
      </c>
      <c r="K549" s="393" t="s">
        <v>271</v>
      </c>
      <c r="L549" s="16" t="str">
        <f t="shared" ref="L549:L556" si="483">LEFT(M549,1)</f>
        <v>U</v>
      </c>
      <c r="M549" s="926" t="s">
        <v>130</v>
      </c>
      <c r="N549" s="926">
        <v>30.1</v>
      </c>
      <c r="O549" s="394" t="str">
        <f>IF(LEN($M549)=1,VLOOKUP(LEFT($M549,1),B549:I556,5,FALSE),IF(LEN($M549)=2,VLOOKUP(LEFT($M549,1),B549:I556,7,FALSE),""))</f>
        <v>U</v>
      </c>
      <c r="P549" s="395" t="str">
        <f>IF(LEN($M549)=1,VLOOKUP(LEFT($M549,1),B549:I556,6,FALSE),IF(LEN($M549)=2,VLOOKUP(LEFT($M549,1),B549:I556,8,FALSE),""))</f>
        <v>Sophia Llewellyn</v>
      </c>
      <c r="Q549" s="393" t="s">
        <v>271</v>
      </c>
      <c r="R549" s="146" t="str">
        <f t="shared" ref="R549:R556" si="484">LEFT(S549,1)</f>
        <v>G</v>
      </c>
      <c r="S549" s="926" t="s">
        <v>820</v>
      </c>
      <c r="T549" s="926">
        <v>17.7</v>
      </c>
      <c r="U549" s="394" t="str">
        <f>IF(LEN($S549)=1,VLOOKUP(LEFT($S549,1),B549:I556,5,FALSE),IF(LEN($S549)=2,VLOOKUP(LEFT($S549,1),B549:I556,7,FALSE),""))</f>
        <v>GG</v>
      </c>
      <c r="V549" s="395" t="str">
        <f>IF(LEN($S549)=1,VLOOKUP(LEFT($S549,1),B549:I556,6,FALSE),IF(LEN($S549)=2,VLOOKUP(LEFT($S549,1),B549:I556,8,FALSE),""))</f>
        <v>Gracie Young</v>
      </c>
      <c r="W549" s="417">
        <f>AN$6</f>
        <v>8</v>
      </c>
      <c r="Y549" s="416">
        <v>7</v>
      </c>
      <c r="Z549" s="653" t="str">
        <f t="shared" ref="Z549:Z556" si="485">IF(LEN(M549)&gt;0,VLOOKUP(LEFT(M549,1),ShortName,5,FALSE),0)</f>
        <v>K&amp;S</v>
      </c>
      <c r="AA549" s="138" t="str">
        <f t="shared" ref="AA549:AA556" si="486">IF(LEN(S549)&gt;0,VLOOKUP(LEFT(S549,1),ShortName,5,FALSE),0)</f>
        <v>Royal</v>
      </c>
      <c r="AC549" s="16" t="str">
        <f t="shared" ref="AC549:AC556" si="487">B549</f>
        <v>S</v>
      </c>
      <c r="AD549" s="419" t="str">
        <f t="shared" ref="AD549:AD556" si="488">C549</f>
        <v>BRAT</v>
      </c>
      <c r="AE549" s="635">
        <f>IF(ISNA(MATCH(AC549,N549:N559,0)),0,VLOOKUP(AC549,N549:S559,5,FALSE))</f>
        <v>0</v>
      </c>
      <c r="AF549" s="635" t="str">
        <f>IF(ISNA(MATCH(AC549,T549:T559,0))," ",VLOOKUP(AC549,T549:Y559,5,FALSE))</f>
        <v xml:space="preserve"> </v>
      </c>
      <c r="AG549" s="635">
        <f>IF(ISNA(MATCH(AC549,L549:L556,0)),0,VLOOKUP(AC549,L549:N556,3,FALSE))</f>
        <v>18.149999999999999</v>
      </c>
      <c r="AH549" s="635">
        <f>IF(ISNA(MATCH(AC549,R549:R556,0)),0,VLOOKUP(AC549,R549:T556,3,FALSE))</f>
        <v>15.45</v>
      </c>
      <c r="AI549" s="635" t="str">
        <f>IF(ISNA(MATCH(AC549,L549:L556,0)),0,VLOOKUP(AC549,L549:P556,4,FALSE))</f>
        <v>SS</v>
      </c>
      <c r="AJ549" s="635" t="str">
        <f>IF(ISNA(MATCH(AC549,R549:R556,0)),0,VLOOKUP(AC549,R549:U556,4,FALSE))</f>
        <v>S</v>
      </c>
      <c r="AK549" s="49">
        <f t="shared" ref="AK549:AK556" si="489">IF(AM549=0,0,AN$6-(AM549-1))</f>
        <v>6</v>
      </c>
      <c r="AL549" s="49">
        <f t="shared" ref="AL549:AL556" si="490">IF(AN549=0,0,AN$6-(AN549-1))</f>
        <v>3</v>
      </c>
      <c r="AM549" s="49">
        <f>IF(ISNA(MATCH(AC549,L549:L556,0)),0,VLOOKUP(AC549,L549:W556,AM$1,FALSE))</f>
        <v>3</v>
      </c>
      <c r="AN549" s="138">
        <f>IF(ISNA(MATCH(AC549,R549:R556,0)),0,VLOOKUP(AC549,R549:W556,AN$1,FALSE))</f>
        <v>6</v>
      </c>
      <c r="AP549" s="926"/>
      <c r="AQ549" s="926"/>
      <c r="AS549" s="32">
        <f>IF(LEN(N549)&gt;0,1,0)</f>
        <v>1</v>
      </c>
      <c r="AT549" s="32">
        <f>IF(AND(AS549=1,H548="M"),1,0)</f>
        <v>0</v>
      </c>
      <c r="AU549" s="32">
        <f>IF(AND(AS549=1,H548="F"),1,0)</f>
        <v>1</v>
      </c>
    </row>
    <row r="550" spans="1:47" ht="15.6" x14ac:dyDescent="0.3">
      <c r="A550" s="417">
        <f>A549+1</f>
        <v>492</v>
      </c>
      <c r="B550" s="362" t="str">
        <f>'Event Details'!D$23</f>
        <v>U</v>
      </c>
      <c r="C550" s="381" t="str">
        <f>'Event Details'!E$23</f>
        <v>Kidder &amp; Stourport</v>
      </c>
      <c r="D550" s="379"/>
      <c r="E550" s="378"/>
      <c r="F550" s="363" t="str">
        <f>VLOOKUP($B548,IF($H548="F",TeamSheetFemale,TeamSheetMale),$Y550-1,FALSE)</f>
        <v>U</v>
      </c>
      <c r="G550" s="380" t="str">
        <f>VLOOKUP($B548,IF($H548="F",TeamSheetFemale,TeamSheetMale),$Y550,FALSE)</f>
        <v>Sophia Llewellyn</v>
      </c>
      <c r="H550" s="363" t="str">
        <f>VLOOKUP($B548,IF($H548="F",TeamSheetFemale,TeamSheetMale),$Y550+1,FALSE)</f>
        <v>UU</v>
      </c>
      <c r="I550" s="364" t="str">
        <f>VLOOKUP($B548,IF($H548="F",TeamSheetFemale,TeamSheetMale),$Y550+2,FALSE)</f>
        <v>Georgia Kiernan</v>
      </c>
      <c r="K550" s="341" t="s">
        <v>272</v>
      </c>
      <c r="L550" s="16" t="str">
        <f t="shared" si="483"/>
        <v>M</v>
      </c>
      <c r="M550" s="927" t="s">
        <v>127</v>
      </c>
      <c r="N550" s="927">
        <v>23.82</v>
      </c>
      <c r="O550" s="353" t="str">
        <f>IF(LEN($M550)=1,VLOOKUP(LEFT($M550,1),B549:I556,5,FALSE),IF(LEN($M550)=2,VLOOKUP(LEFT($M550,1),B549:I556,7,FALSE),""))</f>
        <v>M</v>
      </c>
      <c r="P550" s="373" t="str">
        <f>IF(LEN($M550)=1,VLOOKUP(LEFT($M550,1),B549:I556,6,FALSE),IF(LEN($M550)=2,VLOOKUP(LEFT($M550,1),B549:I556,8,FALSE),""))</f>
        <v>Alexa Richards</v>
      </c>
      <c r="Q550" s="341" t="s">
        <v>272</v>
      </c>
      <c r="R550" s="146" t="str">
        <f t="shared" si="484"/>
        <v>F</v>
      </c>
      <c r="S550" s="927" t="s">
        <v>576</v>
      </c>
      <c r="T550" s="927">
        <v>16.84</v>
      </c>
      <c r="U550" s="353" t="str">
        <f>IF(LEN($S550)=1,VLOOKUP(LEFT($S550,1),B549:I556,5,FALSE),IF(LEN($S550)=2,VLOOKUP(LEFT($S550,1),B549:I556,7,FALSE),""))</f>
        <v>FF</v>
      </c>
      <c r="V550" s="373" t="str">
        <f>IF(LEN($S550)=1,VLOOKUP(LEFT($S550,1),B549:I556,6,FALSE),IF(LEN($S550)=2,VLOOKUP(LEFT($S550,1),B549:I556,8,FALSE),""))</f>
        <v>Holly Hancock</v>
      </c>
      <c r="W550" s="417">
        <f>W549-1</f>
        <v>7</v>
      </c>
      <c r="Y550" s="417">
        <v>12</v>
      </c>
      <c r="Z550" s="16" t="str">
        <f t="shared" si="485"/>
        <v>Sol</v>
      </c>
      <c r="AA550" s="146" t="str">
        <f t="shared" si="486"/>
        <v>Tam</v>
      </c>
      <c r="AC550" s="16" t="str">
        <f t="shared" si="487"/>
        <v>U</v>
      </c>
      <c r="AD550" s="419" t="str">
        <f t="shared" si="488"/>
        <v>Kidder &amp; Stourport</v>
      </c>
      <c r="AE550" s="419">
        <f>IF(ISNA(MATCH(AC550,N549:N559,0)),0,VLOOKUP(AC550,N549:S559,5,FALSE))</f>
        <v>0</v>
      </c>
      <c r="AF550" s="419" t="str">
        <f>IF(ISNA(MATCH(AC550,T549:T559,0))," ",VLOOKUP(AC550,T549:Y559,5,FALSE))</f>
        <v xml:space="preserve"> </v>
      </c>
      <c r="AG550" s="419">
        <f>IF(ISNA(MATCH(AC550,L549:L556,0)),0,VLOOKUP(AC550,L549:N556,3,FALSE))</f>
        <v>30.1</v>
      </c>
      <c r="AH550" s="419">
        <f>IF(ISNA(MATCH(AC550,R549:R556,0)),0,VLOOKUP(AC550,R549:T556,3,FALSE))</f>
        <v>12.77</v>
      </c>
      <c r="AI550" s="419" t="str">
        <f>IF(ISNA(MATCH(AC550,L549:L556,0)),0,VLOOKUP(AC550,L549:P556,4,FALSE))</f>
        <v>U</v>
      </c>
      <c r="AJ550" s="419" t="str">
        <f>IF(ISNA(MATCH(AC550,R549:R556,0)),0,VLOOKUP(AC550,R549:U556,4,FALSE))</f>
        <v>UU</v>
      </c>
      <c r="AK550" s="32">
        <f t="shared" si="489"/>
        <v>1</v>
      </c>
      <c r="AL550" s="32">
        <f t="shared" si="490"/>
        <v>5</v>
      </c>
      <c r="AM550" s="32">
        <f>IF(ISNA(MATCH(AC550,L549:L556,0)),0,VLOOKUP(AC550,L549:W556,AM$1,FALSE))</f>
        <v>8</v>
      </c>
      <c r="AN550" s="146">
        <f>IF(ISNA(MATCH(AC550,R549:R556,0)),0,VLOOKUP(AC550,R549:W556,AN$1,FALSE))</f>
        <v>4</v>
      </c>
      <c r="AP550" s="927"/>
      <c r="AQ550" s="927"/>
    </row>
    <row r="551" spans="1:47" ht="15.6" x14ac:dyDescent="0.3">
      <c r="A551" s="417">
        <f t="shared" ref="A551:A556" si="491">A550+1</f>
        <v>493</v>
      </c>
      <c r="B551" s="362" t="str">
        <f>'Event Details'!D$24</f>
        <v>G</v>
      </c>
      <c r="C551" s="381" t="str">
        <f>'Event Details'!E$24</f>
        <v>Royal Sutton</v>
      </c>
      <c r="D551" s="379"/>
      <c r="E551" s="378"/>
      <c r="F551" s="363" t="str">
        <f>VLOOKUP($B548,IF($H548="F",TeamSheetFemale,TeamSheetMale),$Y551-1,FALSE)</f>
        <v>G</v>
      </c>
      <c r="G551" s="380" t="str">
        <f>VLOOKUP($B548,IF($H548="F",TeamSheetFemale,TeamSheetMale),$Y551,FALSE)</f>
        <v>Lucy Denver</v>
      </c>
      <c r="H551" s="363" t="str">
        <f>VLOOKUP($B548,IF($H548="F",TeamSheetFemale,TeamSheetMale),$Y551+1,FALSE)</f>
        <v>GG</v>
      </c>
      <c r="I551" s="364" t="str">
        <f>VLOOKUP($B548,IF($H548="F",TeamSheetFemale,TeamSheetMale),$Y551+2,FALSE)</f>
        <v>Gracie Young</v>
      </c>
      <c r="K551" s="341" t="s">
        <v>273</v>
      </c>
      <c r="L551" s="16" t="str">
        <f t="shared" si="483"/>
        <v>F</v>
      </c>
      <c r="M551" s="927" t="s">
        <v>142</v>
      </c>
      <c r="N551" s="927">
        <v>23.01</v>
      </c>
      <c r="O551" s="353" t="str">
        <f>IF(LEN($M551)=1,VLOOKUP(LEFT($M551,1),B549:I556,5,FALSE),IF(LEN($M551)=2,VLOOKUP(LEFT($M551,1),B549:I556,7,FALSE),""))</f>
        <v>F</v>
      </c>
      <c r="P551" s="373" t="str">
        <f>IF(LEN($M551)=1,VLOOKUP(LEFT($M551,1),B549:I556,6,FALSE),IF(LEN($M551)=2,VLOOKUP(LEFT($M551,1),B549:I556,8,FALSE),""))</f>
        <v>Rosa Farmer</v>
      </c>
      <c r="Q551" s="341" t="s">
        <v>273</v>
      </c>
      <c r="R551" s="146" t="str">
        <f t="shared" si="484"/>
        <v>S</v>
      </c>
      <c r="S551" s="927" t="s">
        <v>100</v>
      </c>
      <c r="T551" s="927">
        <v>15.45</v>
      </c>
      <c r="U551" s="353" t="str">
        <f>IF(LEN($S551)=1,VLOOKUP(LEFT($S551,1),B549:I556,5,FALSE),IF(LEN($S551)=2,VLOOKUP(LEFT($S551,1),B549:I556,7,FALSE),""))</f>
        <v>S</v>
      </c>
      <c r="V551" s="373" t="str">
        <f>IF(LEN($S551)=1,VLOOKUP(LEFT($S551,1),B549:I556,6,FALSE),IF(LEN($S551)=2,VLOOKUP(LEFT($S551,1),B549:I556,8,FALSE),""))</f>
        <v>Palia-Elsie Kalala</v>
      </c>
      <c r="W551" s="417">
        <f t="shared" ref="W551:W556" si="492">W550-1</f>
        <v>6</v>
      </c>
      <c r="Y551" s="417">
        <v>17</v>
      </c>
      <c r="Z551" s="16" t="str">
        <f t="shared" si="485"/>
        <v>Tam</v>
      </c>
      <c r="AA551" s="146" t="str">
        <f t="shared" si="486"/>
        <v>BRAT</v>
      </c>
      <c r="AB551" s="32"/>
      <c r="AC551" s="16" t="str">
        <f t="shared" si="487"/>
        <v>G</v>
      </c>
      <c r="AD551" s="419" t="str">
        <f t="shared" si="488"/>
        <v>Royal Sutton</v>
      </c>
      <c r="AE551" s="419">
        <f>IF(ISNA(MATCH(AC551,N549:N559,0)),0,VLOOKUP(AC551,N549:S559,5,FALSE))</f>
        <v>0</v>
      </c>
      <c r="AF551" s="419" t="str">
        <f>IF(ISNA(MATCH(AC551,T549:T559,0))," ",VLOOKUP(AC551,T549:Y559,5,FALSE))</f>
        <v xml:space="preserve"> </v>
      </c>
      <c r="AG551" s="419">
        <f>IF(ISNA(MATCH(AC551,L549:L556,0)),0,VLOOKUP(AC551,L549:N556,3,FALSE))</f>
        <v>21.49</v>
      </c>
      <c r="AH551" s="419">
        <f>IF(ISNA(MATCH(AC551,R549:R556,0)),0,VLOOKUP(AC551,R549:T556,3,FALSE))</f>
        <v>17.7</v>
      </c>
      <c r="AI551" s="419" t="str">
        <f>IF(ISNA(MATCH(AC551,L549:L556,0)),0,VLOOKUP(AC551,L549:P556,4,FALSE))</f>
        <v>G</v>
      </c>
      <c r="AJ551" s="419" t="str">
        <f>IF(ISNA(MATCH(AC551,R549:R556,0)),0,VLOOKUP(AC551,R549:U556,4,FALSE))</f>
        <v>GG</v>
      </c>
      <c r="AK551" s="32">
        <f t="shared" si="489"/>
        <v>5</v>
      </c>
      <c r="AL551" s="32">
        <f t="shared" si="490"/>
        <v>1</v>
      </c>
      <c r="AM551" s="32">
        <f>IF(ISNA(MATCH(AC551,L549:L556,0)),0,VLOOKUP(AC551,L549:W556,AM$1,FALSE))</f>
        <v>4</v>
      </c>
      <c r="AN551" s="146">
        <f>IF(ISNA(MATCH(AC551,R549:R556,0)),0,VLOOKUP(AC551,R549:W556,AN$1,FALSE))</f>
        <v>8</v>
      </c>
      <c r="AP551" s="927"/>
      <c r="AQ551" s="927"/>
    </row>
    <row r="552" spans="1:47" ht="15.6" x14ac:dyDescent="0.3">
      <c r="A552" s="417">
        <f t="shared" si="491"/>
        <v>494</v>
      </c>
      <c r="B552" s="362" t="str">
        <f>'Event Details'!D$25</f>
        <v>R</v>
      </c>
      <c r="C552" s="381" t="str">
        <f>'Event Details'!E$25</f>
        <v>Rugby &amp; N'hampton</v>
      </c>
      <c r="D552" s="379"/>
      <c r="E552" s="378"/>
      <c r="F552" s="363" t="str">
        <f>VLOOKUP($B548,IF($H548="F",TeamSheetFemale,TeamSheetMale),$Y552-1,FALSE)</f>
        <v>R</v>
      </c>
      <c r="G552" s="380" t="str">
        <f>VLOOKUP($B548,IF($H548="F",TeamSheetFemale,TeamSheetMale),$Y552,FALSE)</f>
        <v>Chloe Pratt-Massey</v>
      </c>
      <c r="H552" s="363" t="str">
        <f>VLOOKUP($B548,IF($H548="F",TeamSheetFemale,TeamSheetMale),$Y552+1,FALSE)</f>
        <v>RR</v>
      </c>
      <c r="I552" s="364" t="str">
        <f>VLOOKUP($B548,IF($H548="F",TeamSheetFemale,TeamSheetMale),$Y552+2,FALSE)</f>
        <v>Martha Lee</v>
      </c>
      <c r="K552" s="341" t="s">
        <v>274</v>
      </c>
      <c r="L552" s="16" t="str">
        <f t="shared" si="483"/>
        <v>R</v>
      </c>
      <c r="M552" s="927" t="s">
        <v>118</v>
      </c>
      <c r="N552" s="927">
        <v>21.86</v>
      </c>
      <c r="O552" s="353" t="str">
        <f>IF(LEN($M552)=1,VLOOKUP(LEFT($M552,1),B549:I556,5,FALSE),IF(LEN($M552)=2,VLOOKUP(LEFT($M552,1),B549:I556,7,FALSE),""))</f>
        <v>R</v>
      </c>
      <c r="P552" s="373" t="str">
        <f>IF(LEN($M552)=1,VLOOKUP(LEFT($M552,1),B549:I556,6,FALSE),IF(LEN($M552)=2,VLOOKUP(LEFT($M552,1),B549:I556,8,FALSE),""))</f>
        <v>Chloe Pratt-Massey</v>
      </c>
      <c r="Q552" s="341" t="s">
        <v>274</v>
      </c>
      <c r="R552" s="146" t="str">
        <f t="shared" si="484"/>
        <v>D</v>
      </c>
      <c r="S552" s="927" t="s">
        <v>136</v>
      </c>
      <c r="T552" s="927">
        <v>13.35</v>
      </c>
      <c r="U552" s="353" t="str">
        <f>IF(LEN($S552)=1,VLOOKUP(LEFT($S552,1),B549:I556,5,FALSE),IF(LEN($S552)=2,VLOOKUP(LEFT($S552,1),B549:I556,7,FALSE),""))</f>
        <v>D</v>
      </c>
      <c r="V552" s="373" t="str">
        <f>IF(LEN($S552)=1,VLOOKUP(LEFT($S552,1),B549:I556,6,FALSE),IF(LEN($S552)=2,VLOOKUP(LEFT($S552,1),B549:I556,8,FALSE),""))</f>
        <v>Lolita Newby Vincent</v>
      </c>
      <c r="W552" s="417">
        <f t="shared" si="492"/>
        <v>5</v>
      </c>
      <c r="Y552" s="417">
        <v>22</v>
      </c>
      <c r="Z552" s="16" t="str">
        <f t="shared" si="485"/>
        <v>Rugby</v>
      </c>
      <c r="AA552" s="146" t="str">
        <f t="shared" si="486"/>
        <v>Strat</v>
      </c>
      <c r="AB552" s="32"/>
      <c r="AC552" s="16" t="str">
        <f t="shared" si="487"/>
        <v>R</v>
      </c>
      <c r="AD552" s="419" t="str">
        <f t="shared" si="488"/>
        <v>Rugby &amp; N'hampton</v>
      </c>
      <c r="AE552" s="419">
        <f>IF(ISNA(MATCH(AC552,N549:N559,0)),0,VLOOKUP(AC552,N549:S559,5,FALSE))</f>
        <v>0</v>
      </c>
      <c r="AF552" s="419" t="str">
        <f>IF(ISNA(MATCH(AC552,T549:T559,0))," ",VLOOKUP(AC552,T549:Y559,5,FALSE))</f>
        <v xml:space="preserve"> </v>
      </c>
      <c r="AG552" s="419">
        <f>IF(ISNA(MATCH(AC552,L549:L556,0)),0,VLOOKUP(AC552,L549:N556,3,FALSE))</f>
        <v>21.86</v>
      </c>
      <c r="AH552" s="419">
        <f>IF(ISNA(MATCH(AC552,R549:R556,0)),0,VLOOKUP(AC552,R549:T556,3,FALSE))</f>
        <v>0</v>
      </c>
      <c r="AI552" s="419" t="str">
        <f>IF(ISNA(MATCH(AC552,L549:L556,0)),0,VLOOKUP(AC552,L549:P556,4,FALSE))</f>
        <v>R</v>
      </c>
      <c r="AJ552" s="419">
        <f>IF(ISNA(MATCH(AC552,R549:R556,0)),0,VLOOKUP(AC552,R549:U556,4,FALSE))</f>
        <v>0</v>
      </c>
      <c r="AK552" s="32">
        <f t="shared" si="489"/>
        <v>4</v>
      </c>
      <c r="AL552" s="32">
        <f t="shared" si="490"/>
        <v>0</v>
      </c>
      <c r="AM552" s="32">
        <f>IF(ISNA(MATCH(AC552,L549:L556,0)),0,VLOOKUP(AC552,L549:W556,AM$1,FALSE))</f>
        <v>5</v>
      </c>
      <c r="AN552" s="146">
        <f>IF(ISNA(MATCH(AC552,R549:R556,0)),0,VLOOKUP(AC552,R549:W556,AN$1,FALSE))</f>
        <v>0</v>
      </c>
      <c r="AP552" s="927"/>
      <c r="AQ552" s="927"/>
    </row>
    <row r="553" spans="1:47" ht="15.6" x14ac:dyDescent="0.3">
      <c r="A553" s="417">
        <f t="shared" si="491"/>
        <v>495</v>
      </c>
      <c r="B553" s="362" t="str">
        <f>'Event Details'!D$26</f>
        <v>M</v>
      </c>
      <c r="C553" s="381" t="str">
        <f>'Event Details'!E$26</f>
        <v>Solihull &amp; S.Heath</v>
      </c>
      <c r="D553" s="379"/>
      <c r="E553" s="378"/>
      <c r="F553" s="363" t="str">
        <f>VLOOKUP($B548,IF($H548="F",TeamSheetFemale,TeamSheetMale),$Y553-1,FALSE)</f>
        <v>M</v>
      </c>
      <c r="G553" s="380" t="str">
        <f>VLOOKUP($B548,IF($H548="F",TeamSheetFemale,TeamSheetMale),$Y553,FALSE)</f>
        <v>Alexa Richards</v>
      </c>
      <c r="H553" s="363" t="str">
        <f>VLOOKUP($B548,IF($H548="F",TeamSheetFemale,TeamSheetMale),$Y553+1,FALSE)</f>
        <v>MM</v>
      </c>
      <c r="I553" s="364" t="str">
        <f>VLOOKUP($B548,IF($H548="F",TeamSheetFemale,TeamSheetMale),$Y553+2,FALSE)</f>
        <v>Isla Gerry</v>
      </c>
      <c r="K553" s="341" t="s">
        <v>275</v>
      </c>
      <c r="L553" s="16" t="str">
        <f t="shared" si="483"/>
        <v>G</v>
      </c>
      <c r="M553" s="927" t="s">
        <v>110</v>
      </c>
      <c r="N553" s="927">
        <v>21.49</v>
      </c>
      <c r="O553" s="353" t="str">
        <f>IF(LEN($M553)=1,VLOOKUP(LEFT($M553,1),B549:I556,5,FALSE),IF(LEN($M553)=2,VLOOKUP(LEFT($M553,1),B549:I556,7,FALSE),""))</f>
        <v>G</v>
      </c>
      <c r="P553" s="373" t="str">
        <f>IF(LEN($M553)=1,VLOOKUP(LEFT($M553,1),B549:I556,6,FALSE),IF(LEN($M553)=2,VLOOKUP(LEFT($M553,1),B549:I556,8,FALSE),""))</f>
        <v>Lucy Denver</v>
      </c>
      <c r="Q553" s="341" t="s">
        <v>275</v>
      </c>
      <c r="R553" s="146" t="str">
        <f t="shared" si="484"/>
        <v>U</v>
      </c>
      <c r="S553" s="927" t="s">
        <v>726</v>
      </c>
      <c r="T553" s="927">
        <v>12.77</v>
      </c>
      <c r="U553" s="353" t="str">
        <f>IF(LEN($S553)=1,VLOOKUP(LEFT($S553,1),B549:I556,5,FALSE),IF(LEN($S553)=2,VLOOKUP(LEFT($S553,1),B549:I556,7,FALSE),""))</f>
        <v>UU</v>
      </c>
      <c r="V553" s="373" t="str">
        <f>IF(LEN($S553)=1,VLOOKUP(LEFT($S553,1),B549:I556,6,FALSE),IF(LEN($S553)=2,VLOOKUP(LEFT($S553,1),B549:I556,8,FALSE),""))</f>
        <v>Georgia Kiernan</v>
      </c>
      <c r="W553" s="417">
        <f t="shared" si="492"/>
        <v>4</v>
      </c>
      <c r="Y553" s="417">
        <v>27</v>
      </c>
      <c r="Z553" s="16" t="str">
        <f t="shared" si="485"/>
        <v>Royal</v>
      </c>
      <c r="AA553" s="146" t="str">
        <f t="shared" si="486"/>
        <v>K&amp;S</v>
      </c>
      <c r="AB553" s="32"/>
      <c r="AC553" s="16" t="str">
        <f t="shared" si="487"/>
        <v>M</v>
      </c>
      <c r="AD553" s="419" t="str">
        <f t="shared" si="488"/>
        <v>Solihull &amp; S.Heath</v>
      </c>
      <c r="AE553" s="419">
        <f>IF(ISNA(MATCH(AC553,N549:N559,0)),0,VLOOKUP(AC553,N549:S559,5,FALSE))</f>
        <v>0</v>
      </c>
      <c r="AF553" s="419" t="str">
        <f>IF(ISNA(MATCH(AC553,T549:T559,0))," ",VLOOKUP(AC553,T549:Y559,5,FALSE))</f>
        <v xml:space="preserve"> </v>
      </c>
      <c r="AG553" s="419">
        <f>IF(ISNA(MATCH(AC553,L549:L556,0)),0,VLOOKUP(AC553,L549:N556,3,FALSE))</f>
        <v>23.82</v>
      </c>
      <c r="AH553" s="419">
        <f>IF(ISNA(MATCH(AC553,R549:R556,0)),0,VLOOKUP(AC553,R549:T556,3,FALSE))</f>
        <v>11.48</v>
      </c>
      <c r="AI553" s="419" t="str">
        <f>IF(ISNA(MATCH(AC553,L549:L556,0)),0,VLOOKUP(AC553,L549:P556,4,FALSE))</f>
        <v>M</v>
      </c>
      <c r="AJ553" s="419" t="str">
        <f>IF(ISNA(MATCH(AC553,R549:R556,0)),0,VLOOKUP(AC553,R549:U556,4,FALSE))</f>
        <v>MM</v>
      </c>
      <c r="AK553" s="32">
        <f t="shared" si="489"/>
        <v>2</v>
      </c>
      <c r="AL553" s="32">
        <f t="shared" si="490"/>
        <v>6</v>
      </c>
      <c r="AM553" s="32">
        <f>IF(ISNA(MATCH(AC553,L549:L556,0)),0,VLOOKUP(AC553,L549:W556,AM$1,FALSE))</f>
        <v>7</v>
      </c>
      <c r="AN553" s="146">
        <f>IF(ISNA(MATCH(AC553,R549:R556,0)),0,VLOOKUP(AC553,R549:W556,AN$1,FALSE))</f>
        <v>3</v>
      </c>
      <c r="AP553" s="927"/>
      <c r="AQ553" s="927"/>
    </row>
    <row r="554" spans="1:47" ht="15.6" x14ac:dyDescent="0.3">
      <c r="A554" s="417">
        <f t="shared" si="491"/>
        <v>496</v>
      </c>
      <c r="B554" s="362" t="str">
        <f>'Event Details'!D$27</f>
        <v>D</v>
      </c>
      <c r="C554" s="381" t="str">
        <f>'Event Details'!E$27</f>
        <v>Stratford</v>
      </c>
      <c r="D554" s="379"/>
      <c r="E554" s="378"/>
      <c r="F554" s="363" t="str">
        <f>VLOOKUP($B548,IF($H548="F",TeamSheetFemale,TeamSheetMale),$Y554-1,FALSE)</f>
        <v>D</v>
      </c>
      <c r="G554" s="380" t="str">
        <f>VLOOKUP($B548,IF($H548="F",TeamSheetFemale,TeamSheetMale),$Y554,FALSE)</f>
        <v>Lolita Newby Vincent</v>
      </c>
      <c r="H554" s="363" t="str">
        <f>VLOOKUP($B548,IF($H548="F",TeamSheetFemale,TeamSheetMale),$Y554+1,FALSE)</f>
        <v>DD</v>
      </c>
      <c r="I554" s="364" t="str">
        <f>VLOOKUP($B548,IF($H548="F",TeamSheetFemale,TeamSheetMale),$Y554+2,FALSE)</f>
        <v>Isabella Marriot</v>
      </c>
      <c r="K554" s="341" t="s">
        <v>276</v>
      </c>
      <c r="L554" s="16" t="str">
        <f t="shared" si="483"/>
        <v>S</v>
      </c>
      <c r="M554" s="927" t="s">
        <v>818</v>
      </c>
      <c r="N554" s="927">
        <v>18.149999999999999</v>
      </c>
      <c r="O554" s="353" t="str">
        <f>IF(LEN($M554)=1,VLOOKUP(LEFT($M554,1),B549:I556,5,FALSE),IF(LEN($M554)=2,VLOOKUP(LEFT($M554,1),B549:I556,7,FALSE),""))</f>
        <v>SS</v>
      </c>
      <c r="P554" s="373" t="str">
        <f>IF(LEN($M554)=1,VLOOKUP(LEFT($M554,1),B549:I556,6,FALSE),IF(LEN($M554)=2,VLOOKUP(LEFT($M554,1),B549:I556,8,FALSE),""))</f>
        <v>Amber Stevens</v>
      </c>
      <c r="Q554" s="341" t="s">
        <v>276</v>
      </c>
      <c r="R554" s="146" t="str">
        <f t="shared" si="484"/>
        <v>M</v>
      </c>
      <c r="S554" s="927" t="s">
        <v>821</v>
      </c>
      <c r="T554" s="927">
        <v>11.48</v>
      </c>
      <c r="U554" s="353" t="str">
        <f>IF(LEN($S554)=1,VLOOKUP(LEFT($S554,1),B549:I556,5,FALSE),IF(LEN($S554)=2,VLOOKUP(LEFT($S554,1),B549:I556,7,FALSE),""))</f>
        <v>MM</v>
      </c>
      <c r="V554" s="373" t="str">
        <f>IF(LEN($S554)=1,VLOOKUP(LEFT($S554,1),B549:I556,6,FALSE),IF(LEN($S554)=2,VLOOKUP(LEFT($S554,1),B549:I556,8,FALSE),""))</f>
        <v>Isla Gerry</v>
      </c>
      <c r="W554" s="417">
        <f t="shared" si="492"/>
        <v>3</v>
      </c>
      <c r="Y554" s="417">
        <v>32</v>
      </c>
      <c r="Z554" s="16" t="str">
        <f t="shared" si="485"/>
        <v>BRAT</v>
      </c>
      <c r="AA554" s="146" t="str">
        <f t="shared" si="486"/>
        <v>Sol</v>
      </c>
      <c r="AB554" s="32"/>
      <c r="AC554" s="16" t="str">
        <f t="shared" si="487"/>
        <v>D</v>
      </c>
      <c r="AD554" s="419" t="str">
        <f t="shared" si="488"/>
        <v>Stratford</v>
      </c>
      <c r="AE554" s="419">
        <f>IF(ISNA(MATCH(AC554,N549:N559,0)),0,VLOOKUP(AC554,N549:S559,5,FALSE))</f>
        <v>0</v>
      </c>
      <c r="AF554" s="419" t="str">
        <f>IF(ISNA(MATCH(AC554,T549:T559,0))," ",VLOOKUP(AC554,T549:Y559,5,FALSE))</f>
        <v xml:space="preserve"> </v>
      </c>
      <c r="AG554" s="419">
        <f>IF(ISNA(MATCH(AC554,L549:L556,0)),0,VLOOKUP(AC554,L549:N556,3,FALSE))</f>
        <v>13.93</v>
      </c>
      <c r="AH554" s="419">
        <f>IF(ISNA(MATCH(AC554,R549:R556,0)),0,VLOOKUP(AC554,R549:T556,3,FALSE))</f>
        <v>13.35</v>
      </c>
      <c r="AI554" s="419" t="str">
        <f>IF(ISNA(MATCH(AC554,L549:L556,0)),0,VLOOKUP(AC554,L549:P556,4,FALSE))</f>
        <v>DD</v>
      </c>
      <c r="AJ554" s="419" t="str">
        <f>IF(ISNA(MATCH(AC554,R549:R556,0)),0,VLOOKUP(AC554,R549:U556,4,FALSE))</f>
        <v>D</v>
      </c>
      <c r="AK554" s="32">
        <f t="shared" si="489"/>
        <v>7</v>
      </c>
      <c r="AL554" s="32">
        <f t="shared" si="490"/>
        <v>4</v>
      </c>
      <c r="AM554" s="32">
        <f>IF(ISNA(MATCH(AC554,L549:L556,0)),0,VLOOKUP(AC554,L549:W556,AM$1,FALSE))</f>
        <v>2</v>
      </c>
      <c r="AN554" s="146">
        <f>IF(ISNA(MATCH(AC554,R549:R556,0)),0,VLOOKUP(AC554,R549:W556,AN$1,FALSE))</f>
        <v>5</v>
      </c>
      <c r="AP554" s="927"/>
      <c r="AQ554" s="927"/>
    </row>
    <row r="555" spans="1:47" ht="15.6" x14ac:dyDescent="0.3">
      <c r="A555" s="417">
        <f t="shared" si="491"/>
        <v>497</v>
      </c>
      <c r="B555" s="362" t="str">
        <f>'Event Details'!D$28</f>
        <v>F</v>
      </c>
      <c r="C555" s="381" t="str">
        <f>'Event Details'!E$28</f>
        <v>Tamworth</v>
      </c>
      <c r="D555" s="379"/>
      <c r="E555" s="378"/>
      <c r="F555" s="363" t="str">
        <f>VLOOKUP($B548,IF($H548="F",TeamSheetFemale,TeamSheetMale),$Y555-1,FALSE)</f>
        <v>F</v>
      </c>
      <c r="G555" s="380" t="str">
        <f>VLOOKUP($B548,IF($H548="F",TeamSheetFemale,TeamSheetMale),$Y555,FALSE)</f>
        <v>Rosa Farmer</v>
      </c>
      <c r="H555" s="363" t="str">
        <f>VLOOKUP($B548,IF($H548="F",TeamSheetFemale,TeamSheetMale),$Y555+1,FALSE)</f>
        <v>FF</v>
      </c>
      <c r="I555" s="364" t="str">
        <f>VLOOKUP($B548,IF($H548="F",TeamSheetFemale,TeamSheetMale),$Y555+2,FALSE)</f>
        <v>Holly Hancock</v>
      </c>
      <c r="K555" s="341" t="s">
        <v>277</v>
      </c>
      <c r="L555" s="16" t="str">
        <f t="shared" si="483"/>
        <v>D</v>
      </c>
      <c r="M555" s="927" t="s">
        <v>513</v>
      </c>
      <c r="N555" s="927">
        <v>13.93</v>
      </c>
      <c r="O555" s="353" t="str">
        <f>IF(LEN($M555)=1,VLOOKUP(LEFT($M555,1),B549:I556,5,FALSE),IF(LEN($M555)=2,VLOOKUP(LEFT($M555,1),B549:I556,7,FALSE),""))</f>
        <v>DD</v>
      </c>
      <c r="P555" s="373" t="str">
        <f>IF(LEN($M555)=1,VLOOKUP(LEFT($M555,1),B549:I556,6,FALSE),IF(LEN($M555)=2,VLOOKUP(LEFT($M555,1),B549:I556,8,FALSE),""))</f>
        <v>Isabella Marriot</v>
      </c>
      <c r="Q555" s="341" t="s">
        <v>277</v>
      </c>
      <c r="R555" s="146" t="str">
        <f t="shared" si="484"/>
        <v>Y</v>
      </c>
      <c r="S555" s="927" t="s">
        <v>151</v>
      </c>
      <c r="T555" s="927">
        <v>9.65</v>
      </c>
      <c r="U555" s="353" t="str">
        <f>IF(LEN($S555)=1,VLOOKUP(LEFT($S555,1),B549:I556,5,FALSE),IF(LEN($S555)=2,VLOOKUP(LEFT($S555,1),B549:I556,7,FALSE),""))</f>
        <v>Y</v>
      </c>
      <c r="V555" s="373" t="str">
        <f>IF(LEN($S555)=1,VLOOKUP(LEFT($S555,1),B549:I556,6,FALSE),IF(LEN($S555)=2,VLOOKUP(LEFT($S555,1),B549:I556,8,FALSE),""))</f>
        <v>Lara Taylor</v>
      </c>
      <c r="W555" s="417">
        <f t="shared" si="492"/>
        <v>2</v>
      </c>
      <c r="Y555" s="417">
        <v>37</v>
      </c>
      <c r="Z555" s="16" t="str">
        <f t="shared" si="485"/>
        <v>Strat</v>
      </c>
      <c r="AA555" s="146" t="str">
        <f t="shared" si="486"/>
        <v>Worc</v>
      </c>
      <c r="AB555" s="32"/>
      <c r="AC555" s="16" t="str">
        <f t="shared" si="487"/>
        <v>F</v>
      </c>
      <c r="AD555" s="419" t="str">
        <f t="shared" si="488"/>
        <v>Tamworth</v>
      </c>
      <c r="AE555" s="419">
        <f>IF(ISNA(MATCH(AC555,N547:N556,0)),0,VLOOKUP(AC555,N547:S556,5,FALSE))</f>
        <v>0</v>
      </c>
      <c r="AF555" s="419" t="str">
        <f>IF(ISNA(MATCH(AC555,T547:T556,0))," ",VLOOKUP(AC555,T547:Y556,5,FALSE))</f>
        <v xml:space="preserve"> </v>
      </c>
      <c r="AG555" s="419">
        <f>IF(ISNA(MATCH(AC555,L549:L556,0)),0,VLOOKUP(AC555,L549:N556,3,FALSE))</f>
        <v>23.01</v>
      </c>
      <c r="AH555" s="419">
        <f>IF(ISNA(MATCH(AC555,R549:R556,0)),0,VLOOKUP(AC555,R549:T556,3,FALSE))</f>
        <v>16.84</v>
      </c>
      <c r="AI555" s="419" t="str">
        <f>IF(ISNA(MATCH(AC555,L549:L556,0)),0,VLOOKUP(AC555,L549:P556,4,FALSE))</f>
        <v>F</v>
      </c>
      <c r="AJ555" s="419" t="str">
        <f>IF(ISNA(MATCH(AC555,R549:R556,0)),0,VLOOKUP(AC555,R549:U556,4,FALSE))</f>
        <v>FF</v>
      </c>
      <c r="AK555" s="32">
        <f t="shared" si="489"/>
        <v>3</v>
      </c>
      <c r="AL555" s="32">
        <f t="shared" si="490"/>
        <v>2</v>
      </c>
      <c r="AM555" s="32">
        <f>IF(ISNA(MATCH(AC555,L549:L556,0)),0,VLOOKUP(AC555,L549:W556,AM$1,FALSE))</f>
        <v>6</v>
      </c>
      <c r="AN555" s="146">
        <f>IF(ISNA(MATCH(AC555,R549:R556,0)),0,VLOOKUP(AC555,R549:W556,AN$1,FALSE))</f>
        <v>7</v>
      </c>
      <c r="AP555" s="927"/>
      <c r="AQ555" s="927"/>
    </row>
    <row r="556" spans="1:47" ht="16.2" thickBot="1" x14ac:dyDescent="0.35">
      <c r="A556" s="418">
        <f t="shared" si="491"/>
        <v>498</v>
      </c>
      <c r="B556" s="365" t="str">
        <f>'Event Details'!D$29</f>
        <v>Y</v>
      </c>
      <c r="C556" s="366" t="str">
        <f>'Event Details'!E$29</f>
        <v>Worcester</v>
      </c>
      <c r="D556" s="361"/>
      <c r="E556" s="370"/>
      <c r="F556" s="367" t="str">
        <f>VLOOKUP($B548,IF($H548="F",TeamSheetFemale,TeamSheetMale),$Y556-1,FALSE)</f>
        <v>Y</v>
      </c>
      <c r="G556" s="368" t="str">
        <f>VLOOKUP($B548,IF($H548="F",TeamSheetFemale,TeamSheetMale),$Y556,FALSE)</f>
        <v>Lara Taylor</v>
      </c>
      <c r="H556" s="367" t="str">
        <f>VLOOKUP($B548,IF($H548="F",TeamSheetFemale,TeamSheetMale),$Y556+1,FALSE)</f>
        <v>YY</v>
      </c>
      <c r="I556" s="369" t="str">
        <f>VLOOKUP($B548,IF($H548="F",TeamSheetFemale,TeamSheetMale),$Y556+2,FALSE)</f>
        <v>Isla Oldham</v>
      </c>
      <c r="K556" s="346" t="s">
        <v>278</v>
      </c>
      <c r="L556" s="25" t="str">
        <f t="shared" si="483"/>
        <v>Y</v>
      </c>
      <c r="M556" s="932" t="s">
        <v>822</v>
      </c>
      <c r="N556" s="932">
        <v>11.82</v>
      </c>
      <c r="O556" s="375" t="str">
        <f>IF(LEN($M556)=1,VLOOKUP(LEFT($M556,1),B549:I556,5,FALSE),IF(LEN($M556)=2,VLOOKUP(LEFT($M556,1),B549:I556,7,FALSE),""))</f>
        <v>YY</v>
      </c>
      <c r="P556" s="376" t="str">
        <f>IF(LEN($M556)=1,VLOOKUP(LEFT($M556,1),B549:I556,6,FALSE),IF(LEN($M556)=2,VLOOKUP(LEFT($M556,1),B549:I556,8,FALSE),""))</f>
        <v>Isla Oldham</v>
      </c>
      <c r="Q556" s="346" t="s">
        <v>278</v>
      </c>
      <c r="R556" s="523" t="str">
        <f t="shared" si="484"/>
        <v/>
      </c>
      <c r="S556" s="932"/>
      <c r="T556" s="932"/>
      <c r="U556" s="375" t="str">
        <f>IF(LEN($S556)=1,VLOOKUP(LEFT($S556,1),B549:I556,5,FALSE),IF(LEN($S556)=2,VLOOKUP(LEFT($S556,1),B549:I556,7,FALSE),""))</f>
        <v/>
      </c>
      <c r="V556" s="376" t="str">
        <f>IF(LEN($S556)=1,VLOOKUP(LEFT($S556,1),B549:I556,6,FALSE),IF(LEN($S556)=2,VLOOKUP(LEFT($S556,1),B549:I556,8,FALSE),""))</f>
        <v/>
      </c>
      <c r="W556" s="418">
        <f t="shared" si="492"/>
        <v>1</v>
      </c>
      <c r="Y556" s="418">
        <v>42</v>
      </c>
      <c r="Z556" s="25" t="str">
        <f t="shared" si="485"/>
        <v>Worc</v>
      </c>
      <c r="AA556" s="523">
        <f t="shared" si="486"/>
        <v>0</v>
      </c>
      <c r="AB556" s="32"/>
      <c r="AC556" s="25" t="str">
        <f t="shared" si="487"/>
        <v>Y</v>
      </c>
      <c r="AD556" s="624" t="str">
        <f t="shared" si="488"/>
        <v>Worcester</v>
      </c>
      <c r="AE556" s="624">
        <f>IF(ISNA(MATCH(AC556,N548:N558,0)),0,VLOOKUP(AC556,N548:S558,5,FALSE))</f>
        <v>0</v>
      </c>
      <c r="AF556" s="624" t="str">
        <f t="shared" ref="AF556" si="493">IF(ISNA(MATCH(AC556,T548:T558,0))," ",VLOOKUP(AC556,T548:Y558,5,FALSE))</f>
        <v xml:space="preserve"> </v>
      </c>
      <c r="AG556" s="624">
        <f>IF(ISNA(MATCH(AC556,L549:L556,0)),0,VLOOKUP(AC556,L549:N556,3,FALSE))</f>
        <v>11.82</v>
      </c>
      <c r="AH556" s="624">
        <f>IF(ISNA(MATCH(AC556,R549:R556,0)),0,VLOOKUP(AC556,R549:T556,3,FALSE))</f>
        <v>9.65</v>
      </c>
      <c r="AI556" s="624" t="str">
        <f>IF(ISNA(MATCH(AC556,L549:L556,0)),0,VLOOKUP(AC556,L549:P556,4,FALSE))</f>
        <v>YY</v>
      </c>
      <c r="AJ556" s="624" t="str">
        <f>IF(ISNA(MATCH(AC556,R549:R556,0)),0,VLOOKUP(AC556,R549:U556,4,FALSE))</f>
        <v>Y</v>
      </c>
      <c r="AK556" s="116">
        <f t="shared" si="489"/>
        <v>8</v>
      </c>
      <c r="AL556" s="116">
        <f t="shared" si="490"/>
        <v>7</v>
      </c>
      <c r="AM556" s="116">
        <f>IF(ISNA(MATCH(AC556,L549:L556,0)),0,VLOOKUP(AC556,L549:W556,AM$1,FALSE))</f>
        <v>1</v>
      </c>
      <c r="AN556" s="523">
        <f>IF(ISNA(MATCH(AC556,R549:R556,0)),0,VLOOKUP(AC556,R549:W556,AN$1,FALSE))</f>
        <v>2</v>
      </c>
      <c r="AP556" s="932"/>
      <c r="AQ556" s="932"/>
    </row>
    <row r="557" spans="1:47" ht="15" thickBot="1" x14ac:dyDescent="0.35">
      <c r="M557" s="276"/>
      <c r="N557" s="307"/>
      <c r="S557" s="276"/>
      <c r="T557" s="307"/>
      <c r="AP557" s="276"/>
      <c r="AQ557" s="307"/>
    </row>
    <row r="558" spans="1:47" x14ac:dyDescent="0.3">
      <c r="B558" s="400" t="s">
        <v>258</v>
      </c>
      <c r="C558" s="398"/>
      <c r="D558" s="401" t="s">
        <v>165</v>
      </c>
      <c r="E558" s="398"/>
      <c r="F558" s="398"/>
      <c r="G558" s="402" t="s">
        <v>259</v>
      </c>
      <c r="H558" s="403" t="s">
        <v>249</v>
      </c>
      <c r="I558" s="404" t="s">
        <v>168</v>
      </c>
      <c r="K558" s="360"/>
      <c r="L558" s="661"/>
      <c r="M558" s="387" t="s">
        <v>260</v>
      </c>
      <c r="N558" s="387" t="s">
        <v>261</v>
      </c>
      <c r="O558" s="387" t="s">
        <v>262</v>
      </c>
      <c r="P558" s="388" t="s">
        <v>75</v>
      </c>
      <c r="Q558" s="389"/>
      <c r="R558" s="657"/>
      <c r="S558" s="387" t="s">
        <v>260</v>
      </c>
      <c r="T558" s="387" t="s">
        <v>261</v>
      </c>
      <c r="U558" s="387" t="s">
        <v>262</v>
      </c>
      <c r="V558" s="388" t="s">
        <v>75</v>
      </c>
      <c r="W558" s="672" t="s">
        <v>76</v>
      </c>
      <c r="Y558" s="414" t="s">
        <v>263</v>
      </c>
      <c r="Z558" s="656" t="s">
        <v>74</v>
      </c>
      <c r="AA558" s="657" t="s">
        <v>75</v>
      </c>
      <c r="AC558" s="665" t="s">
        <v>71</v>
      </c>
      <c r="AD558" s="657" t="s">
        <v>86</v>
      </c>
      <c r="AE558" s="661" t="s">
        <v>149</v>
      </c>
      <c r="AF558" s="661" t="s">
        <v>94</v>
      </c>
      <c r="AG558" s="661" t="s">
        <v>149</v>
      </c>
      <c r="AH558" s="661" t="s">
        <v>94</v>
      </c>
      <c r="AI558" s="661" t="s">
        <v>149</v>
      </c>
      <c r="AJ558" s="661" t="s">
        <v>94</v>
      </c>
      <c r="AK558" s="1332" t="s">
        <v>149</v>
      </c>
      <c r="AL558" s="661" t="s">
        <v>94</v>
      </c>
      <c r="AM558" s="1406" t="s">
        <v>76</v>
      </c>
      <c r="AN558" s="1407"/>
      <c r="AP558" s="387" t="s">
        <v>260</v>
      </c>
      <c r="AQ558" s="387" t="s">
        <v>261</v>
      </c>
      <c r="AS558" s="1218" t="s">
        <v>165</v>
      </c>
      <c r="AT558" s="1219" t="s">
        <v>79</v>
      </c>
      <c r="AU558" s="1220" t="s">
        <v>80</v>
      </c>
    </row>
    <row r="559" spans="1:47" ht="15" thickBot="1" x14ac:dyDescent="0.35">
      <c r="B559" s="405">
        <v>50</v>
      </c>
      <c r="C559" s="399"/>
      <c r="D559" s="385" t="str">
        <f>VLOOKUP($B559,EventOrder,6,FALSE)</f>
        <v xml:space="preserve">75m </v>
      </c>
      <c r="E559" s="399"/>
      <c r="F559" s="385"/>
      <c r="G559" s="386" t="str">
        <f>VLOOKUP($B559,EventOrder,4,FALSE)</f>
        <v>U12 Female</v>
      </c>
      <c r="H559" s="396" t="str">
        <f>IF(MID(G559,5,1)="F","F","M")</f>
        <v>F</v>
      </c>
      <c r="I559" s="397">
        <f>VLOOKUP($B559,EventOrder,2,FALSE)</f>
        <v>3</v>
      </c>
      <c r="K559" s="377"/>
      <c r="L559" s="667" t="s">
        <v>149</v>
      </c>
      <c r="M559" s="409" t="s">
        <v>264</v>
      </c>
      <c r="N559" s="409" t="s">
        <v>265</v>
      </c>
      <c r="O559" s="390" t="s">
        <v>266</v>
      </c>
      <c r="P559" s="391"/>
      <c r="Q559" s="392"/>
      <c r="R559" s="659" t="s">
        <v>94</v>
      </c>
      <c r="S559" s="409" t="s">
        <v>264</v>
      </c>
      <c r="T559" s="409" t="s">
        <v>265</v>
      </c>
      <c r="U559" s="390" t="s">
        <v>266</v>
      </c>
      <c r="V559" s="391"/>
      <c r="W559" s="671"/>
      <c r="Y559" s="415" t="s">
        <v>167</v>
      </c>
      <c r="Z559" s="658" t="s">
        <v>149</v>
      </c>
      <c r="AA559" s="659" t="s">
        <v>94</v>
      </c>
      <c r="AC559" s="666"/>
      <c r="AD559" s="668"/>
      <c r="AE559" s="768" t="s">
        <v>75</v>
      </c>
      <c r="AF559" s="768" t="s">
        <v>75</v>
      </c>
      <c r="AG559" s="768" t="s">
        <v>267</v>
      </c>
      <c r="AH559" s="768" t="s">
        <v>267</v>
      </c>
      <c r="AI559" s="768" t="s">
        <v>268</v>
      </c>
      <c r="AJ559" s="768" t="s">
        <v>268</v>
      </c>
      <c r="AK559" s="770" t="s">
        <v>269</v>
      </c>
      <c r="AL559" s="768" t="s">
        <v>269</v>
      </c>
      <c r="AM559" s="667" t="s">
        <v>149</v>
      </c>
      <c r="AN559" s="659" t="s">
        <v>94</v>
      </c>
      <c r="AP559" s="409" t="s">
        <v>264</v>
      </c>
      <c r="AQ559" s="409" t="s">
        <v>265</v>
      </c>
      <c r="AS559" s="1221" t="s">
        <v>270</v>
      </c>
      <c r="AT559" s="1222" t="s">
        <v>270</v>
      </c>
      <c r="AU559" s="1223" t="s">
        <v>270</v>
      </c>
    </row>
    <row r="560" spans="1:47" ht="15.6" x14ac:dyDescent="0.3">
      <c r="A560" s="416">
        <f>(B559*10)+1</f>
        <v>501</v>
      </c>
      <c r="B560" s="362" t="str">
        <f>'Event Details'!D$22</f>
        <v>S</v>
      </c>
      <c r="C560" s="381" t="str">
        <f>'Event Details'!E$22</f>
        <v>BRAT</v>
      </c>
      <c r="D560" s="379"/>
      <c r="E560" s="378"/>
      <c r="F560" s="363" t="str">
        <f>VLOOKUP($B559,IF($H559="F",TeamSheetFemale,TeamSheetMale),$Y560-1,FALSE)</f>
        <v>S</v>
      </c>
      <c r="G560" s="380" t="str">
        <f>VLOOKUP($B559,IF($H559="F",TeamSheetFemale,TeamSheetMale),$Y560,FALSE)</f>
        <v>Beatrice-Rosie Follows</v>
      </c>
      <c r="H560" s="363" t="str">
        <f>VLOOKUP($B559,IF($H559="F",TeamSheetFemale,TeamSheetMale),$Y560+1,FALSE)</f>
        <v>SS</v>
      </c>
      <c r="I560" s="364" t="str">
        <f>VLOOKUP($B559,IF($H559="F",TeamSheetFemale,TeamSheetMale),$Y560+2,FALSE)</f>
        <v>Khushi Chanal</v>
      </c>
      <c r="K560" s="393" t="s">
        <v>271</v>
      </c>
      <c r="L560" s="16" t="str">
        <f t="shared" ref="L560:L567" si="494">LEFT(M560,1)</f>
        <v>G</v>
      </c>
      <c r="M560" s="926" t="s">
        <v>110</v>
      </c>
      <c r="N560" s="926">
        <v>10.9</v>
      </c>
      <c r="O560" s="394" t="str">
        <f>IF(LEN($M560)=1,VLOOKUP(LEFT($M560,1),B560:I567,5,FALSE),IF(LEN($M560)=2,VLOOKUP(LEFT($M560,1),B560:I567,7,FALSE),""))</f>
        <v>G</v>
      </c>
      <c r="P560" s="395" t="str">
        <f>IF(LEN($M560)=1,VLOOKUP(LEFT($M560,1),B560:I567,6,FALSE),IF(LEN($M560)=2,VLOOKUP(LEFT($M560,1),B560:I567,8,FALSE),""))</f>
        <v xml:space="preserve">Lila Wilmore </v>
      </c>
      <c r="Q560" s="393" t="s">
        <v>271</v>
      </c>
      <c r="R560" s="146" t="str">
        <f t="shared" ref="R560:R567" si="495">LEFT(S560,1)</f>
        <v>R</v>
      </c>
      <c r="S560" s="926" t="s">
        <v>819</v>
      </c>
      <c r="T560" s="926">
        <v>11.1</v>
      </c>
      <c r="U560" s="394" t="str">
        <f>IF(LEN($S560)=1,VLOOKUP(LEFT($S560,1),B560:I567,5,FALSE),IF(LEN($S560)=2,VLOOKUP(LEFT($S560,1),B560:I567,7,FALSE),""))</f>
        <v>RR</v>
      </c>
      <c r="V560" s="395" t="str">
        <f>IF(LEN($S560)=1,VLOOKUP(LEFT($S560,1),B560:I567,6,FALSE),IF(LEN($S560)=2,VLOOKUP(LEFT($S560,1),B560:I567,8,FALSE),""))</f>
        <v>Ava Lawrence</v>
      </c>
      <c r="W560" s="417">
        <f>AN$6</f>
        <v>8</v>
      </c>
      <c r="Y560" s="416">
        <v>7</v>
      </c>
      <c r="Z560" s="653" t="str">
        <f t="shared" ref="Z560:Z567" si="496">IF(LEN(M560)&gt;0,VLOOKUP(LEFT(M560,1),ShortName,5,FALSE),0)</f>
        <v>Royal</v>
      </c>
      <c r="AA560" s="138" t="str">
        <f t="shared" ref="AA560:AA567" si="497">IF(LEN(S560)&gt;0,VLOOKUP(LEFT(S560,1),ShortName,5,FALSE),0)</f>
        <v>Rugby</v>
      </c>
      <c r="AC560" s="16" t="str">
        <f t="shared" ref="AC560:AD567" si="498">B560</f>
        <v>S</v>
      </c>
      <c r="AD560" s="419" t="str">
        <f t="shared" si="498"/>
        <v>BRAT</v>
      </c>
      <c r="AE560" s="635">
        <f>IF(ISNA(MATCH(AC560,N560:N569,0)),0,VLOOKUP(AC560,N560:S569,5,FALSE))</f>
        <v>0</v>
      </c>
      <c r="AF560" s="635" t="str">
        <f>IF(ISNA(MATCH(AC560,T560:T569,0))," ",VLOOKUP(AC560,T560:Y569,5,FALSE))</f>
        <v xml:space="preserve"> </v>
      </c>
      <c r="AG560" s="635">
        <f>IF(ISNA(MATCH(AC560,L560:L567,0)),0,VLOOKUP(AC560,L560:N567,3,FALSE))</f>
        <v>11.9</v>
      </c>
      <c r="AH560" s="635">
        <f>IF(ISNA(MATCH(AC560,R560:R567,0)),0,VLOOKUP(AC560,R560:T567,3,FALSE))</f>
        <v>13.1</v>
      </c>
      <c r="AI560" s="635" t="str">
        <f>IF(ISNA(MATCH(AC560,L560:L567,0)),0,VLOOKUP(AC560,L560:P567,4,FALSE))</f>
        <v>S</v>
      </c>
      <c r="AJ560" s="635" t="str">
        <f>IF(ISNA(MATCH(AC560,R560:R567,0)),0,VLOOKUP(AC560,R560:U567,4,FALSE))</f>
        <v>SS</v>
      </c>
      <c r="AK560" s="49">
        <f t="shared" ref="AK560:AK567" si="499">IF(AM560=0,0,AN$6-(AM560-1))</f>
        <v>6</v>
      </c>
      <c r="AL560" s="49">
        <f t="shared" ref="AL560:AL567" si="500">IF(AN560=0,0,AN$6-(AN560-1))</f>
        <v>7</v>
      </c>
      <c r="AM560" s="49">
        <f>IF(ISNA(MATCH(AC560,L560:L567,0)),0,VLOOKUP(AC560,L560:W567,AM$1,FALSE))</f>
        <v>3</v>
      </c>
      <c r="AN560" s="138">
        <f>IF(ISNA(MATCH(AC560,R560:R567,0)),0,VLOOKUP(AC560,R560:W567,AN$1,FALSE))</f>
        <v>2</v>
      </c>
      <c r="AP560" s="926"/>
      <c r="AQ560" s="926"/>
      <c r="AS560" s="32">
        <f>IF(LEN(N560)&gt;0,1,0)</f>
        <v>1</v>
      </c>
      <c r="AT560" s="32">
        <f>IF(AND(AS560=1,H559="M"),1,0)</f>
        <v>0</v>
      </c>
      <c r="AU560" s="32">
        <f>IF(AND(AS560=1,H559="F"),1,0)</f>
        <v>1</v>
      </c>
    </row>
    <row r="561" spans="1:47" ht="15.6" x14ac:dyDescent="0.3">
      <c r="A561" s="417">
        <f>A560+1</f>
        <v>502</v>
      </c>
      <c r="B561" s="362" t="str">
        <f>'Event Details'!D$23</f>
        <v>U</v>
      </c>
      <c r="C561" s="381" t="str">
        <f>'Event Details'!E$23</f>
        <v>Kidder &amp; Stourport</v>
      </c>
      <c r="D561" s="379"/>
      <c r="E561" s="378"/>
      <c r="F561" s="363" t="str">
        <f>VLOOKUP($B559,IF($H559="F",TeamSheetFemale,TeamSheetMale),$Y561-1,FALSE)</f>
        <v>U</v>
      </c>
      <c r="G561" s="380" t="str">
        <f>VLOOKUP($B559,IF($H559="F",TeamSheetFemale,TeamSheetMale),$Y561,FALSE)</f>
        <v xml:space="preserve">Amelija Mendelyte </v>
      </c>
      <c r="H561" s="363" t="str">
        <f>VLOOKUP($B559,IF($H559="F",TeamSheetFemale,TeamSheetMale),$Y561+1,FALSE)</f>
        <v>UU</v>
      </c>
      <c r="I561" s="364" t="str">
        <f>VLOOKUP($B559,IF($H559="F",TeamSheetFemale,TeamSheetMale),$Y561+2,FALSE)</f>
        <v>Alica Bland</v>
      </c>
      <c r="K561" s="341" t="s">
        <v>272</v>
      </c>
      <c r="L561" s="16" t="str">
        <f t="shared" si="494"/>
        <v>R</v>
      </c>
      <c r="M561" s="927" t="s">
        <v>118</v>
      </c>
      <c r="N561" s="927">
        <v>11.1</v>
      </c>
      <c r="O561" s="353" t="str">
        <f>IF(LEN($M561)=1,VLOOKUP(LEFT($M561,1),B560:I567,5,FALSE),IF(LEN($M561)=2,VLOOKUP(LEFT($M561,1),B560:I567,7,FALSE),""))</f>
        <v>R</v>
      </c>
      <c r="P561" s="373" t="str">
        <f>IF(LEN($M561)=1,VLOOKUP(LEFT($M561,1),B560:I567,6,FALSE),IF(LEN($M561)=2,VLOOKUP(LEFT($M561,1),B560:I567,8,FALSE),""))</f>
        <v>Tavayah Lennox</v>
      </c>
      <c r="Q561" s="341" t="s">
        <v>272</v>
      </c>
      <c r="R561" s="146" t="str">
        <f t="shared" si="495"/>
        <v>D</v>
      </c>
      <c r="S561" s="927" t="s">
        <v>513</v>
      </c>
      <c r="T561" s="927">
        <v>11.4</v>
      </c>
      <c r="U561" s="353" t="str">
        <f>IF(LEN($S561)=1,VLOOKUP(LEFT($S561,1),B560:I567,5,FALSE),IF(LEN($S561)=2,VLOOKUP(LEFT($S561,1),B560:I567,7,FALSE),""))</f>
        <v>DD</v>
      </c>
      <c r="V561" s="373" t="str">
        <f>IF(LEN($S561)=1,VLOOKUP(LEFT($S561,1),B560:I567,6,FALSE),IF(LEN($S561)=2,VLOOKUP(LEFT($S561,1),B560:I567,8,FALSE),""))</f>
        <v>Elsie Gould</v>
      </c>
      <c r="W561" s="417">
        <f>W560-1</f>
        <v>7</v>
      </c>
      <c r="Y561" s="417">
        <v>12</v>
      </c>
      <c r="Z561" s="16" t="str">
        <f t="shared" si="496"/>
        <v>Rugby</v>
      </c>
      <c r="AA561" s="146" t="str">
        <f t="shared" si="497"/>
        <v>Strat</v>
      </c>
      <c r="AC561" s="16" t="str">
        <f t="shared" si="498"/>
        <v>U</v>
      </c>
      <c r="AD561" s="419" t="str">
        <f t="shared" si="498"/>
        <v>Kidder &amp; Stourport</v>
      </c>
      <c r="AE561" s="419">
        <f>IF(ISNA(MATCH(AC561,N560:N569,0)),0,VLOOKUP(AC561,N560:S569,5,FALSE))</f>
        <v>0</v>
      </c>
      <c r="AF561" s="419" t="str">
        <f>IF(ISNA(MATCH(AC561,T560:T569,0))," ",VLOOKUP(AC561,T560:Y569,5,FALSE))</f>
        <v xml:space="preserve"> </v>
      </c>
      <c r="AG561" s="419">
        <f>IF(ISNA(MATCH(AC561,L560:L567,0)),0,VLOOKUP(AC561,L560:N567,3,FALSE))</f>
        <v>12.4</v>
      </c>
      <c r="AH561" s="419">
        <f>IF(ISNA(MATCH(AC561,R560:R567,0)),0,VLOOKUP(AC561,R560:T567,3,FALSE))</f>
        <v>11.9</v>
      </c>
      <c r="AI561" s="419" t="str">
        <f>IF(ISNA(MATCH(AC561,L560:L567,0)),0,VLOOKUP(AC561,L560:P567,4,FALSE))</f>
        <v>U</v>
      </c>
      <c r="AJ561" s="419" t="str">
        <f>IF(ISNA(MATCH(AC561,R560:R567,0)),0,VLOOKUP(AC561,R560:U567,4,FALSE))</f>
        <v>UU</v>
      </c>
      <c r="AK561" s="32">
        <f t="shared" si="499"/>
        <v>8</v>
      </c>
      <c r="AL561" s="32">
        <f t="shared" si="500"/>
        <v>3</v>
      </c>
      <c r="AM561" s="32">
        <f>IF(ISNA(MATCH(AC561,L560:L567,0)),0,VLOOKUP(AC561,L560:W567,AM$1,FALSE))</f>
        <v>1</v>
      </c>
      <c r="AN561" s="146">
        <f>IF(ISNA(MATCH(AC561,R560:R567,0)),0,VLOOKUP(AC561,R560:W567,AN$1,FALSE))</f>
        <v>6</v>
      </c>
      <c r="AP561" s="927"/>
      <c r="AQ561" s="927"/>
    </row>
    <row r="562" spans="1:47" ht="15.6" x14ac:dyDescent="0.3">
      <c r="A562" s="417">
        <f t="shared" ref="A562:A567" si="501">A561+1</f>
        <v>503</v>
      </c>
      <c r="B562" s="362" t="str">
        <f>'Event Details'!D$24</f>
        <v>G</v>
      </c>
      <c r="C562" s="381" t="str">
        <f>'Event Details'!E$24</f>
        <v>Royal Sutton</v>
      </c>
      <c r="D562" s="379"/>
      <c r="E562" s="378"/>
      <c r="F562" s="363" t="str">
        <f>VLOOKUP($B559,IF($H559="F",TeamSheetFemale,TeamSheetMale),$Y562-1,FALSE)</f>
        <v>G</v>
      </c>
      <c r="G562" s="380" t="str">
        <f>VLOOKUP($B559,IF($H559="F",TeamSheetFemale,TeamSheetMale),$Y562,FALSE)</f>
        <v xml:space="preserve">Lila Wilmore </v>
      </c>
      <c r="H562" s="363" t="str">
        <f>VLOOKUP($B559,IF($H559="F",TeamSheetFemale,TeamSheetMale),$Y562+1,FALSE)</f>
        <v>GG</v>
      </c>
      <c r="I562" s="364" t="str">
        <f>VLOOKUP($B559,IF($H559="F",TeamSheetFemale,TeamSheetMale),$Y562+2,FALSE)</f>
        <v xml:space="preserve">Isabelle Wakeman </v>
      </c>
      <c r="K562" s="341" t="s">
        <v>273</v>
      </c>
      <c r="L562" s="16" t="str">
        <f t="shared" si="494"/>
        <v>D</v>
      </c>
      <c r="M562" s="927" t="s">
        <v>136</v>
      </c>
      <c r="N562" s="927">
        <v>11.3</v>
      </c>
      <c r="O562" s="353" t="str">
        <f>IF(LEN($M562)=1,VLOOKUP(LEFT($M562,1),B560:I567,5,FALSE),IF(LEN($M562)=2,VLOOKUP(LEFT($M562,1),B560:I567,7,FALSE),""))</f>
        <v>D</v>
      </c>
      <c r="P562" s="373" t="str">
        <f>IF(LEN($M562)=1,VLOOKUP(LEFT($M562,1),B560:I567,6,FALSE),IF(LEN($M562)=2,VLOOKUP(LEFT($M562,1),B560:I567,8,FALSE),""))</f>
        <v>Megan White</v>
      </c>
      <c r="Q562" s="341" t="s">
        <v>273</v>
      </c>
      <c r="R562" s="146" t="str">
        <f t="shared" si="495"/>
        <v>U</v>
      </c>
      <c r="S562" s="927" t="s">
        <v>726</v>
      </c>
      <c r="T562" s="927">
        <v>11.9</v>
      </c>
      <c r="U562" s="353" t="str">
        <f>IF(LEN($S562)=1,VLOOKUP(LEFT($S562,1),B560:I567,5,FALSE),IF(LEN($S562)=2,VLOOKUP(LEFT($S562,1),B560:I567,7,FALSE),""))</f>
        <v>UU</v>
      </c>
      <c r="V562" s="373" t="str">
        <f>IF(LEN($S562)=1,VLOOKUP(LEFT($S562,1),B560:I567,6,FALSE),IF(LEN($S562)=2,VLOOKUP(LEFT($S562,1),B560:I567,8,FALSE),""))</f>
        <v>Alica Bland</v>
      </c>
      <c r="W562" s="417">
        <f t="shared" ref="W562:W567" si="502">W561-1</f>
        <v>6</v>
      </c>
      <c r="Y562" s="417">
        <v>17</v>
      </c>
      <c r="Z562" s="16" t="str">
        <f t="shared" si="496"/>
        <v>Strat</v>
      </c>
      <c r="AA562" s="146" t="str">
        <f t="shared" si="497"/>
        <v>K&amp;S</v>
      </c>
      <c r="AB562" s="32"/>
      <c r="AC562" s="16" t="str">
        <f t="shared" si="498"/>
        <v>G</v>
      </c>
      <c r="AD562" s="419" t="str">
        <f t="shared" si="498"/>
        <v>Royal Sutton</v>
      </c>
      <c r="AE562" s="419">
        <f>IF(ISNA(MATCH(AC562,N560:N569,0)),0,VLOOKUP(AC562,N560:S569,5,FALSE))</f>
        <v>0</v>
      </c>
      <c r="AF562" s="419" t="str">
        <f>IF(ISNA(MATCH(AC562,T560:T569,0))," ",VLOOKUP(AC562,T560:Y569,5,FALSE))</f>
        <v xml:space="preserve"> </v>
      </c>
      <c r="AG562" s="419">
        <f>IF(ISNA(MATCH(AC562,L560:L567,0)),0,VLOOKUP(AC562,L560:N567,3,FALSE))</f>
        <v>10.9</v>
      </c>
      <c r="AH562" s="419">
        <f>IF(ISNA(MATCH(AC562,R560:R567,0)),0,VLOOKUP(AC562,R560:T567,3,FALSE))</f>
        <v>12.2</v>
      </c>
      <c r="AI562" s="419" t="str">
        <f>IF(ISNA(MATCH(AC562,L560:L567,0)),0,VLOOKUP(AC562,L560:P567,4,FALSE))</f>
        <v>G</v>
      </c>
      <c r="AJ562" s="419" t="str">
        <f>IF(ISNA(MATCH(AC562,R560:R567,0)),0,VLOOKUP(AC562,R560:U567,4,FALSE))</f>
        <v>GG</v>
      </c>
      <c r="AK562" s="32">
        <f t="shared" si="499"/>
        <v>1</v>
      </c>
      <c r="AL562" s="32">
        <f t="shared" si="500"/>
        <v>6</v>
      </c>
      <c r="AM562" s="32">
        <f>IF(ISNA(MATCH(AC562,L560:L567,0)),0,VLOOKUP(AC562,L560:W567,AM$1,FALSE))</f>
        <v>8</v>
      </c>
      <c r="AN562" s="146">
        <f>IF(ISNA(MATCH(AC562,R560:R567,0)),0,VLOOKUP(AC562,R560:W567,AN$1,FALSE))</f>
        <v>3</v>
      </c>
      <c r="AP562" s="927"/>
      <c r="AQ562" s="927"/>
    </row>
    <row r="563" spans="1:47" ht="15.6" x14ac:dyDescent="0.3">
      <c r="A563" s="417">
        <f t="shared" si="501"/>
        <v>504</v>
      </c>
      <c r="B563" s="362" t="str">
        <f>'Event Details'!D$25</f>
        <v>R</v>
      </c>
      <c r="C563" s="381" t="str">
        <f>'Event Details'!E$25</f>
        <v>Rugby &amp; N'hampton</v>
      </c>
      <c r="D563" s="379"/>
      <c r="E563" s="378"/>
      <c r="F563" s="363" t="str">
        <f>VLOOKUP($B559,IF($H559="F",TeamSheetFemale,TeamSheetMale),$Y563-1,FALSE)</f>
        <v>R</v>
      </c>
      <c r="G563" s="380" t="str">
        <f>VLOOKUP($B559,IF($H559="F",TeamSheetFemale,TeamSheetMale),$Y563,FALSE)</f>
        <v>Tavayah Lennox</v>
      </c>
      <c r="H563" s="363" t="str">
        <f>VLOOKUP($B559,IF($H559="F",TeamSheetFemale,TeamSheetMale),$Y563+1,FALSE)</f>
        <v>RR</v>
      </c>
      <c r="I563" s="364" t="str">
        <f>VLOOKUP($B559,IF($H559="F",TeamSheetFemale,TeamSheetMale),$Y563+2,FALSE)</f>
        <v>Ava Lawrence</v>
      </c>
      <c r="K563" s="341" t="s">
        <v>274</v>
      </c>
      <c r="L563" s="16" t="str">
        <f t="shared" si="494"/>
        <v>F</v>
      </c>
      <c r="M563" s="927" t="s">
        <v>142</v>
      </c>
      <c r="N563" s="927">
        <v>11.4</v>
      </c>
      <c r="O563" s="353" t="str">
        <f>IF(LEN($M563)=1,VLOOKUP(LEFT($M563,1),B560:I567,5,FALSE),IF(LEN($M563)=2,VLOOKUP(LEFT($M563,1),B560:I567,7,FALSE),""))</f>
        <v>F</v>
      </c>
      <c r="P563" s="373" t="str">
        <f>IF(LEN($M563)=1,VLOOKUP(LEFT($M563,1),B560:I567,6,FALSE),IF(LEN($M563)=2,VLOOKUP(LEFT($M563,1),B560:I567,8,FALSE),""))</f>
        <v>Eden Farmer</v>
      </c>
      <c r="Q563" s="341" t="s">
        <v>274</v>
      </c>
      <c r="R563" s="146" t="str">
        <f t="shared" si="495"/>
        <v>Y</v>
      </c>
      <c r="S563" s="927" t="s">
        <v>822</v>
      </c>
      <c r="T563" s="927">
        <v>12.1</v>
      </c>
      <c r="U563" s="353" t="str">
        <f>IF(LEN($S563)=1,VLOOKUP(LEFT($S563,1),B560:I567,5,FALSE),IF(LEN($S563)=2,VLOOKUP(LEFT($S563,1),B560:I567,7,FALSE),""))</f>
        <v>YY</v>
      </c>
      <c r="V563" s="373" t="str">
        <f>IF(LEN($S563)=1,VLOOKUP(LEFT($S563,1),B560:I567,6,FALSE),IF(LEN($S563)=2,VLOOKUP(LEFT($S563,1),B560:I567,8,FALSE),""))</f>
        <v>Annabelle Hadland</v>
      </c>
      <c r="W563" s="417">
        <f t="shared" si="502"/>
        <v>5</v>
      </c>
      <c r="Y563" s="417">
        <v>22</v>
      </c>
      <c r="Z563" s="16" t="str">
        <f t="shared" si="496"/>
        <v>Tam</v>
      </c>
      <c r="AA563" s="146" t="str">
        <f t="shared" si="497"/>
        <v>Worc</v>
      </c>
      <c r="AB563" s="32"/>
      <c r="AC563" s="16" t="str">
        <f t="shared" si="498"/>
        <v>R</v>
      </c>
      <c r="AD563" s="419" t="str">
        <f t="shared" si="498"/>
        <v>Rugby &amp; N'hampton</v>
      </c>
      <c r="AE563" s="419">
        <f>IF(ISNA(MATCH(AC563,N560:N569,0)),0,VLOOKUP(AC563,N560:S569,5,FALSE))</f>
        <v>0</v>
      </c>
      <c r="AF563" s="419" t="str">
        <f>IF(ISNA(MATCH(AC563,T560:T569,0))," ",VLOOKUP(AC563,T560:Y569,5,FALSE))</f>
        <v xml:space="preserve"> </v>
      </c>
      <c r="AG563" s="419">
        <f>IF(ISNA(MATCH(AC563,L560:L567,0)),0,VLOOKUP(AC563,L560:N567,3,FALSE))</f>
        <v>11.1</v>
      </c>
      <c r="AH563" s="419">
        <f>IF(ISNA(MATCH(AC563,R560:R567,0)),0,VLOOKUP(AC563,R560:T567,3,FALSE))</f>
        <v>11.1</v>
      </c>
      <c r="AI563" s="419" t="str">
        <f>IF(ISNA(MATCH(AC563,L560:L567,0)),0,VLOOKUP(AC563,L560:P567,4,FALSE))</f>
        <v>R</v>
      </c>
      <c r="AJ563" s="419" t="str">
        <f>IF(ISNA(MATCH(AC563,R560:R567,0)),0,VLOOKUP(AC563,R560:U567,4,FALSE))</f>
        <v>RR</v>
      </c>
      <c r="AK563" s="32">
        <f t="shared" si="499"/>
        <v>2</v>
      </c>
      <c r="AL563" s="32">
        <f t="shared" si="500"/>
        <v>1</v>
      </c>
      <c r="AM563" s="32">
        <f>IF(ISNA(MATCH(AC563,L560:L567,0)),0,VLOOKUP(AC563,L560:W567,AM$1,FALSE))</f>
        <v>7</v>
      </c>
      <c r="AN563" s="146">
        <f>IF(ISNA(MATCH(AC563,R560:R567,0)),0,VLOOKUP(AC563,R560:W567,AN$1,FALSE))</f>
        <v>8</v>
      </c>
      <c r="AP563" s="927"/>
      <c r="AQ563" s="927"/>
    </row>
    <row r="564" spans="1:47" ht="15.6" x14ac:dyDescent="0.3">
      <c r="A564" s="417">
        <f t="shared" si="501"/>
        <v>505</v>
      </c>
      <c r="B564" s="362" t="str">
        <f>'Event Details'!D$26</f>
        <v>M</v>
      </c>
      <c r="C564" s="381" t="str">
        <f>'Event Details'!E$26</f>
        <v>Solihull &amp; S.Heath</v>
      </c>
      <c r="D564" s="379"/>
      <c r="E564" s="378"/>
      <c r="F564" s="363" t="str">
        <f>VLOOKUP($B559,IF($H559="F",TeamSheetFemale,TeamSheetMale),$Y564-1,FALSE)</f>
        <v>M</v>
      </c>
      <c r="G564" s="380" t="str">
        <f>VLOOKUP($B559,IF($H559="F",TeamSheetFemale,TeamSheetMale),$Y564,FALSE)</f>
        <v>Molly Dale</v>
      </c>
      <c r="H564" s="363" t="str">
        <f>VLOOKUP($B559,IF($H559="F",TeamSheetFemale,TeamSheetMale),$Y564+1,FALSE)</f>
        <v>MM</v>
      </c>
      <c r="I564" s="364" t="str">
        <f>VLOOKUP($B559,IF($H559="F",TeamSheetFemale,TeamSheetMale),$Y564+2,FALSE)</f>
        <v>Seren Dhami</v>
      </c>
      <c r="K564" s="341" t="s">
        <v>275</v>
      </c>
      <c r="L564" s="16" t="str">
        <f t="shared" si="494"/>
        <v>M</v>
      </c>
      <c r="M564" s="927" t="s">
        <v>127</v>
      </c>
      <c r="N564" s="927">
        <v>11.7</v>
      </c>
      <c r="O564" s="353" t="str">
        <f>IF(LEN($M564)=1,VLOOKUP(LEFT($M564,1),B560:I567,5,FALSE),IF(LEN($M564)=2,VLOOKUP(LEFT($M564,1),B560:I567,7,FALSE),""))</f>
        <v>M</v>
      </c>
      <c r="P564" s="373" t="str">
        <f>IF(LEN($M564)=1,VLOOKUP(LEFT($M564,1),B560:I567,6,FALSE),IF(LEN($M564)=2,VLOOKUP(LEFT($M564,1),B560:I567,8,FALSE),""))</f>
        <v>Molly Dale</v>
      </c>
      <c r="Q564" s="341" t="s">
        <v>275</v>
      </c>
      <c r="R564" s="146" t="str">
        <f t="shared" si="495"/>
        <v>F</v>
      </c>
      <c r="S564" s="927" t="s">
        <v>576</v>
      </c>
      <c r="T564" s="927">
        <v>12.2</v>
      </c>
      <c r="U564" s="353" t="str">
        <f>IF(LEN($S564)=1,VLOOKUP(LEFT($S564,1),B560:I567,5,FALSE),IF(LEN($S564)=2,VLOOKUP(LEFT($S564,1),B560:I567,7,FALSE),""))</f>
        <v>FF</v>
      </c>
      <c r="V564" s="373" t="str">
        <f>IF(LEN($S564)=1,VLOOKUP(LEFT($S564,1),B560:I567,6,FALSE),IF(LEN($S564)=2,VLOOKUP(LEFT($S564,1),B560:I567,8,FALSE),""))</f>
        <v>Peppi-Rose Sweet</v>
      </c>
      <c r="W564" s="417">
        <f t="shared" si="502"/>
        <v>4</v>
      </c>
      <c r="Y564" s="417">
        <v>27</v>
      </c>
      <c r="Z564" s="16" t="str">
        <f t="shared" si="496"/>
        <v>Sol</v>
      </c>
      <c r="AA564" s="146" t="str">
        <f t="shared" si="497"/>
        <v>Tam</v>
      </c>
      <c r="AB564" s="32"/>
      <c r="AC564" s="16" t="str">
        <f t="shared" si="498"/>
        <v>M</v>
      </c>
      <c r="AD564" s="419" t="str">
        <f t="shared" si="498"/>
        <v>Solihull &amp; S.Heath</v>
      </c>
      <c r="AE564" s="419">
        <f>IF(ISNA(MATCH(AC564,N560:N569,0)),0,VLOOKUP(AC564,N560:S569,5,FALSE))</f>
        <v>0</v>
      </c>
      <c r="AF564" s="419" t="str">
        <f>IF(ISNA(MATCH(AC564,T560:T569,0))," ",VLOOKUP(AC564,T560:Y569,5,FALSE))</f>
        <v xml:space="preserve"> </v>
      </c>
      <c r="AG564" s="419">
        <f>IF(ISNA(MATCH(AC564,L560:L567,0)),0,VLOOKUP(AC564,L560:N567,3,FALSE))</f>
        <v>11.7</v>
      </c>
      <c r="AH564" s="419">
        <f>IF(ISNA(MATCH(AC564,R560:R567,0)),0,VLOOKUP(AC564,R560:T567,3,FALSE))</f>
        <v>13.4</v>
      </c>
      <c r="AI564" s="419" t="str">
        <f>IF(ISNA(MATCH(AC564,L560:L567,0)),0,VLOOKUP(AC564,L560:P567,4,FALSE))</f>
        <v>M</v>
      </c>
      <c r="AJ564" s="419" t="str">
        <f>IF(ISNA(MATCH(AC564,R560:R567,0)),0,VLOOKUP(AC564,R560:U567,4,FALSE))</f>
        <v>MM</v>
      </c>
      <c r="AK564" s="32">
        <f t="shared" si="499"/>
        <v>5</v>
      </c>
      <c r="AL564" s="32">
        <f t="shared" si="500"/>
        <v>8</v>
      </c>
      <c r="AM564" s="32">
        <f>IF(ISNA(MATCH(AC564,L560:L567,0)),0,VLOOKUP(AC564,L560:W567,AM$1,FALSE))</f>
        <v>4</v>
      </c>
      <c r="AN564" s="146">
        <f>IF(ISNA(MATCH(AC564,R560:R567,0)),0,VLOOKUP(AC564,R560:W567,AN$1,FALSE))</f>
        <v>1</v>
      </c>
      <c r="AP564" s="927"/>
      <c r="AQ564" s="927"/>
    </row>
    <row r="565" spans="1:47" ht="15.6" x14ac:dyDescent="0.3">
      <c r="A565" s="417">
        <f t="shared" si="501"/>
        <v>506</v>
      </c>
      <c r="B565" s="362" t="str">
        <f>'Event Details'!D$27</f>
        <v>D</v>
      </c>
      <c r="C565" s="381" t="str">
        <f>'Event Details'!E$27</f>
        <v>Stratford</v>
      </c>
      <c r="D565" s="379"/>
      <c r="E565" s="378"/>
      <c r="F565" s="363" t="str">
        <f>VLOOKUP($B559,IF($H559="F",TeamSheetFemale,TeamSheetMale),$Y565-1,FALSE)</f>
        <v>D</v>
      </c>
      <c r="G565" s="380" t="str">
        <f>VLOOKUP($B559,IF($H559="F",TeamSheetFemale,TeamSheetMale),$Y565,FALSE)</f>
        <v>Megan White</v>
      </c>
      <c r="H565" s="363" t="str">
        <f>VLOOKUP($B559,IF($H559="F",TeamSheetFemale,TeamSheetMale),$Y565+1,FALSE)</f>
        <v>DD</v>
      </c>
      <c r="I565" s="364" t="str">
        <f>VLOOKUP($B559,IF($H559="F",TeamSheetFemale,TeamSheetMale),$Y565+2,FALSE)</f>
        <v>Elsie Gould</v>
      </c>
      <c r="K565" s="341" t="s">
        <v>276</v>
      </c>
      <c r="L565" s="16" t="str">
        <f t="shared" si="494"/>
        <v>S</v>
      </c>
      <c r="M565" s="927" t="s">
        <v>100</v>
      </c>
      <c r="N565" s="927">
        <v>11.9</v>
      </c>
      <c r="O565" s="353" t="str">
        <f>IF(LEN($M565)=1,VLOOKUP(LEFT($M565,1),B560:I567,5,FALSE),IF(LEN($M565)=2,VLOOKUP(LEFT($M565,1),B560:I567,7,FALSE),""))</f>
        <v>S</v>
      </c>
      <c r="P565" s="373" t="str">
        <f>IF(LEN($M565)=1,VLOOKUP(LEFT($M565,1),B560:I567,6,FALSE),IF(LEN($M565)=2,VLOOKUP(LEFT($M565,1),B560:I567,8,FALSE),""))</f>
        <v>Beatrice-Rosie Follows</v>
      </c>
      <c r="Q565" s="341" t="s">
        <v>276</v>
      </c>
      <c r="R565" s="146" t="str">
        <f t="shared" si="495"/>
        <v>G</v>
      </c>
      <c r="S565" s="927" t="s">
        <v>820</v>
      </c>
      <c r="T565" s="927">
        <v>12.2</v>
      </c>
      <c r="U565" s="353" t="str">
        <f>IF(LEN($S565)=1,VLOOKUP(LEFT($S565,1),B560:I567,5,FALSE),IF(LEN($S565)=2,VLOOKUP(LEFT($S565,1),B560:I567,7,FALSE),""))</f>
        <v>GG</v>
      </c>
      <c r="V565" s="373" t="str">
        <f>IF(LEN($S565)=1,VLOOKUP(LEFT($S565,1),B560:I567,6,FALSE),IF(LEN($S565)=2,VLOOKUP(LEFT($S565,1),B560:I567,8,FALSE),""))</f>
        <v xml:space="preserve">Isabelle Wakeman </v>
      </c>
      <c r="W565" s="417">
        <f t="shared" si="502"/>
        <v>3</v>
      </c>
      <c r="Y565" s="417">
        <v>32</v>
      </c>
      <c r="Z565" s="16" t="str">
        <f t="shared" si="496"/>
        <v>BRAT</v>
      </c>
      <c r="AA565" s="146" t="str">
        <f t="shared" si="497"/>
        <v>Royal</v>
      </c>
      <c r="AB565" s="32"/>
      <c r="AC565" s="16" t="str">
        <f t="shared" si="498"/>
        <v>D</v>
      </c>
      <c r="AD565" s="419" t="str">
        <f t="shared" si="498"/>
        <v>Stratford</v>
      </c>
      <c r="AE565" s="419">
        <f>IF(ISNA(MATCH(AC565,N560:N569,0)),0,VLOOKUP(AC565,N560:S569,5,FALSE))</f>
        <v>0</v>
      </c>
      <c r="AF565" s="419" t="str">
        <f>IF(ISNA(MATCH(AC565,T560:T569,0))," ",VLOOKUP(AC565,T560:Y569,5,FALSE))</f>
        <v xml:space="preserve"> </v>
      </c>
      <c r="AG565" s="419">
        <f>IF(ISNA(MATCH(AC565,L560:L567,0)),0,VLOOKUP(AC565,L560:N567,3,FALSE))</f>
        <v>11.3</v>
      </c>
      <c r="AH565" s="419">
        <f>IF(ISNA(MATCH(AC565,R560:R567,0)),0,VLOOKUP(AC565,R560:T567,3,FALSE))</f>
        <v>11.4</v>
      </c>
      <c r="AI565" s="419" t="str">
        <f>IF(ISNA(MATCH(AC565,L560:L567,0)),0,VLOOKUP(AC565,L560:P567,4,FALSE))</f>
        <v>D</v>
      </c>
      <c r="AJ565" s="419" t="str">
        <f>IF(ISNA(MATCH(AC565,R560:R567,0)),0,VLOOKUP(AC565,R560:U567,4,FALSE))</f>
        <v>DD</v>
      </c>
      <c r="AK565" s="32">
        <f t="shared" si="499"/>
        <v>3</v>
      </c>
      <c r="AL565" s="32">
        <f t="shared" si="500"/>
        <v>2</v>
      </c>
      <c r="AM565" s="32">
        <f>IF(ISNA(MATCH(AC565,L560:L567,0)),0,VLOOKUP(AC565,L560:W567,AM$1,FALSE))</f>
        <v>6</v>
      </c>
      <c r="AN565" s="146">
        <f>IF(ISNA(MATCH(AC565,R560:R567,0)),0,VLOOKUP(AC565,R560:W567,AN$1,FALSE))</f>
        <v>7</v>
      </c>
      <c r="AP565" s="927"/>
      <c r="AQ565" s="927"/>
    </row>
    <row r="566" spans="1:47" ht="15.6" x14ac:dyDescent="0.3">
      <c r="A566" s="417">
        <f t="shared" si="501"/>
        <v>507</v>
      </c>
      <c r="B566" s="362" t="str">
        <f>'Event Details'!D$28</f>
        <v>F</v>
      </c>
      <c r="C566" s="381" t="str">
        <f>'Event Details'!E$28</f>
        <v>Tamworth</v>
      </c>
      <c r="D566" s="379"/>
      <c r="E566" s="378"/>
      <c r="F566" s="363" t="str">
        <f>VLOOKUP($B559,IF($H559="F",TeamSheetFemale,TeamSheetMale),$Y566-1,FALSE)</f>
        <v>F</v>
      </c>
      <c r="G566" s="380" t="str">
        <f>VLOOKUP($B559,IF($H559="F",TeamSheetFemale,TeamSheetMale),$Y566,FALSE)</f>
        <v>Eden Farmer</v>
      </c>
      <c r="H566" s="363" t="str">
        <f>VLOOKUP($B559,IF($H559="F",TeamSheetFemale,TeamSheetMale),$Y566+1,FALSE)</f>
        <v>FF</v>
      </c>
      <c r="I566" s="364" t="str">
        <f>VLOOKUP($B559,IF($H559="F",TeamSheetFemale,TeamSheetMale),$Y566+2,FALSE)</f>
        <v>Peppi-Rose Sweet</v>
      </c>
      <c r="K566" s="341" t="s">
        <v>277</v>
      </c>
      <c r="L566" s="16" t="str">
        <f t="shared" si="494"/>
        <v>Y</v>
      </c>
      <c r="M566" s="927" t="s">
        <v>151</v>
      </c>
      <c r="N566" s="927">
        <v>12.3</v>
      </c>
      <c r="O566" s="353" t="str">
        <f>IF(LEN($M566)=1,VLOOKUP(LEFT($M566,1),B560:I567,5,FALSE),IF(LEN($M566)=2,VLOOKUP(LEFT($M566,1),B560:I567,7,FALSE),""))</f>
        <v>Y</v>
      </c>
      <c r="P566" s="373" t="str">
        <f>IF(LEN($M566)=1,VLOOKUP(LEFT($M566,1),B560:I567,6,FALSE),IF(LEN($M566)=2,VLOOKUP(LEFT($M566,1),B560:I567,8,FALSE),""))</f>
        <v>Ella Dyer</v>
      </c>
      <c r="Q566" s="341" t="s">
        <v>277</v>
      </c>
      <c r="R566" s="146" t="str">
        <f t="shared" si="495"/>
        <v>S</v>
      </c>
      <c r="S566" s="927" t="s">
        <v>818</v>
      </c>
      <c r="T566" s="927">
        <v>13.1</v>
      </c>
      <c r="U566" s="353" t="str">
        <f>IF(LEN($S566)=1,VLOOKUP(LEFT($S566,1),B560:I567,5,FALSE),IF(LEN($S566)=2,VLOOKUP(LEFT($S566,1),B560:I567,7,FALSE),""))</f>
        <v>SS</v>
      </c>
      <c r="V566" s="373" t="str">
        <f>IF(LEN($S566)=1,VLOOKUP(LEFT($S566,1),B560:I567,6,FALSE),IF(LEN($S566)=2,VLOOKUP(LEFT($S566,1),B560:I567,8,FALSE),""))</f>
        <v>Khushi Chanal</v>
      </c>
      <c r="W566" s="417">
        <f t="shared" si="502"/>
        <v>2</v>
      </c>
      <c r="Y566" s="417">
        <v>37</v>
      </c>
      <c r="Z566" s="16" t="str">
        <f t="shared" si="496"/>
        <v>Worc</v>
      </c>
      <c r="AA566" s="146" t="str">
        <f t="shared" si="497"/>
        <v>BRAT</v>
      </c>
      <c r="AB566" s="32"/>
      <c r="AC566" s="16" t="str">
        <f t="shared" si="498"/>
        <v>F</v>
      </c>
      <c r="AD566" s="419" t="str">
        <f t="shared" si="498"/>
        <v>Tamworth</v>
      </c>
      <c r="AE566" s="419">
        <f>IF(ISNA(MATCH(AC566,N558:N567,0)),0,VLOOKUP(AC566,N558:S567,5,FALSE))</f>
        <v>0</v>
      </c>
      <c r="AF566" s="419" t="str">
        <f>IF(ISNA(MATCH(AC566,T558:T567,0))," ",VLOOKUP(AC566,T558:Y567,5,FALSE))</f>
        <v xml:space="preserve"> </v>
      </c>
      <c r="AG566" s="419">
        <f>IF(ISNA(MATCH(AC566,L560:L567,0)),0,VLOOKUP(AC566,L560:N567,3,FALSE))</f>
        <v>11.4</v>
      </c>
      <c r="AH566" s="419">
        <f>IF(ISNA(MATCH(AC566,R560:R567,0)),0,VLOOKUP(AC566,R560:T567,3,FALSE))</f>
        <v>12.2</v>
      </c>
      <c r="AI566" s="419" t="str">
        <f>IF(ISNA(MATCH(AC566,L560:L567,0)),0,VLOOKUP(AC566,L560:P567,4,FALSE))</f>
        <v>F</v>
      </c>
      <c r="AJ566" s="419" t="str">
        <f>IF(ISNA(MATCH(AC566,R560:R567,0)),0,VLOOKUP(AC566,R560:U567,4,FALSE))</f>
        <v>FF</v>
      </c>
      <c r="AK566" s="32">
        <f t="shared" si="499"/>
        <v>4</v>
      </c>
      <c r="AL566" s="32">
        <f t="shared" si="500"/>
        <v>5</v>
      </c>
      <c r="AM566" s="32">
        <f>IF(ISNA(MATCH(AC566,L560:L567,0)),0,VLOOKUP(AC566,L560:W567,AM$1,FALSE))</f>
        <v>5</v>
      </c>
      <c r="AN566" s="146">
        <f>IF(ISNA(MATCH(AC566,R560:R567,0)),0,VLOOKUP(AC566,R560:W567,AN$1,FALSE))</f>
        <v>4</v>
      </c>
      <c r="AP566" s="927"/>
      <c r="AQ566" s="927"/>
    </row>
    <row r="567" spans="1:47" ht="16.2" thickBot="1" x14ac:dyDescent="0.35">
      <c r="A567" s="418">
        <f t="shared" si="501"/>
        <v>508</v>
      </c>
      <c r="B567" s="365" t="str">
        <f>'Event Details'!D$29</f>
        <v>Y</v>
      </c>
      <c r="C567" s="366" t="str">
        <f>'Event Details'!E$29</f>
        <v>Worcester</v>
      </c>
      <c r="D567" s="361"/>
      <c r="E567" s="370"/>
      <c r="F567" s="367" t="str">
        <f>VLOOKUP($B559,IF($H559="F",TeamSheetFemale,TeamSheetMale),$Y567-1,FALSE)</f>
        <v>Y</v>
      </c>
      <c r="G567" s="368" t="str">
        <f>VLOOKUP($B559,IF($H559="F",TeamSheetFemale,TeamSheetMale),$Y567,FALSE)</f>
        <v>Ella Dyer</v>
      </c>
      <c r="H567" s="367" t="str">
        <f>VLOOKUP($B559,IF($H559="F",TeamSheetFemale,TeamSheetMale),$Y567+1,FALSE)</f>
        <v>YY</v>
      </c>
      <c r="I567" s="369" t="str">
        <f>VLOOKUP($B559,IF($H559="F",TeamSheetFemale,TeamSheetMale),$Y567+2,FALSE)</f>
        <v>Annabelle Hadland</v>
      </c>
      <c r="K567" s="346" t="s">
        <v>278</v>
      </c>
      <c r="L567" s="25" t="str">
        <f t="shared" si="494"/>
        <v>U</v>
      </c>
      <c r="M567" s="932" t="s">
        <v>130</v>
      </c>
      <c r="N567" s="932">
        <v>12.4</v>
      </c>
      <c r="O567" s="375" t="str">
        <f>IF(LEN($M567)=1,VLOOKUP(LEFT($M567,1),B560:I567,5,FALSE),IF(LEN($M567)=2,VLOOKUP(LEFT($M567,1),B560:I567,7,FALSE),""))</f>
        <v>U</v>
      </c>
      <c r="P567" s="376" t="str">
        <f>IF(LEN($M567)=1,VLOOKUP(LEFT($M567,1),B560:I567,6,FALSE),IF(LEN($M567)=2,VLOOKUP(LEFT($M567,1),B560:I567,8,FALSE),""))</f>
        <v xml:space="preserve">Amelija Mendelyte </v>
      </c>
      <c r="Q567" s="346" t="s">
        <v>278</v>
      </c>
      <c r="R567" s="523" t="str">
        <f t="shared" si="495"/>
        <v>M</v>
      </c>
      <c r="S567" s="932" t="s">
        <v>821</v>
      </c>
      <c r="T567" s="932">
        <v>13.4</v>
      </c>
      <c r="U567" s="375" t="str">
        <f>IF(LEN($S567)=1,VLOOKUP(LEFT($S567,1),B560:I567,5,FALSE),IF(LEN($S567)=2,VLOOKUP(LEFT($S567,1),B560:I567,7,FALSE),""))</f>
        <v>MM</v>
      </c>
      <c r="V567" s="376" t="str">
        <f>IF(LEN($S567)=1,VLOOKUP(LEFT($S567,1),B560:I567,6,FALSE),IF(LEN($S567)=2,VLOOKUP(LEFT($S567,1),B560:I567,8,FALSE),""))</f>
        <v>Seren Dhami</v>
      </c>
      <c r="W567" s="418">
        <f t="shared" si="502"/>
        <v>1</v>
      </c>
      <c r="Y567" s="418">
        <v>42</v>
      </c>
      <c r="Z567" s="25" t="str">
        <f t="shared" si="496"/>
        <v>K&amp;S</v>
      </c>
      <c r="AA567" s="523" t="str">
        <f t="shared" si="497"/>
        <v>Sol</v>
      </c>
      <c r="AB567" s="32"/>
      <c r="AC567" s="25" t="str">
        <f t="shared" si="498"/>
        <v>Y</v>
      </c>
      <c r="AD567" s="624" t="str">
        <f t="shared" si="498"/>
        <v>Worcester</v>
      </c>
      <c r="AE567" s="624">
        <f>IF(ISNA(MATCH(AC567,N559:N568,0)),0,VLOOKUP(AC567,N559:S568,5,FALSE))</f>
        <v>0</v>
      </c>
      <c r="AF567" s="624" t="str">
        <f t="shared" ref="AF567" si="503">IF(ISNA(MATCH(AC567,T559:T568,0))," ",VLOOKUP(AC567,T559:Y568,5,FALSE))</f>
        <v xml:space="preserve"> </v>
      </c>
      <c r="AG567" s="624">
        <f>IF(ISNA(MATCH(AC567,L560:L567,0)),0,VLOOKUP(AC567,L560:N567,3,FALSE))</f>
        <v>12.3</v>
      </c>
      <c r="AH567" s="624">
        <f>IF(ISNA(MATCH(AC567,R560:R567,0)),0,VLOOKUP(AC567,R560:T567,3,FALSE))</f>
        <v>12.1</v>
      </c>
      <c r="AI567" s="624" t="str">
        <f>IF(ISNA(MATCH(AC567,L560:L567,0)),0,VLOOKUP(AC567,L560:P567,4,FALSE))</f>
        <v>Y</v>
      </c>
      <c r="AJ567" s="624" t="str">
        <f>IF(ISNA(MATCH(AC567,R560:R567,0)),0,VLOOKUP(AC567,R560:U567,4,FALSE))</f>
        <v>YY</v>
      </c>
      <c r="AK567" s="116">
        <f t="shared" si="499"/>
        <v>7</v>
      </c>
      <c r="AL567" s="116">
        <f t="shared" si="500"/>
        <v>4</v>
      </c>
      <c r="AM567" s="116">
        <f>IF(ISNA(MATCH(AC567,L560:L567,0)),0,VLOOKUP(AC567,L560:W567,AM$1,FALSE))</f>
        <v>2</v>
      </c>
      <c r="AN567" s="523">
        <f>IF(ISNA(MATCH(AC567,R560:R567,0)),0,VLOOKUP(AC567,R560:W567,AN$1,FALSE))</f>
        <v>5</v>
      </c>
      <c r="AP567" s="932"/>
      <c r="AQ567" s="932"/>
    </row>
    <row r="568" spans="1:47" ht="15" thickBot="1" x14ac:dyDescent="0.35">
      <c r="M568" s="276"/>
      <c r="N568" s="276"/>
      <c r="S568" s="276"/>
      <c r="T568" s="276"/>
      <c r="AP568" s="276"/>
      <c r="AQ568" s="276"/>
    </row>
    <row r="569" spans="1:47" x14ac:dyDescent="0.3">
      <c r="B569" s="400" t="s">
        <v>258</v>
      </c>
      <c r="C569" s="398"/>
      <c r="D569" s="401" t="s">
        <v>165</v>
      </c>
      <c r="E569" s="398"/>
      <c r="F569" s="398"/>
      <c r="G569" s="402" t="s">
        <v>259</v>
      </c>
      <c r="H569" s="403" t="s">
        <v>249</v>
      </c>
      <c r="I569" s="404" t="s">
        <v>168</v>
      </c>
      <c r="K569" s="360"/>
      <c r="L569" s="661"/>
      <c r="M569" s="387" t="s">
        <v>260</v>
      </c>
      <c r="N569" s="387" t="s">
        <v>261</v>
      </c>
      <c r="O569" s="387" t="s">
        <v>262</v>
      </c>
      <c r="P569" s="388" t="s">
        <v>75</v>
      </c>
      <c r="Q569" s="412"/>
      <c r="R569" s="657"/>
      <c r="S569" s="387" t="s">
        <v>260</v>
      </c>
      <c r="T569" s="387" t="s">
        <v>261</v>
      </c>
      <c r="U569" s="387" t="s">
        <v>262</v>
      </c>
      <c r="V569" s="388" t="s">
        <v>75</v>
      </c>
      <c r="W569" s="672" t="s">
        <v>76</v>
      </c>
      <c r="Y569" s="654" t="s">
        <v>263</v>
      </c>
      <c r="Z569" s="656" t="s">
        <v>74</v>
      </c>
      <c r="AA569" s="657" t="s">
        <v>75</v>
      </c>
      <c r="AC569" s="665" t="s">
        <v>71</v>
      </c>
      <c r="AD569" s="657" t="s">
        <v>86</v>
      </c>
      <c r="AE569" s="661" t="s">
        <v>149</v>
      </c>
      <c r="AF569" s="661" t="s">
        <v>94</v>
      </c>
      <c r="AG569" s="661" t="s">
        <v>149</v>
      </c>
      <c r="AH569" s="661" t="s">
        <v>94</v>
      </c>
      <c r="AI569" s="661" t="s">
        <v>149</v>
      </c>
      <c r="AJ569" s="661" t="s">
        <v>94</v>
      </c>
      <c r="AK569" s="1332" t="s">
        <v>149</v>
      </c>
      <c r="AL569" s="661" t="s">
        <v>94</v>
      </c>
      <c r="AM569" s="1406" t="s">
        <v>76</v>
      </c>
      <c r="AN569" s="1407"/>
      <c r="AP569" s="387" t="s">
        <v>260</v>
      </c>
      <c r="AQ569" s="387" t="s">
        <v>261</v>
      </c>
      <c r="AS569" s="1218" t="s">
        <v>165</v>
      </c>
      <c r="AT569" s="1219" t="s">
        <v>79</v>
      </c>
      <c r="AU569" s="1220" t="s">
        <v>80</v>
      </c>
    </row>
    <row r="570" spans="1:47" ht="15" thickBot="1" x14ac:dyDescent="0.35">
      <c r="B570" s="405">
        <v>51</v>
      </c>
      <c r="C570" s="399"/>
      <c r="D570" s="385" t="str">
        <f>VLOOKUP($B570,EventOrder,6,FALSE)</f>
        <v xml:space="preserve">150m </v>
      </c>
      <c r="E570" s="399"/>
      <c r="F570" s="385"/>
      <c r="G570" s="386" t="str">
        <f>VLOOKUP($B570,EventOrder,4,FALSE)</f>
        <v>U12 Female</v>
      </c>
      <c r="H570" s="396" t="str">
        <f>IF(MID(G570,5,1)="F","F","M")</f>
        <v>F</v>
      </c>
      <c r="I570" s="397">
        <f>VLOOKUP($B570,EventOrder,2,FALSE)</f>
        <v>3.4</v>
      </c>
      <c r="K570" s="372"/>
      <c r="L570" s="667" t="s">
        <v>149</v>
      </c>
      <c r="M570" s="409" t="s">
        <v>264</v>
      </c>
      <c r="N570" s="409" t="s">
        <v>265</v>
      </c>
      <c r="O570" s="409" t="s">
        <v>266</v>
      </c>
      <c r="P570" s="408"/>
      <c r="Q570" s="413"/>
      <c r="R570" s="659" t="s">
        <v>94</v>
      </c>
      <c r="S570" s="409" t="s">
        <v>264</v>
      </c>
      <c r="T570" s="409" t="s">
        <v>265</v>
      </c>
      <c r="U570" s="409" t="s">
        <v>266</v>
      </c>
      <c r="V570" s="408"/>
      <c r="W570" s="671"/>
      <c r="Y570" s="655" t="s">
        <v>167</v>
      </c>
      <c r="Z570" s="658" t="s">
        <v>149</v>
      </c>
      <c r="AA570" s="659" t="s">
        <v>94</v>
      </c>
      <c r="AC570" s="666"/>
      <c r="AD570" s="668"/>
      <c r="AE570" s="768" t="s">
        <v>75</v>
      </c>
      <c r="AF570" s="768" t="s">
        <v>75</v>
      </c>
      <c r="AG570" s="768" t="s">
        <v>267</v>
      </c>
      <c r="AH570" s="768" t="s">
        <v>267</v>
      </c>
      <c r="AI570" s="768" t="s">
        <v>268</v>
      </c>
      <c r="AJ570" s="768" t="s">
        <v>268</v>
      </c>
      <c r="AK570" s="770" t="s">
        <v>269</v>
      </c>
      <c r="AL570" s="768" t="s">
        <v>269</v>
      </c>
      <c r="AM570" s="667" t="s">
        <v>149</v>
      </c>
      <c r="AN570" s="659" t="s">
        <v>94</v>
      </c>
      <c r="AP570" s="409" t="s">
        <v>264</v>
      </c>
      <c r="AQ570" s="409" t="s">
        <v>265</v>
      </c>
      <c r="AS570" s="1221" t="s">
        <v>270</v>
      </c>
      <c r="AT570" s="1222" t="s">
        <v>270</v>
      </c>
      <c r="AU570" s="1223" t="s">
        <v>270</v>
      </c>
    </row>
    <row r="571" spans="1:47" ht="15.6" x14ac:dyDescent="0.3">
      <c r="A571" s="416">
        <f>(B570*10)+1</f>
        <v>511</v>
      </c>
      <c r="B571" s="362" t="str">
        <f>'Event Details'!D$22</f>
        <v>S</v>
      </c>
      <c r="C571" s="381" t="str">
        <f>'Event Details'!E$22</f>
        <v>BRAT</v>
      </c>
      <c r="D571" s="379"/>
      <c r="E571" s="378"/>
      <c r="F571" s="363" t="str">
        <f>VLOOKUP($B570,IF($H570="F",TeamSheetFemale,TeamSheetMale),$Y571-1,FALSE)</f>
        <v>S</v>
      </c>
      <c r="G571" s="380" t="str">
        <f>VLOOKUP($B570,IF($H570="F",TeamSheetFemale,TeamSheetMale),$Y571,FALSE)</f>
        <v xml:space="preserve">
Beatrice Rosie Follows</v>
      </c>
      <c r="H571" s="363" t="str">
        <f>VLOOKUP($B570,IF($H570="F",TeamSheetFemale,TeamSheetMale),$Y571+1,FALSE)</f>
        <v>SS</v>
      </c>
      <c r="I571" s="364" t="str">
        <f>VLOOKUP($B570,IF($H570="F",TeamSheetFemale,TeamSheetMale),$Y571+2,FALSE)</f>
        <v>Azucena Cereceda</v>
      </c>
      <c r="K571" s="393" t="s">
        <v>271</v>
      </c>
      <c r="L571" s="16" t="str">
        <f t="shared" ref="L571:L578" si="504">LEFT(M571,1)</f>
        <v>G</v>
      </c>
      <c r="M571" s="926" t="s">
        <v>110</v>
      </c>
      <c r="N571" s="926">
        <v>21.7</v>
      </c>
      <c r="O571" s="394" t="str">
        <f>IF(LEN($M571)=1,VLOOKUP(LEFT($M571,1),B571:I578,5,FALSE),IF(LEN($M571)=2,VLOOKUP(LEFT($M571,1),B571:I578,7,FALSE),""))</f>
        <v>G</v>
      </c>
      <c r="P571" s="395" t="str">
        <f>IF(LEN($M571)=1,VLOOKUP(LEFT($M571,1),B571:I578,6,FALSE),IF(LEN($M571)=2,VLOOKUP(LEFT($M571,1),B571:I578,8,FALSE),""))</f>
        <v xml:space="preserve">Lila Wilmore </v>
      </c>
      <c r="Q571" s="406" t="s">
        <v>271</v>
      </c>
      <c r="R571" s="146" t="str">
        <f t="shared" ref="R571:R578" si="505">LEFT(S571,1)</f>
        <v>R</v>
      </c>
      <c r="S571" s="926" t="s">
        <v>819</v>
      </c>
      <c r="T571" s="926">
        <v>21.1</v>
      </c>
      <c r="U571" s="394" t="str">
        <f>IF(LEN($S571)=1,VLOOKUP(LEFT($S571,1),B571:I578,5,FALSE),IF(LEN($S571)=2,VLOOKUP(LEFT($S571,1),B571:I578,7,FALSE),""))</f>
        <v>RR</v>
      </c>
      <c r="V571" s="395" t="str">
        <f>IF(LEN($S571)=1,VLOOKUP(LEFT($S571,1),B571:I578,6,FALSE),IF(LEN($S571)=2,VLOOKUP(LEFT($S571,1),B571:I578,8,FALSE),""))</f>
        <v>Saffron Davies</v>
      </c>
      <c r="W571" s="417">
        <f>AN$6</f>
        <v>8</v>
      </c>
      <c r="Y571" s="653">
        <v>7</v>
      </c>
      <c r="Z571" s="653" t="str">
        <f t="shared" ref="Z571:Z578" si="506">IF(LEN(M571)&gt;0,VLOOKUP(LEFT(M571,1),ShortName,5,FALSE),0)</f>
        <v>Royal</v>
      </c>
      <c r="AA571" s="138" t="str">
        <f t="shared" ref="AA571:AA578" si="507">IF(LEN(S571)&gt;0,VLOOKUP(LEFT(S571,1),ShortName,5,FALSE),0)</f>
        <v>Rugby</v>
      </c>
      <c r="AC571" s="16" t="str">
        <f t="shared" ref="AC571:AD578" si="508">B571</f>
        <v>S</v>
      </c>
      <c r="AD571" s="419" t="str">
        <f t="shared" si="508"/>
        <v>BRAT</v>
      </c>
      <c r="AE571" s="635">
        <f>IF(ISNA(MATCH(AC571,N571:N580,0)),0,VLOOKUP(AC571,N571:S580,5,FALSE))</f>
        <v>0</v>
      </c>
      <c r="AF571" s="635" t="str">
        <f>IF(ISNA(MATCH(AC571,T571:T580,0))," ",VLOOKUP(AC571,T571:Y580,5,FALSE))</f>
        <v xml:space="preserve"> </v>
      </c>
      <c r="AG571" s="635">
        <f>IF(ISNA(MATCH(AC571,L571:L578,0)),0,VLOOKUP(AC571,L571:N578,3,FALSE))</f>
        <v>24.4</v>
      </c>
      <c r="AH571" s="635">
        <f>IF(ISNA(MATCH(AC571,R571:R578,0)),0,VLOOKUP(AC571,R571:T578,3,FALSE))</f>
        <v>26</v>
      </c>
      <c r="AI571" s="635" t="str">
        <f>IF(ISNA(MATCH(AC571,L571:L578,0)),0,VLOOKUP(AC571,L571:P578,4,FALSE))</f>
        <v>S</v>
      </c>
      <c r="AJ571" s="635" t="str">
        <f>IF(ISNA(MATCH(AC571,R571:R578,0)),0,VLOOKUP(AC571,R571:U578,4,FALSE))</f>
        <v>SS</v>
      </c>
      <c r="AK571" s="49">
        <f t="shared" ref="AK571:AK578" si="509">IF(AM571=0,0,AN$6-(AM571-1))</f>
        <v>8</v>
      </c>
      <c r="AL571" s="49">
        <f t="shared" ref="AL571:AL578" si="510">IF(AN571=0,0,AN$6-(AN571-1))</f>
        <v>8</v>
      </c>
      <c r="AM571" s="49">
        <f>IF(ISNA(MATCH(AC571,L571:L578,0)),0,VLOOKUP(AC571,L571:W578,AM$1,FALSE))</f>
        <v>1</v>
      </c>
      <c r="AN571" s="138">
        <f>IF(ISNA(MATCH(AC571,R571:R578,0)),0,VLOOKUP(AC571,R571:W578,AN$1,FALSE))</f>
        <v>1</v>
      </c>
      <c r="AP571" s="926"/>
      <c r="AQ571" s="926"/>
      <c r="AS571" s="32">
        <f>IF(LEN(N571)&gt;0,1,0)</f>
        <v>1</v>
      </c>
      <c r="AT571" s="32">
        <f>IF(AND(AS571=1,H570="M"),1,0)</f>
        <v>0</v>
      </c>
      <c r="AU571" s="32">
        <f>IF(AND(AS571=1,H570="F"),1,0)</f>
        <v>1</v>
      </c>
    </row>
    <row r="572" spans="1:47" ht="15.6" x14ac:dyDescent="0.3">
      <c r="A572" s="417">
        <f>A571+1</f>
        <v>512</v>
      </c>
      <c r="B572" s="362" t="str">
        <f>'Event Details'!D$23</f>
        <v>U</v>
      </c>
      <c r="C572" s="381" t="str">
        <f>'Event Details'!E$23</f>
        <v>Kidder &amp; Stourport</v>
      </c>
      <c r="D572" s="379"/>
      <c r="E572" s="378"/>
      <c r="F572" s="363" t="str">
        <f>VLOOKUP($B570,IF($H570="F",TeamSheetFemale,TeamSheetMale),$Y572-1,FALSE)</f>
        <v>U</v>
      </c>
      <c r="G572" s="380" t="str">
        <f>VLOOKUP($B570,IF($H570="F",TeamSheetFemale,TeamSheetMale),$Y572,FALSE)</f>
        <v xml:space="preserve">Polly Richards </v>
      </c>
      <c r="H572" s="363" t="str">
        <f>VLOOKUP($B570,IF($H570="F",TeamSheetFemale,TeamSheetMale),$Y572+1,FALSE)</f>
        <v>UU</v>
      </c>
      <c r="I572" s="364" t="str">
        <f>VLOOKUP($B570,IF($H570="F",TeamSheetFemale,TeamSheetMale),$Y572+2,FALSE)</f>
        <v xml:space="preserve">Isabelle Evans </v>
      </c>
      <c r="K572" s="341" t="s">
        <v>272</v>
      </c>
      <c r="L572" s="16" t="str">
        <f t="shared" si="504"/>
        <v>F</v>
      </c>
      <c r="M572" s="927" t="s">
        <v>142</v>
      </c>
      <c r="N572" s="927">
        <v>22</v>
      </c>
      <c r="O572" s="354" t="str">
        <f>IF(LEN($M572)=1,VLOOKUP(LEFT($M572,1),B571:I578,5,FALSE),IF(LEN($M572)=2,VLOOKUP(LEFT($M572,1),B571:I578,7,FALSE),""))</f>
        <v>F</v>
      </c>
      <c r="P572" s="410" t="str">
        <f>IF(LEN($M572)=1,VLOOKUP(LEFT($M572,1),B571:I578,6,FALSE),IF(LEN($M572)=2,VLOOKUP(LEFT($M572,1),B571:I578,8,FALSE),""))</f>
        <v>Anabel Amankwah</v>
      </c>
      <c r="Q572" s="371" t="s">
        <v>272</v>
      </c>
      <c r="R572" s="146" t="str">
        <f t="shared" si="505"/>
        <v>G</v>
      </c>
      <c r="S572" s="927" t="s">
        <v>820</v>
      </c>
      <c r="T572" s="927">
        <v>22.6</v>
      </c>
      <c r="U572" s="354" t="str">
        <f>IF(LEN($S572)=1,VLOOKUP(LEFT($S572,1),B571:I578,5,FALSE),IF(LEN($S572)=2,VLOOKUP(LEFT($S572,1),B571:I578,7,FALSE),""))</f>
        <v>GG</v>
      </c>
      <c r="V572" s="410" t="str">
        <f>IF(LEN($S572)=1,VLOOKUP(LEFT($S572,1),B571:I578,6,FALSE),IF(LEN($S572)=2,VLOOKUP(LEFT($S572,1),B571:I578,8,FALSE),""))</f>
        <v xml:space="preserve">Indie Upton </v>
      </c>
      <c r="W572" s="417">
        <f>W571-1</f>
        <v>7</v>
      </c>
      <c r="Y572" s="16">
        <v>12</v>
      </c>
      <c r="Z572" s="16" t="str">
        <f t="shared" si="506"/>
        <v>Tam</v>
      </c>
      <c r="AA572" s="146" t="str">
        <f t="shared" si="507"/>
        <v>Royal</v>
      </c>
      <c r="AC572" s="16" t="str">
        <f t="shared" si="508"/>
        <v>U</v>
      </c>
      <c r="AD572" s="419" t="str">
        <f t="shared" si="508"/>
        <v>Kidder &amp; Stourport</v>
      </c>
      <c r="AE572" s="419">
        <f>IF(ISNA(MATCH(AC572,N571:N580,0)),0,VLOOKUP(AC572,N571:S580,5,FALSE))</f>
        <v>0</v>
      </c>
      <c r="AF572" s="419" t="str">
        <f>IF(ISNA(MATCH(AC572,T571:T580,0))," ",VLOOKUP(AC572,T571:Y580,5,FALSE))</f>
        <v xml:space="preserve"> </v>
      </c>
      <c r="AG572" s="419">
        <f>IF(ISNA(MATCH(AC572,L571:L578,0)),0,VLOOKUP(AC572,L571:N578,3,FALSE))</f>
        <v>23.8</v>
      </c>
      <c r="AH572" s="419">
        <f>IF(ISNA(MATCH(AC572,R571:R578,0)),0,VLOOKUP(AC572,R571:T578,3,FALSE))</f>
        <v>23.3</v>
      </c>
      <c r="AI572" s="419" t="str">
        <f>IF(ISNA(MATCH(AC572,L571:L578,0)),0,VLOOKUP(AC572,L571:P578,4,FALSE))</f>
        <v>U</v>
      </c>
      <c r="AJ572" s="419" t="str">
        <f>IF(ISNA(MATCH(AC572,R571:R578,0)),0,VLOOKUP(AC572,R571:U578,4,FALSE))</f>
        <v>UU</v>
      </c>
      <c r="AK572" s="32">
        <f t="shared" si="509"/>
        <v>6</v>
      </c>
      <c r="AL572" s="32">
        <f t="shared" si="510"/>
        <v>5</v>
      </c>
      <c r="AM572" s="32">
        <f>IF(ISNA(MATCH(AC572,L571:L578,0)),0,VLOOKUP(AC572,L571:W578,AM$1,FALSE))</f>
        <v>3</v>
      </c>
      <c r="AN572" s="146">
        <f>IF(ISNA(MATCH(AC572,R571:R578,0)),0,VLOOKUP(AC572,R571:W578,AN$1,FALSE))</f>
        <v>4</v>
      </c>
      <c r="AP572" s="927"/>
      <c r="AQ572" s="927"/>
    </row>
    <row r="573" spans="1:47" ht="15.6" x14ac:dyDescent="0.3">
      <c r="A573" s="417">
        <f t="shared" ref="A573:A578" si="511">A572+1</f>
        <v>513</v>
      </c>
      <c r="B573" s="362" t="str">
        <f>'Event Details'!D$24</f>
        <v>G</v>
      </c>
      <c r="C573" s="381" t="str">
        <f>'Event Details'!E$24</f>
        <v>Royal Sutton</v>
      </c>
      <c r="D573" s="379"/>
      <c r="E573" s="378"/>
      <c r="F573" s="363" t="str">
        <f>VLOOKUP($B570,IF($H570="F",TeamSheetFemale,TeamSheetMale),$Y573-1,FALSE)</f>
        <v>G</v>
      </c>
      <c r="G573" s="380" t="str">
        <f>VLOOKUP($B570,IF($H570="F",TeamSheetFemale,TeamSheetMale),$Y573,FALSE)</f>
        <v xml:space="preserve">Lila Wilmore </v>
      </c>
      <c r="H573" s="363" t="str">
        <f>VLOOKUP($B570,IF($H570="F",TeamSheetFemale,TeamSheetMale),$Y573+1,FALSE)</f>
        <v>GG</v>
      </c>
      <c r="I573" s="364" t="str">
        <f>VLOOKUP($B570,IF($H570="F",TeamSheetFemale,TeamSheetMale),$Y573+2,FALSE)</f>
        <v xml:space="preserve">Indie Upton </v>
      </c>
      <c r="K573" s="341" t="s">
        <v>273</v>
      </c>
      <c r="L573" s="16" t="str">
        <f t="shared" si="504"/>
        <v>R</v>
      </c>
      <c r="M573" s="927" t="s">
        <v>118</v>
      </c>
      <c r="N573" s="927">
        <v>22.3</v>
      </c>
      <c r="O573" s="354" t="str">
        <f>IF(LEN($M573)=1,VLOOKUP(LEFT($M573,1),B571:I578,5,FALSE),IF(LEN($M573)=2,VLOOKUP(LEFT($M573,1),B571:I578,7,FALSE),""))</f>
        <v>R</v>
      </c>
      <c r="P573" s="410" t="str">
        <f>IF(LEN($M573)=1,VLOOKUP(LEFT($M573,1),B571:I578,6,FALSE),IF(LEN($M573)=2,VLOOKUP(LEFT($M573,1),B571:I578,8,FALSE),""))</f>
        <v>Layla Phelan</v>
      </c>
      <c r="Q573" s="371" t="s">
        <v>273</v>
      </c>
      <c r="R573" s="146" t="str">
        <f t="shared" si="505"/>
        <v>M</v>
      </c>
      <c r="S573" s="927" t="s">
        <v>821</v>
      </c>
      <c r="T573" s="927">
        <v>22.8</v>
      </c>
      <c r="U573" s="354" t="str">
        <f>IF(LEN($S573)=1,VLOOKUP(LEFT($S573,1),B571:I578,5,FALSE),IF(LEN($S573)=2,VLOOKUP(LEFT($S573,1),B571:I578,7,FALSE),""))</f>
        <v>MM</v>
      </c>
      <c r="V573" s="410" t="str">
        <f>IF(LEN($S573)=1,VLOOKUP(LEFT($S573,1),B571:I578,6,FALSE),IF(LEN($S573)=2,VLOOKUP(LEFT($S573,1),B571:I578,8,FALSE),""))</f>
        <v>Elizabeth Fowler</v>
      </c>
      <c r="W573" s="417">
        <f t="shared" ref="W573:W578" si="512">W572-1</f>
        <v>6</v>
      </c>
      <c r="Y573" s="16">
        <v>17</v>
      </c>
      <c r="Z573" s="16" t="str">
        <f t="shared" si="506"/>
        <v>Rugby</v>
      </c>
      <c r="AA573" s="146" t="str">
        <f t="shared" si="507"/>
        <v>Sol</v>
      </c>
      <c r="AC573" s="16" t="str">
        <f t="shared" si="508"/>
        <v>G</v>
      </c>
      <c r="AD573" s="419" t="str">
        <f t="shared" si="508"/>
        <v>Royal Sutton</v>
      </c>
      <c r="AE573" s="419">
        <f>IF(ISNA(MATCH(AC573,N571:N580,0)),0,VLOOKUP(AC573,N571:S580,5,FALSE))</f>
        <v>0</v>
      </c>
      <c r="AF573" s="419" t="str">
        <f>IF(ISNA(MATCH(AC573,T571:T580,0))," ",VLOOKUP(AC573,T571:Y580,5,FALSE))</f>
        <v xml:space="preserve"> </v>
      </c>
      <c r="AG573" s="419">
        <f>IF(ISNA(MATCH(AC573,L571:L578,0)),0,VLOOKUP(AC573,L571:N578,3,FALSE))</f>
        <v>21.7</v>
      </c>
      <c r="AH573" s="419">
        <f>IF(ISNA(MATCH(AC573,R571:R578,0)),0,VLOOKUP(AC573,R571:T578,3,FALSE))</f>
        <v>22.6</v>
      </c>
      <c r="AI573" s="419" t="str">
        <f>IF(ISNA(MATCH(AC573,L571:L578,0)),0,VLOOKUP(AC573,L571:P578,4,FALSE))</f>
        <v>G</v>
      </c>
      <c r="AJ573" s="419" t="str">
        <f>IF(ISNA(MATCH(AC573,R571:R578,0)),0,VLOOKUP(AC573,R571:U578,4,FALSE))</f>
        <v>GG</v>
      </c>
      <c r="AK573" s="32">
        <f t="shared" si="509"/>
        <v>1</v>
      </c>
      <c r="AL573" s="32">
        <f t="shared" si="510"/>
        <v>2</v>
      </c>
      <c r="AM573" s="32">
        <f>IF(ISNA(MATCH(AC573,L571:L578,0)),0,VLOOKUP(AC573,L571:W578,AM$1,FALSE))</f>
        <v>8</v>
      </c>
      <c r="AN573" s="146">
        <f>IF(ISNA(MATCH(AC573,R571:R578,0)),0,VLOOKUP(AC573,R571:W578,AN$1,FALSE))</f>
        <v>7</v>
      </c>
      <c r="AP573" s="927"/>
      <c r="AQ573" s="927"/>
    </row>
    <row r="574" spans="1:47" ht="15.6" x14ac:dyDescent="0.3">
      <c r="A574" s="417">
        <f t="shared" si="511"/>
        <v>514</v>
      </c>
      <c r="B574" s="362" t="str">
        <f>'Event Details'!D$25</f>
        <v>R</v>
      </c>
      <c r="C574" s="381" t="str">
        <f>'Event Details'!E$25</f>
        <v>Rugby &amp; N'hampton</v>
      </c>
      <c r="D574" s="379"/>
      <c r="E574" s="378"/>
      <c r="F574" s="363" t="str">
        <f>VLOOKUP($B570,IF($H570="F",TeamSheetFemale,TeamSheetMale),$Y574-1,FALSE)</f>
        <v>R</v>
      </c>
      <c r="G574" s="380" t="str">
        <f>VLOOKUP($B570,IF($H570="F",TeamSheetFemale,TeamSheetMale),$Y574,FALSE)</f>
        <v>Layla Phelan</v>
      </c>
      <c r="H574" s="363" t="str">
        <f>VLOOKUP($B570,IF($H570="F",TeamSheetFemale,TeamSheetMale),$Y574+1,FALSE)</f>
        <v>RR</v>
      </c>
      <c r="I574" s="364" t="str">
        <f>VLOOKUP($B570,IF($H570="F",TeamSheetFemale,TeamSheetMale),$Y574+2,FALSE)</f>
        <v>Saffron Davies</v>
      </c>
      <c r="K574" s="341" t="s">
        <v>274</v>
      </c>
      <c r="L574" s="16" t="str">
        <f t="shared" si="504"/>
        <v>D</v>
      </c>
      <c r="M574" s="927" t="s">
        <v>136</v>
      </c>
      <c r="N574" s="927">
        <v>23</v>
      </c>
      <c r="O574" s="354" t="str">
        <f>IF(LEN($M574)=1,VLOOKUP(LEFT($M574,1),B571:I578,5,FALSE),IF(LEN($M574)=2,VLOOKUP(LEFT($M574,1),B571:I578,7,FALSE),""))</f>
        <v>D</v>
      </c>
      <c r="P574" s="410" t="str">
        <f>IF(LEN($M574)=1,VLOOKUP(LEFT($M574,1),B571:I578,6,FALSE),IF(LEN($M574)=2,VLOOKUP(LEFT($M574,1),B571:I578,8,FALSE),""))</f>
        <v>Saskia Atkins</v>
      </c>
      <c r="Q574" s="371" t="s">
        <v>274</v>
      </c>
      <c r="R574" s="146" t="str">
        <f t="shared" si="505"/>
        <v>Y</v>
      </c>
      <c r="S574" s="927" t="s">
        <v>822</v>
      </c>
      <c r="T574" s="927">
        <v>23.2</v>
      </c>
      <c r="U574" s="354" t="str">
        <f>IF(LEN($S574)=1,VLOOKUP(LEFT($S574,1),B571:I578,5,FALSE),IF(LEN($S574)=2,VLOOKUP(LEFT($S574,1),B571:I578,7,FALSE),""))</f>
        <v>YY</v>
      </c>
      <c r="V574" s="410" t="str">
        <f>IF(LEN($S574)=1,VLOOKUP(LEFT($S574,1),B571:I578,6,FALSE),IF(LEN($S574)=2,VLOOKUP(LEFT($S574,1),B571:I578,8,FALSE),""))</f>
        <v>Megan Mabey</v>
      </c>
      <c r="W574" s="417">
        <f t="shared" si="512"/>
        <v>5</v>
      </c>
      <c r="Y574" s="16">
        <v>22</v>
      </c>
      <c r="Z574" s="16" t="str">
        <f t="shared" si="506"/>
        <v>Strat</v>
      </c>
      <c r="AA574" s="146" t="str">
        <f t="shared" si="507"/>
        <v>Worc</v>
      </c>
      <c r="AC574" s="16" t="str">
        <f t="shared" si="508"/>
        <v>R</v>
      </c>
      <c r="AD574" s="419" t="str">
        <f t="shared" si="508"/>
        <v>Rugby &amp; N'hampton</v>
      </c>
      <c r="AE574" s="419">
        <f>IF(ISNA(MATCH(AC574,N571:N580,0)),0,VLOOKUP(AC574,N571:S580,5,FALSE))</f>
        <v>0</v>
      </c>
      <c r="AF574" s="419" t="str">
        <f>IF(ISNA(MATCH(AC574,T571:T580,0))," ",VLOOKUP(AC574,T571:Y580,5,FALSE))</f>
        <v xml:space="preserve"> </v>
      </c>
      <c r="AG574" s="419">
        <f>IF(ISNA(MATCH(AC574,L571:L578,0)),0,VLOOKUP(AC574,L571:N578,3,FALSE))</f>
        <v>22.3</v>
      </c>
      <c r="AH574" s="419">
        <f>IF(ISNA(MATCH(AC574,R571:R578,0)),0,VLOOKUP(AC574,R571:T578,3,FALSE))</f>
        <v>21.1</v>
      </c>
      <c r="AI574" s="419" t="str">
        <f>IF(ISNA(MATCH(AC574,L571:L578,0)),0,VLOOKUP(AC574,L571:P578,4,FALSE))</f>
        <v>R</v>
      </c>
      <c r="AJ574" s="419" t="str">
        <f>IF(ISNA(MATCH(AC574,R571:R578,0)),0,VLOOKUP(AC574,R571:U578,4,FALSE))</f>
        <v>RR</v>
      </c>
      <c r="AK574" s="32">
        <f t="shared" si="509"/>
        <v>3</v>
      </c>
      <c r="AL574" s="32">
        <f t="shared" si="510"/>
        <v>1</v>
      </c>
      <c r="AM574" s="32">
        <f>IF(ISNA(MATCH(AC574,L571:L578,0)),0,VLOOKUP(AC574,L571:W578,AM$1,FALSE))</f>
        <v>6</v>
      </c>
      <c r="AN574" s="146">
        <f>IF(ISNA(MATCH(AC574,R571:R578,0)),0,VLOOKUP(AC574,R571:W578,AN$1,FALSE))</f>
        <v>8</v>
      </c>
      <c r="AP574" s="927"/>
      <c r="AQ574" s="927"/>
    </row>
    <row r="575" spans="1:47" ht="15.6" x14ac:dyDescent="0.3">
      <c r="A575" s="417">
        <f t="shared" si="511"/>
        <v>515</v>
      </c>
      <c r="B575" s="362" t="str">
        <f>'Event Details'!D$26</f>
        <v>M</v>
      </c>
      <c r="C575" s="381" t="str">
        <f>'Event Details'!E$26</f>
        <v>Solihull &amp; S.Heath</v>
      </c>
      <c r="D575" s="379"/>
      <c r="E575" s="378"/>
      <c r="F575" s="363" t="str">
        <f>VLOOKUP($B570,IF($H570="F",TeamSheetFemale,TeamSheetMale),$Y575-1,FALSE)</f>
        <v>M</v>
      </c>
      <c r="G575" s="380" t="str">
        <f>VLOOKUP($B570,IF($H570="F",TeamSheetFemale,TeamSheetMale),$Y575,FALSE)</f>
        <v>Jessica Blundell</v>
      </c>
      <c r="H575" s="363" t="str">
        <f>VLOOKUP($B570,IF($H570="F",TeamSheetFemale,TeamSheetMale),$Y575+1,FALSE)</f>
        <v>MM</v>
      </c>
      <c r="I575" s="364" t="str">
        <f>VLOOKUP($B570,IF($H570="F",TeamSheetFemale,TeamSheetMale),$Y575+2,FALSE)</f>
        <v>Elizabeth Fowler</v>
      </c>
      <c r="K575" s="341" t="s">
        <v>275</v>
      </c>
      <c r="L575" s="16" t="str">
        <f t="shared" si="504"/>
        <v>M</v>
      </c>
      <c r="M575" s="927" t="s">
        <v>127</v>
      </c>
      <c r="N575" s="927">
        <v>23.1</v>
      </c>
      <c r="O575" s="354" t="str">
        <f>IF(LEN($M575)=1,VLOOKUP(LEFT($M575,1),B571:I578,5,FALSE),IF(LEN($M575)=2,VLOOKUP(LEFT($M575,1),B571:I578,7,FALSE),""))</f>
        <v>M</v>
      </c>
      <c r="P575" s="410" t="str">
        <f>IF(LEN($M575)=1,VLOOKUP(LEFT($M575,1),B571:I578,6,FALSE),IF(LEN($M575)=2,VLOOKUP(LEFT($M575,1),B571:I578,8,FALSE),""))</f>
        <v>Jessica Blundell</v>
      </c>
      <c r="Q575" s="371" t="s">
        <v>275</v>
      </c>
      <c r="R575" s="146" t="str">
        <f t="shared" si="505"/>
        <v>U</v>
      </c>
      <c r="S575" s="927" t="s">
        <v>726</v>
      </c>
      <c r="T575" s="927">
        <v>23.3</v>
      </c>
      <c r="U575" s="354" t="str">
        <f>IF(LEN($S575)=1,VLOOKUP(LEFT($S575,1),B571:I578,5,FALSE),IF(LEN($S575)=2,VLOOKUP(LEFT($S575,1),B571:I578,7,FALSE),""))</f>
        <v>UU</v>
      </c>
      <c r="V575" s="410" t="str">
        <f>IF(LEN($S575)=1,VLOOKUP(LEFT($S575,1),B571:I578,6,FALSE),IF(LEN($S575)=2,VLOOKUP(LEFT($S575,1),B571:I578,8,FALSE),""))</f>
        <v xml:space="preserve">Isabelle Evans </v>
      </c>
      <c r="W575" s="417">
        <f t="shared" si="512"/>
        <v>4</v>
      </c>
      <c r="Y575" s="16">
        <v>27</v>
      </c>
      <c r="Z575" s="16" t="str">
        <f t="shared" si="506"/>
        <v>Sol</v>
      </c>
      <c r="AA575" s="146" t="str">
        <f t="shared" si="507"/>
        <v>K&amp;S</v>
      </c>
      <c r="AC575" s="16" t="str">
        <f t="shared" si="508"/>
        <v>M</v>
      </c>
      <c r="AD575" s="419" t="str">
        <f t="shared" si="508"/>
        <v>Solihull &amp; S.Heath</v>
      </c>
      <c r="AE575" s="419">
        <f>IF(ISNA(MATCH(AC575,N571:N580,0)),0,VLOOKUP(AC575,N571:S580,5,FALSE))</f>
        <v>0</v>
      </c>
      <c r="AF575" s="419" t="str">
        <f>IF(ISNA(MATCH(AC575,T571:T580,0))," ",VLOOKUP(AC575,T571:Y580,5,FALSE))</f>
        <v xml:space="preserve"> </v>
      </c>
      <c r="AG575" s="419">
        <f>IF(ISNA(MATCH(AC575,L571:L578,0)),0,VLOOKUP(AC575,L571:N578,3,FALSE))</f>
        <v>23.1</v>
      </c>
      <c r="AH575" s="419">
        <f>IF(ISNA(MATCH(AC575,R571:R578,0)),0,VLOOKUP(AC575,R571:T578,3,FALSE))</f>
        <v>22.8</v>
      </c>
      <c r="AI575" s="419" t="str">
        <f>IF(ISNA(MATCH(AC575,L571:L578,0)),0,VLOOKUP(AC575,L571:P578,4,FALSE))</f>
        <v>M</v>
      </c>
      <c r="AJ575" s="419" t="str">
        <f>IF(ISNA(MATCH(AC575,R571:R578,0)),0,VLOOKUP(AC575,R571:U578,4,FALSE))</f>
        <v>MM</v>
      </c>
      <c r="AK575" s="32">
        <f t="shared" si="509"/>
        <v>5</v>
      </c>
      <c r="AL575" s="32">
        <f t="shared" si="510"/>
        <v>3</v>
      </c>
      <c r="AM575" s="32">
        <f>IF(ISNA(MATCH(AC575,L571:L578,0)),0,VLOOKUP(AC575,L571:W578,AM$1,FALSE))</f>
        <v>4</v>
      </c>
      <c r="AN575" s="146">
        <f>IF(ISNA(MATCH(AC575,R571:R578,0)),0,VLOOKUP(AC575,R571:W578,AN$1,FALSE))</f>
        <v>6</v>
      </c>
      <c r="AP575" s="927"/>
      <c r="AQ575" s="927"/>
    </row>
    <row r="576" spans="1:47" ht="15.6" x14ac:dyDescent="0.3">
      <c r="A576" s="417">
        <f t="shared" si="511"/>
        <v>516</v>
      </c>
      <c r="B576" s="362" t="str">
        <f>'Event Details'!D$27</f>
        <v>D</v>
      </c>
      <c r="C576" s="381" t="str">
        <f>'Event Details'!E$27</f>
        <v>Stratford</v>
      </c>
      <c r="D576" s="379"/>
      <c r="E576" s="378"/>
      <c r="F576" s="363" t="str">
        <f>VLOOKUP($B570,IF($H570="F",TeamSheetFemale,TeamSheetMale),$Y576-1,FALSE)</f>
        <v>D</v>
      </c>
      <c r="G576" s="380" t="str">
        <f>VLOOKUP($B570,IF($H570="F",TeamSheetFemale,TeamSheetMale),$Y576,FALSE)</f>
        <v>Saskia Atkins</v>
      </c>
      <c r="H576" s="363" t="str">
        <f>VLOOKUP($B570,IF($H570="F",TeamSheetFemale,TeamSheetMale),$Y576+1,FALSE)</f>
        <v>DD</v>
      </c>
      <c r="I576" s="364" t="str">
        <f>VLOOKUP($B570,IF($H570="F",TeamSheetFemale,TeamSheetMale),$Y576+2,FALSE)</f>
        <v>Quinn Lancaster</v>
      </c>
      <c r="K576" s="341" t="s">
        <v>276</v>
      </c>
      <c r="L576" s="16" t="str">
        <f t="shared" si="504"/>
        <v>U</v>
      </c>
      <c r="M576" s="927" t="s">
        <v>130</v>
      </c>
      <c r="N576" s="927">
        <v>23.8</v>
      </c>
      <c r="O576" s="354" t="str">
        <f>IF(LEN($M576)=1,VLOOKUP(LEFT($M576,1),B571:I578,5,FALSE),IF(LEN($M576)=2,VLOOKUP(LEFT($M576,1),B571:I578,7,FALSE),""))</f>
        <v>U</v>
      </c>
      <c r="P576" s="410" t="str">
        <f>IF(LEN($M576)=1,VLOOKUP(LEFT($M576,1),B571:I578,6,FALSE),IF(LEN($M576)=2,VLOOKUP(LEFT($M576,1),B571:I578,8,FALSE),""))</f>
        <v xml:space="preserve">Polly Richards </v>
      </c>
      <c r="Q576" s="371" t="s">
        <v>276</v>
      </c>
      <c r="R576" s="146" t="str">
        <f t="shared" si="505"/>
        <v>D</v>
      </c>
      <c r="S576" s="927" t="s">
        <v>513</v>
      </c>
      <c r="T576" s="927">
        <v>23.3</v>
      </c>
      <c r="U576" s="354" t="str">
        <f>IF(LEN($S576)=1,VLOOKUP(LEFT($S576,1),B571:I578,5,FALSE),IF(LEN($S576)=2,VLOOKUP(LEFT($S576,1),B571:I578,7,FALSE),""))</f>
        <v>DD</v>
      </c>
      <c r="V576" s="410" t="str">
        <f>IF(LEN($S576)=1,VLOOKUP(LEFT($S576,1),B571:I578,6,FALSE),IF(LEN($S576)=2,VLOOKUP(LEFT($S576,1),B571:I578,8,FALSE),""))</f>
        <v>Quinn Lancaster</v>
      </c>
      <c r="W576" s="417">
        <f t="shared" si="512"/>
        <v>3</v>
      </c>
      <c r="Y576" s="16">
        <v>32</v>
      </c>
      <c r="Z576" s="16" t="str">
        <f t="shared" si="506"/>
        <v>K&amp;S</v>
      </c>
      <c r="AA576" s="146" t="str">
        <f t="shared" si="507"/>
        <v>Strat</v>
      </c>
      <c r="AC576" s="16" t="str">
        <f t="shared" si="508"/>
        <v>D</v>
      </c>
      <c r="AD576" s="419" t="str">
        <f t="shared" si="508"/>
        <v>Stratford</v>
      </c>
      <c r="AE576" s="419">
        <f>IF(ISNA(MATCH(AC576,N571:N580,0)),0,VLOOKUP(AC576,N571:S580,5,FALSE))</f>
        <v>0</v>
      </c>
      <c r="AF576" s="419" t="str">
        <f>IF(ISNA(MATCH(AC576,T571:T580,0))," ",VLOOKUP(AC576,T571:Y580,5,FALSE))</f>
        <v xml:space="preserve"> </v>
      </c>
      <c r="AG576" s="419">
        <f>IF(ISNA(MATCH(AC576,L571:L578,0)),0,VLOOKUP(AC576,L571:N578,3,FALSE))</f>
        <v>23</v>
      </c>
      <c r="AH576" s="419">
        <f>IF(ISNA(MATCH(AC576,R571:R578,0)),0,VLOOKUP(AC576,R571:T578,3,FALSE))</f>
        <v>23.3</v>
      </c>
      <c r="AI576" s="419" t="str">
        <f>IF(ISNA(MATCH(AC576,L571:L578,0)),0,VLOOKUP(AC576,L571:P578,4,FALSE))</f>
        <v>D</v>
      </c>
      <c r="AJ576" s="419" t="str">
        <f>IF(ISNA(MATCH(AC576,R571:R578,0)),0,VLOOKUP(AC576,R571:U578,4,FALSE))</f>
        <v>DD</v>
      </c>
      <c r="AK576" s="32">
        <f t="shared" si="509"/>
        <v>4</v>
      </c>
      <c r="AL576" s="32">
        <f t="shared" si="510"/>
        <v>6</v>
      </c>
      <c r="AM576" s="32">
        <f>IF(ISNA(MATCH(AC576,L571:L578,0)),0,VLOOKUP(AC576,L571:W578,AM$1,FALSE))</f>
        <v>5</v>
      </c>
      <c r="AN576" s="146">
        <f>IF(ISNA(MATCH(AC576,R571:R578,0)),0,VLOOKUP(AC576,R571:W578,AN$1,FALSE))</f>
        <v>3</v>
      </c>
      <c r="AP576" s="927"/>
      <c r="AQ576" s="927"/>
    </row>
    <row r="577" spans="1:47" ht="15.6" x14ac:dyDescent="0.3">
      <c r="A577" s="417">
        <f t="shared" si="511"/>
        <v>517</v>
      </c>
      <c r="B577" s="362" t="str">
        <f>'Event Details'!D$28</f>
        <v>F</v>
      </c>
      <c r="C577" s="381" t="str">
        <f>'Event Details'!E$28</f>
        <v>Tamworth</v>
      </c>
      <c r="D577" s="379"/>
      <c r="E577" s="378"/>
      <c r="F577" s="363" t="str">
        <f>VLOOKUP($B570,IF($H570="F",TeamSheetFemale,TeamSheetMale),$Y577-1,FALSE)</f>
        <v>F</v>
      </c>
      <c r="G577" s="380" t="str">
        <f>VLOOKUP($B570,IF($H570="F",TeamSheetFemale,TeamSheetMale),$Y577,FALSE)</f>
        <v>Anabel Amankwah</v>
      </c>
      <c r="H577" s="363" t="str">
        <f>VLOOKUP($B570,IF($H570="F",TeamSheetFemale,TeamSheetMale),$Y577+1,FALSE)</f>
        <v>FF</v>
      </c>
      <c r="I577" s="364" t="str">
        <f>VLOOKUP($B570,IF($H570="F",TeamSheetFemale,TeamSheetMale),$Y577+2,FALSE)</f>
        <v>Clara Knight-Dutton</v>
      </c>
      <c r="K577" s="341" t="s">
        <v>277</v>
      </c>
      <c r="L577" s="16" t="str">
        <f t="shared" si="504"/>
        <v>Y</v>
      </c>
      <c r="M577" s="927" t="s">
        <v>151</v>
      </c>
      <c r="N577" s="927">
        <v>24.2</v>
      </c>
      <c r="O577" s="354" t="str">
        <f>IF(LEN($M577)=1,VLOOKUP(LEFT($M577,1),B571:I578,5,FALSE),IF(LEN($M577)=2,VLOOKUP(LEFT($M577,1),B571:I578,7,FALSE),""))</f>
        <v>Y</v>
      </c>
      <c r="P577" s="410" t="str">
        <f>IF(LEN($M577)=1,VLOOKUP(LEFT($M577,1),B571:I578,6,FALSE),IF(LEN($M577)=2,VLOOKUP(LEFT($M577,1),B571:I578,8,FALSE),""))</f>
        <v>Daisy Lawes</v>
      </c>
      <c r="Q577" s="371" t="s">
        <v>277</v>
      </c>
      <c r="R577" s="146" t="str">
        <f t="shared" si="505"/>
        <v>F</v>
      </c>
      <c r="S577" s="927" t="s">
        <v>576</v>
      </c>
      <c r="T577" s="927">
        <v>23.4</v>
      </c>
      <c r="U577" s="354" t="str">
        <f>IF(LEN($S577)=1,VLOOKUP(LEFT($S577,1),B571:I578,5,FALSE),IF(LEN($S577)=2,VLOOKUP(LEFT($S577,1),B571:I578,7,FALSE),""))</f>
        <v>FF</v>
      </c>
      <c r="V577" s="410" t="str">
        <f>IF(LEN($S577)=1,VLOOKUP(LEFT($S577,1),B571:I578,6,FALSE),IF(LEN($S577)=2,VLOOKUP(LEFT($S577,1),B571:I578,8,FALSE),""))</f>
        <v>Clara Knight-Dutton</v>
      </c>
      <c r="W577" s="417">
        <f t="shared" si="512"/>
        <v>2</v>
      </c>
      <c r="Y577" s="16">
        <v>37</v>
      </c>
      <c r="Z577" s="16" t="str">
        <f t="shared" si="506"/>
        <v>Worc</v>
      </c>
      <c r="AA577" s="146" t="str">
        <f t="shared" si="507"/>
        <v>Tam</v>
      </c>
      <c r="AC577" s="16" t="str">
        <f t="shared" si="508"/>
        <v>F</v>
      </c>
      <c r="AD577" s="419" t="str">
        <f t="shared" si="508"/>
        <v>Tamworth</v>
      </c>
      <c r="AE577" s="419">
        <f>IF(ISNA(MATCH(AC577,N569:N578,0)),0,VLOOKUP(AC577,N569:S578,5,FALSE))</f>
        <v>0</v>
      </c>
      <c r="AF577" s="419" t="str">
        <f>IF(ISNA(MATCH(AC577,T569:T578,0))," ",VLOOKUP(AC577,T569:Y578,5,FALSE))</f>
        <v xml:space="preserve"> </v>
      </c>
      <c r="AG577" s="419">
        <f>IF(ISNA(MATCH(AC577,L571:L578,0)),0,VLOOKUP(AC577,L571:N578,3,FALSE))</f>
        <v>22</v>
      </c>
      <c r="AH577" s="419">
        <f>IF(ISNA(MATCH(AC577,R571:R578,0)),0,VLOOKUP(AC577,R571:T578,3,FALSE))</f>
        <v>23.4</v>
      </c>
      <c r="AI577" s="419" t="str">
        <f>IF(ISNA(MATCH(AC577,L571:L578,0)),0,VLOOKUP(AC577,L571:P578,4,FALSE))</f>
        <v>F</v>
      </c>
      <c r="AJ577" s="419" t="str">
        <f>IF(ISNA(MATCH(AC577,R571:R578,0)),0,VLOOKUP(AC577,R571:U578,4,FALSE))</f>
        <v>FF</v>
      </c>
      <c r="AK577" s="32">
        <f t="shared" si="509"/>
        <v>2</v>
      </c>
      <c r="AL577" s="32">
        <f t="shared" si="510"/>
        <v>7</v>
      </c>
      <c r="AM577" s="32">
        <f>IF(ISNA(MATCH(AC577,L571:L578,0)),0,VLOOKUP(AC577,L571:W578,AM$1,FALSE))</f>
        <v>7</v>
      </c>
      <c r="AN577" s="146">
        <f>IF(ISNA(MATCH(AC577,R571:R578,0)),0,VLOOKUP(AC577,R571:W578,AN$1,FALSE))</f>
        <v>2</v>
      </c>
      <c r="AP577" s="927"/>
      <c r="AQ577" s="927"/>
    </row>
    <row r="578" spans="1:47" ht="16.2" thickBot="1" x14ac:dyDescent="0.35">
      <c r="A578" s="418">
        <f t="shared" si="511"/>
        <v>518</v>
      </c>
      <c r="B578" s="365" t="str">
        <f>'Event Details'!D$29</f>
        <v>Y</v>
      </c>
      <c r="C578" s="366" t="str">
        <f>'Event Details'!E$29</f>
        <v>Worcester</v>
      </c>
      <c r="D578" s="361"/>
      <c r="E578" s="370"/>
      <c r="F578" s="367" t="str">
        <f>VLOOKUP($B570,IF($H570="F",TeamSheetFemale,TeamSheetMale),$Y578-1,FALSE)</f>
        <v>Y</v>
      </c>
      <c r="G578" s="368" t="str">
        <f>VLOOKUP($B570,IF($H570="F",TeamSheetFemale,TeamSheetMale),$Y578,FALSE)</f>
        <v>Daisy Lawes</v>
      </c>
      <c r="H578" s="367" t="str">
        <f>VLOOKUP($B570,IF($H570="F",TeamSheetFemale,TeamSheetMale),$Y578+1,FALSE)</f>
        <v>YY</v>
      </c>
      <c r="I578" s="369" t="str">
        <f>VLOOKUP($B570,IF($H570="F",TeamSheetFemale,TeamSheetMale),$Y578+2,FALSE)</f>
        <v>Megan Mabey</v>
      </c>
      <c r="K578" s="346" t="s">
        <v>278</v>
      </c>
      <c r="L578" s="25" t="str">
        <f t="shared" si="504"/>
        <v>S</v>
      </c>
      <c r="M578" s="928" t="s">
        <v>100</v>
      </c>
      <c r="N578" s="932">
        <v>24.4</v>
      </c>
      <c r="O578" s="374" t="str">
        <f>IF(LEN($M578)=1,VLOOKUP(LEFT($M578,1),B571:I578,5,FALSE),IF(LEN($M578)=2,VLOOKUP(LEFT($M578,1),B571:I578,7,FALSE),""))</f>
        <v>S</v>
      </c>
      <c r="P578" s="411" t="str">
        <f>IF(LEN($M578)=1,VLOOKUP(LEFT($M578,1),B571:I578,6,FALSE),IF(LEN($M578)=2,VLOOKUP(LEFT($M578,1),B571:I578,8,FALSE),""))</f>
        <v xml:space="preserve">
Beatrice Rosie Follows</v>
      </c>
      <c r="Q578" s="407" t="s">
        <v>278</v>
      </c>
      <c r="R578" s="523" t="str">
        <f t="shared" si="505"/>
        <v>S</v>
      </c>
      <c r="S578" s="928" t="s">
        <v>818</v>
      </c>
      <c r="T578" s="932">
        <v>26</v>
      </c>
      <c r="U578" s="374" t="str">
        <f>IF(LEN($S578)=1,VLOOKUP(LEFT($S578,1),B571:I578,5,FALSE),IF(LEN($S578)=2,VLOOKUP(LEFT($S578,1),B571:I578,7,FALSE),""))</f>
        <v>SS</v>
      </c>
      <c r="V578" s="411" t="str">
        <f>IF(LEN($S578)=1,VLOOKUP(LEFT($S578,1),B571:I578,6,FALSE),IF(LEN($S578)=2,VLOOKUP(LEFT($S578,1),B571:I578,8,FALSE),""))</f>
        <v>Azucena Cereceda</v>
      </c>
      <c r="W578" s="418">
        <f t="shared" si="512"/>
        <v>1</v>
      </c>
      <c r="Y578" s="25">
        <v>42</v>
      </c>
      <c r="Z578" s="25" t="str">
        <f t="shared" si="506"/>
        <v>BRAT</v>
      </c>
      <c r="AA578" s="523" t="str">
        <f t="shared" si="507"/>
        <v>BRAT</v>
      </c>
      <c r="AC578" s="25" t="str">
        <f t="shared" si="508"/>
        <v>Y</v>
      </c>
      <c r="AD578" s="624" t="str">
        <f t="shared" si="508"/>
        <v>Worcester</v>
      </c>
      <c r="AE578" s="624">
        <f>IF(ISNA(MATCH(AC578,N570:N579,0)),0,VLOOKUP(AC578,N570:S579,5,FALSE))</f>
        <v>0</v>
      </c>
      <c r="AF578" s="624" t="str">
        <f t="shared" ref="AF578" si="513">IF(ISNA(MATCH(AC578,T570:T579,0))," ",VLOOKUP(AC578,T570:Y579,5,FALSE))</f>
        <v xml:space="preserve"> </v>
      </c>
      <c r="AG578" s="624">
        <f>IF(ISNA(MATCH(AC578,L571:L578,0)),0,VLOOKUP(AC578,L571:N578,3,FALSE))</f>
        <v>24.2</v>
      </c>
      <c r="AH578" s="624">
        <f>IF(ISNA(MATCH(AC578,R571:R578,0)),0,VLOOKUP(AC578,R571:T578,3,FALSE))</f>
        <v>23.2</v>
      </c>
      <c r="AI578" s="624" t="str">
        <f>IF(ISNA(MATCH(AC578,L571:L578,0)),0,VLOOKUP(AC578,L571:P578,4,FALSE))</f>
        <v>Y</v>
      </c>
      <c r="AJ578" s="624" t="str">
        <f>IF(ISNA(MATCH(AC578,R571:R578,0)),0,VLOOKUP(AC578,R571:U578,4,FALSE))</f>
        <v>YY</v>
      </c>
      <c r="AK578" s="116">
        <f t="shared" si="509"/>
        <v>7</v>
      </c>
      <c r="AL578" s="116">
        <f t="shared" si="510"/>
        <v>4</v>
      </c>
      <c r="AM578" s="116">
        <f>IF(ISNA(MATCH(AC578,L571:L578,0)),0,VLOOKUP(AC578,L571:W578,AM$1,FALSE))</f>
        <v>2</v>
      </c>
      <c r="AN578" s="523">
        <f>IF(ISNA(MATCH(AC578,R571:R578,0)),0,VLOOKUP(AC578,R571:W578,AN$1,FALSE))</f>
        <v>5</v>
      </c>
      <c r="AP578" s="928"/>
      <c r="AQ578" s="932"/>
    </row>
    <row r="579" spans="1:47" ht="15" thickBot="1" x14ac:dyDescent="0.35">
      <c r="M579" s="276"/>
      <c r="N579" s="307"/>
      <c r="S579" s="276"/>
      <c r="T579" s="307"/>
      <c r="AP579" s="276"/>
      <c r="AQ579" s="307"/>
    </row>
    <row r="580" spans="1:47" x14ac:dyDescent="0.3">
      <c r="B580" s="400" t="s">
        <v>258</v>
      </c>
      <c r="C580" s="398"/>
      <c r="D580" s="401" t="s">
        <v>165</v>
      </c>
      <c r="E580" s="398"/>
      <c r="F580" s="398"/>
      <c r="G580" s="402" t="s">
        <v>259</v>
      </c>
      <c r="H580" s="403" t="s">
        <v>249</v>
      </c>
      <c r="I580" s="404" t="s">
        <v>168</v>
      </c>
      <c r="K580" s="360"/>
      <c r="L580" s="661"/>
      <c r="M580" s="929" t="s">
        <v>260</v>
      </c>
      <c r="N580" s="929" t="s">
        <v>261</v>
      </c>
      <c r="O580" s="387" t="s">
        <v>262</v>
      </c>
      <c r="P580" s="388" t="s">
        <v>75</v>
      </c>
      <c r="Q580" s="389"/>
      <c r="R580" s="657"/>
      <c r="S580" s="929" t="s">
        <v>260</v>
      </c>
      <c r="T580" s="929" t="s">
        <v>261</v>
      </c>
      <c r="U580" s="387" t="s">
        <v>262</v>
      </c>
      <c r="V580" s="388" t="s">
        <v>75</v>
      </c>
      <c r="W580" s="672" t="s">
        <v>76</v>
      </c>
      <c r="Y580" s="414" t="s">
        <v>263</v>
      </c>
      <c r="Z580" s="656" t="s">
        <v>74</v>
      </c>
      <c r="AA580" s="657" t="s">
        <v>75</v>
      </c>
      <c r="AC580" s="665" t="s">
        <v>71</v>
      </c>
      <c r="AD580" s="657" t="s">
        <v>86</v>
      </c>
      <c r="AE580" s="661" t="s">
        <v>149</v>
      </c>
      <c r="AF580" s="661" t="s">
        <v>94</v>
      </c>
      <c r="AG580" s="661" t="s">
        <v>149</v>
      </c>
      <c r="AH580" s="661" t="s">
        <v>94</v>
      </c>
      <c r="AI580" s="661" t="s">
        <v>149</v>
      </c>
      <c r="AJ580" s="661" t="s">
        <v>94</v>
      </c>
      <c r="AK580" s="1332" t="s">
        <v>149</v>
      </c>
      <c r="AL580" s="661" t="s">
        <v>94</v>
      </c>
      <c r="AM580" s="1406" t="s">
        <v>76</v>
      </c>
      <c r="AN580" s="1407"/>
      <c r="AP580" s="929" t="s">
        <v>260</v>
      </c>
      <c r="AQ580" s="929" t="s">
        <v>261</v>
      </c>
      <c r="AS580" s="1218" t="s">
        <v>165</v>
      </c>
      <c r="AT580" s="1219" t="s">
        <v>79</v>
      </c>
      <c r="AU580" s="1220" t="s">
        <v>80</v>
      </c>
    </row>
    <row r="581" spans="1:47" ht="15" thickBot="1" x14ac:dyDescent="0.35">
      <c r="B581" s="405">
        <v>52</v>
      </c>
      <c r="C581" s="399"/>
      <c r="D581" s="385" t="str">
        <f>VLOOKUP($B581,EventOrder,6,FALSE)</f>
        <v>Long Jump Pit 1</v>
      </c>
      <c r="E581" s="399"/>
      <c r="F581" s="385"/>
      <c r="G581" s="386" t="str">
        <f>VLOOKUP($B581,EventOrder,4,FALSE)</f>
        <v>U14 Female</v>
      </c>
      <c r="H581" s="396" t="str">
        <f>IF(MID(G581,5,1)="F","F","M")</f>
        <v>F</v>
      </c>
      <c r="I581" s="397">
        <f>VLOOKUP($B581,EventOrder,2,FALSE)</f>
        <v>2.5</v>
      </c>
      <c r="K581" s="377"/>
      <c r="L581" s="667" t="s">
        <v>149</v>
      </c>
      <c r="M581" s="930" t="s">
        <v>264</v>
      </c>
      <c r="N581" s="930" t="s">
        <v>265</v>
      </c>
      <c r="O581" s="390" t="s">
        <v>266</v>
      </c>
      <c r="P581" s="391"/>
      <c r="Q581" s="392"/>
      <c r="R581" s="659" t="s">
        <v>94</v>
      </c>
      <c r="S581" s="930" t="s">
        <v>264</v>
      </c>
      <c r="T581" s="930" t="s">
        <v>265</v>
      </c>
      <c r="U581" s="390" t="s">
        <v>266</v>
      </c>
      <c r="V581" s="391"/>
      <c r="W581" s="671"/>
      <c r="Y581" s="415" t="s">
        <v>167</v>
      </c>
      <c r="Z581" s="658" t="s">
        <v>149</v>
      </c>
      <c r="AA581" s="659" t="s">
        <v>94</v>
      </c>
      <c r="AC581" s="666"/>
      <c r="AD581" s="668"/>
      <c r="AE581" s="768" t="s">
        <v>75</v>
      </c>
      <c r="AF581" s="768" t="s">
        <v>75</v>
      </c>
      <c r="AG581" s="768" t="s">
        <v>267</v>
      </c>
      <c r="AH581" s="768" t="s">
        <v>267</v>
      </c>
      <c r="AI581" s="768" t="s">
        <v>268</v>
      </c>
      <c r="AJ581" s="768" t="s">
        <v>268</v>
      </c>
      <c r="AK581" s="770" t="s">
        <v>269</v>
      </c>
      <c r="AL581" s="768" t="s">
        <v>269</v>
      </c>
      <c r="AM581" s="667" t="s">
        <v>149</v>
      </c>
      <c r="AN581" s="659" t="s">
        <v>94</v>
      </c>
      <c r="AP581" s="930" t="s">
        <v>264</v>
      </c>
      <c r="AQ581" s="930" t="s">
        <v>265</v>
      </c>
      <c r="AS581" s="1221" t="s">
        <v>270</v>
      </c>
      <c r="AT581" s="1222" t="s">
        <v>270</v>
      </c>
      <c r="AU581" s="1223" t="s">
        <v>270</v>
      </c>
    </row>
    <row r="582" spans="1:47" ht="15.6" x14ac:dyDescent="0.3">
      <c r="A582" s="416">
        <f>(B581*10)+1</f>
        <v>521</v>
      </c>
      <c r="B582" s="362" t="str">
        <f>'Event Details'!D$22</f>
        <v>S</v>
      </c>
      <c r="C582" s="381" t="str">
        <f>'Event Details'!E$22</f>
        <v>BRAT</v>
      </c>
      <c r="D582" s="379"/>
      <c r="E582" s="378"/>
      <c r="F582" s="363" t="str">
        <f>VLOOKUP($B581,IF($H581="F",TeamSheetFemale,TeamSheetMale),$Y582-1,FALSE)</f>
        <v>S</v>
      </c>
      <c r="G582" s="380" t="str">
        <f>VLOOKUP($B581,IF($H581="F",TeamSheetFemale,TeamSheetMale),$Y582,FALSE)</f>
        <v>Mar O'Connor Delgado</v>
      </c>
      <c r="H582" s="363" t="str">
        <f>VLOOKUP($B581,IF($H581="F",TeamSheetFemale,TeamSheetMale),$Y582+1,FALSE)</f>
        <v>SS</v>
      </c>
      <c r="I582" s="364" t="str">
        <f>VLOOKUP($B581,IF($H581="F",TeamSheetFemale,TeamSheetMale),$Y582+2,FALSE)</f>
        <v>Agnes thomson</v>
      </c>
      <c r="K582" s="393" t="s">
        <v>271</v>
      </c>
      <c r="L582" s="16" t="str">
        <f t="shared" ref="L582:L589" si="514">LEFT(M582,1)</f>
        <v>Y</v>
      </c>
      <c r="M582" s="926" t="s">
        <v>151</v>
      </c>
      <c r="N582" s="926">
        <v>4.1500000000000004</v>
      </c>
      <c r="O582" s="394" t="str">
        <f>IF(LEN($M582)=1,VLOOKUP(LEFT($M582,1),B582:I589,5,FALSE),IF(LEN($M582)=2,VLOOKUP(LEFT($M582,1),B582:I589,7,FALSE),""))</f>
        <v>Y</v>
      </c>
      <c r="P582" s="395" t="str">
        <f>IF(LEN($M582)=1,VLOOKUP(LEFT($M582,1),B582:I589,6,FALSE),IF(LEN($M582)=2,VLOOKUP(LEFT($M582,1),B582:I589,8,FALSE),""))</f>
        <v>Gracie Hodgkins</v>
      </c>
      <c r="Q582" s="393" t="s">
        <v>271</v>
      </c>
      <c r="R582" s="146" t="str">
        <f t="shared" ref="R582:R589" si="515">LEFT(S582,1)</f>
        <v>S</v>
      </c>
      <c r="S582" s="926" t="s">
        <v>818</v>
      </c>
      <c r="T582" s="926">
        <v>3.85</v>
      </c>
      <c r="U582" s="394" t="str">
        <f>IF(LEN($S582)=1,VLOOKUP(LEFT($S582,1),B582:I589,5,FALSE),IF(LEN($S582)=2,VLOOKUP(LEFT($S582,1),B582:I589,7,FALSE),""))</f>
        <v>SS</v>
      </c>
      <c r="V582" s="395" t="str">
        <f>IF(LEN($S582)=1,VLOOKUP(LEFT($S582,1),B582:I589,6,FALSE),IF(LEN($S582)=2,VLOOKUP(LEFT($S582,1),B582:I589,8,FALSE),""))</f>
        <v>Agnes thomson</v>
      </c>
      <c r="W582" s="417">
        <f>AN$6</f>
        <v>8</v>
      </c>
      <c r="Y582" s="416">
        <v>7</v>
      </c>
      <c r="Z582" s="653" t="str">
        <f t="shared" ref="Z582:Z589" si="516">IF(LEN(M582)&gt;0,VLOOKUP(LEFT(M582,1),ShortName,5,FALSE),0)</f>
        <v>Worc</v>
      </c>
      <c r="AA582" s="138" t="str">
        <f t="shared" ref="AA582:AA589" si="517">IF(LEN(S582)&gt;0,VLOOKUP(LEFT(S582,1),ShortName,5,FALSE),0)</f>
        <v>BRAT</v>
      </c>
      <c r="AC582" s="16" t="str">
        <f t="shared" ref="AC582:AD589" si="518">B582</f>
        <v>S</v>
      </c>
      <c r="AD582" s="419" t="str">
        <f t="shared" si="518"/>
        <v>BRAT</v>
      </c>
      <c r="AE582" s="635">
        <f>IF(ISNA(MATCH(AC582,N582:N591,0)),0,VLOOKUP(AC582,N582:S591,5,FALSE))</f>
        <v>0</v>
      </c>
      <c r="AF582" s="635" t="str">
        <f>IF(ISNA(MATCH(AC582,T582:T591,0))," ",VLOOKUP(AC582,T582:Y591,5,FALSE))</f>
        <v xml:space="preserve"> </v>
      </c>
      <c r="AG582" s="635">
        <f>IF(ISNA(MATCH(AC582,L582:L589,0)),0,VLOOKUP(AC582,L582:N589,3,FALSE))</f>
        <v>3.9</v>
      </c>
      <c r="AH582" s="635">
        <f>IF(ISNA(MATCH(AC582,R582:R589,0)),0,VLOOKUP(AC582,R582:T589,3,FALSE))</f>
        <v>3.85</v>
      </c>
      <c r="AI582" s="635" t="str">
        <f>IF(ISNA(MATCH(AC582,L582:L589,0)),0,VLOOKUP(AC582,L582:P589,4,FALSE))</f>
        <v>S</v>
      </c>
      <c r="AJ582" s="635" t="str">
        <f>IF(ISNA(MATCH(AC582,R582:R589,0)),0,VLOOKUP(AC582,R582:U589,4,FALSE))</f>
        <v>SS</v>
      </c>
      <c r="AK582" s="49">
        <f t="shared" ref="AK582:AK589" si="519">IF(AM582=0,0,AN$6-(AM582-1))</f>
        <v>2</v>
      </c>
      <c r="AL582" s="49">
        <f t="shared" ref="AL582:AL589" si="520">IF(AN582=0,0,AN$6-(AN582-1))</f>
        <v>1</v>
      </c>
      <c r="AM582" s="49">
        <f>IF(ISNA(MATCH(AC582,L582:L589,0)),0,VLOOKUP(AC582,L582:W589,AM$1,FALSE))</f>
        <v>7</v>
      </c>
      <c r="AN582" s="138">
        <f>IF(ISNA(MATCH(AC582,R582:R589,0)),0,VLOOKUP(AC582,R582:W589,AN$1,FALSE))</f>
        <v>8</v>
      </c>
      <c r="AP582" s="926"/>
      <c r="AQ582" s="926"/>
      <c r="AS582" s="32">
        <f>IF(LEN(N582)&gt;0,1,0)</f>
        <v>1</v>
      </c>
      <c r="AT582" s="32">
        <f>IF(AND(AS582=1,H581="M"),1,0)</f>
        <v>0</v>
      </c>
      <c r="AU582" s="32">
        <f>IF(AND(AS582=1,H581="F"),1,0)</f>
        <v>1</v>
      </c>
    </row>
    <row r="583" spans="1:47" ht="15.6" x14ac:dyDescent="0.3">
      <c r="A583" s="417">
        <f>A582+1</f>
        <v>522</v>
      </c>
      <c r="B583" s="362" t="str">
        <f>'Event Details'!D$23</f>
        <v>U</v>
      </c>
      <c r="C583" s="381" t="str">
        <f>'Event Details'!E$23</f>
        <v>Kidder &amp; Stourport</v>
      </c>
      <c r="D583" s="379"/>
      <c r="E583" s="378"/>
      <c r="F583" s="363" t="str">
        <f>VLOOKUP($B581,IF($H581="F",TeamSheetFemale,TeamSheetMale),$Y583-1,FALSE)</f>
        <v>U</v>
      </c>
      <c r="G583" s="380" t="str">
        <f>VLOOKUP($B581,IF($H581="F",TeamSheetFemale,TeamSheetMale),$Y583,FALSE)</f>
        <v>Pippa Richards</v>
      </c>
      <c r="H583" s="363" t="str">
        <f>VLOOKUP($B581,IF($H581="F",TeamSheetFemale,TeamSheetMale),$Y583+1,FALSE)</f>
        <v>UU</v>
      </c>
      <c r="I583" s="364" t="str">
        <f>VLOOKUP($B581,IF($H581="F",TeamSheetFemale,TeamSheetMale),$Y583+2,FALSE)</f>
        <v>Lila Warwick</v>
      </c>
      <c r="K583" s="341" t="s">
        <v>272</v>
      </c>
      <c r="L583" s="16" t="str">
        <f t="shared" si="514"/>
        <v>S</v>
      </c>
      <c r="M583" s="927" t="s">
        <v>100</v>
      </c>
      <c r="N583" s="927">
        <v>3.9</v>
      </c>
      <c r="O583" s="353" t="str">
        <f>IF(LEN($M583)=1,VLOOKUP(LEFT($M583,1),B582:I589,5,FALSE),IF(LEN($M583)=2,VLOOKUP(LEFT($M583,1),B582:I589,7,FALSE),""))</f>
        <v>S</v>
      </c>
      <c r="P583" s="373" t="str">
        <f>IF(LEN($M583)=1,VLOOKUP(LEFT($M583,1),B582:I589,6,FALSE),IF(LEN($M583)=2,VLOOKUP(LEFT($M583,1),B582:I589,8,FALSE),""))</f>
        <v>Mar O'Connor Delgado</v>
      </c>
      <c r="Q583" s="341" t="s">
        <v>272</v>
      </c>
      <c r="R583" s="146" t="str">
        <f t="shared" si="515"/>
        <v>U</v>
      </c>
      <c r="S583" s="927" t="s">
        <v>130</v>
      </c>
      <c r="T583" s="927">
        <v>3.67</v>
      </c>
      <c r="U583" s="353" t="str">
        <f>IF(LEN($S583)=1,VLOOKUP(LEFT($S583,1),B582:I589,5,FALSE),IF(LEN($S583)=2,VLOOKUP(LEFT($S583,1),B582:I589,7,FALSE),""))</f>
        <v>U</v>
      </c>
      <c r="V583" s="373" t="str">
        <f>IF(LEN($S583)=1,VLOOKUP(LEFT($S583,1),B582:I589,6,FALSE),IF(LEN($S583)=2,VLOOKUP(LEFT($S583,1),B582:I589,8,FALSE),""))</f>
        <v>Pippa Richards</v>
      </c>
      <c r="W583" s="417">
        <f>W582-1</f>
        <v>7</v>
      </c>
      <c r="Y583" s="417">
        <v>12</v>
      </c>
      <c r="Z583" s="16" t="str">
        <f t="shared" si="516"/>
        <v>BRAT</v>
      </c>
      <c r="AA583" s="146" t="str">
        <f t="shared" si="517"/>
        <v>K&amp;S</v>
      </c>
      <c r="AC583" s="16" t="str">
        <f t="shared" si="518"/>
        <v>U</v>
      </c>
      <c r="AD583" s="419" t="str">
        <f t="shared" si="518"/>
        <v>Kidder &amp; Stourport</v>
      </c>
      <c r="AE583" s="419">
        <f>IF(ISNA(MATCH(AC583,N582:N591,0)),0,VLOOKUP(AC583,N582:S591,5,FALSE))</f>
        <v>0</v>
      </c>
      <c r="AF583" s="419" t="str">
        <f>IF(ISNA(MATCH(AC583,T582:T591,0))," ",VLOOKUP(AC583,T582:Y591,5,FALSE))</f>
        <v xml:space="preserve"> </v>
      </c>
      <c r="AG583" s="419">
        <f>IF(ISNA(MATCH(AC583,L582:L589,0)),0,VLOOKUP(AC583,L582:N589,3,FALSE))</f>
        <v>3.76</v>
      </c>
      <c r="AH583" s="419">
        <f>IF(ISNA(MATCH(AC583,R582:R589,0)),0,VLOOKUP(AC583,R582:T589,3,FALSE))</f>
        <v>3.67</v>
      </c>
      <c r="AI583" s="419" t="str">
        <f>IF(ISNA(MATCH(AC583,L582:L589,0)),0,VLOOKUP(AC583,L582:P589,4,FALSE))</f>
        <v>UU</v>
      </c>
      <c r="AJ583" s="419" t="str">
        <f>IF(ISNA(MATCH(AC583,R582:R589,0)),0,VLOOKUP(AC583,R582:U589,4,FALSE))</f>
        <v>U</v>
      </c>
      <c r="AK583" s="32">
        <f t="shared" si="519"/>
        <v>4</v>
      </c>
      <c r="AL583" s="32">
        <f t="shared" si="520"/>
        <v>2</v>
      </c>
      <c r="AM583" s="32">
        <f>IF(ISNA(MATCH(AC583,L582:L589,0)),0,VLOOKUP(AC583,L582:W589,AM$1,FALSE))</f>
        <v>5</v>
      </c>
      <c r="AN583" s="146">
        <f>IF(ISNA(MATCH(AC583,R582:R589,0)),0,VLOOKUP(AC583,R582:W589,AN$1,FALSE))</f>
        <v>7</v>
      </c>
      <c r="AP583" s="927"/>
      <c r="AQ583" s="927"/>
    </row>
    <row r="584" spans="1:47" ht="15.6" x14ac:dyDescent="0.3">
      <c r="A584" s="417">
        <f t="shared" ref="A584:A589" si="521">A583+1</f>
        <v>523</v>
      </c>
      <c r="B584" s="362" t="str">
        <f>'Event Details'!D$24</f>
        <v>G</v>
      </c>
      <c r="C584" s="381" t="str">
        <f>'Event Details'!E$24</f>
        <v>Royal Sutton</v>
      </c>
      <c r="D584" s="379"/>
      <c r="E584" s="378"/>
      <c r="F584" s="363" t="str">
        <f>VLOOKUP($B581,IF($H581="F",TeamSheetFemale,TeamSheetMale),$Y584-1,FALSE)</f>
        <v>G</v>
      </c>
      <c r="G584" s="380" t="str">
        <f>VLOOKUP($B581,IF($H581="F",TeamSheetFemale,TeamSheetMale),$Y584,FALSE)</f>
        <v>Annabelle Pattinson</v>
      </c>
      <c r="H584" s="363" t="str">
        <f>VLOOKUP($B581,IF($H581="F",TeamSheetFemale,TeamSheetMale),$Y584+1,FALSE)</f>
        <v>GG</v>
      </c>
      <c r="I584" s="364" t="str">
        <f>VLOOKUP($B581,IF($H581="F",TeamSheetFemale,TeamSheetMale),$Y584+2,FALSE)</f>
        <v>Brooke Butler</v>
      </c>
      <c r="K584" s="341" t="s">
        <v>273</v>
      </c>
      <c r="L584" s="16" t="str">
        <f t="shared" si="514"/>
        <v>F</v>
      </c>
      <c r="M584" s="927" t="s">
        <v>142</v>
      </c>
      <c r="N584" s="927">
        <v>3.82</v>
      </c>
      <c r="O584" s="353" t="str">
        <f>IF(LEN($M584)=1,VLOOKUP(LEFT($M584,1),B582:I589,5,FALSE),IF(LEN($M584)=2,VLOOKUP(LEFT($M584,1),B582:I589,7,FALSE),""))</f>
        <v>F</v>
      </c>
      <c r="P584" s="373" t="str">
        <f>IF(LEN($M584)=1,VLOOKUP(LEFT($M584,1),B582:I589,6,FALSE),IF(LEN($M584)=2,VLOOKUP(LEFT($M584,1),B582:I589,8,FALSE),""))</f>
        <v>Freya Draycott</v>
      </c>
      <c r="Q584" s="341" t="s">
        <v>273</v>
      </c>
      <c r="R584" s="146" t="str">
        <f t="shared" si="515"/>
        <v>D</v>
      </c>
      <c r="S584" s="927" t="s">
        <v>513</v>
      </c>
      <c r="T584" s="927">
        <v>3.6</v>
      </c>
      <c r="U584" s="353" t="str">
        <f>IF(LEN($S584)=1,VLOOKUP(LEFT($S584,1),B582:I589,5,FALSE),IF(LEN($S584)=2,VLOOKUP(LEFT($S584,1),B582:I589,7,FALSE),""))</f>
        <v>DD</v>
      </c>
      <c r="V584" s="373" t="str">
        <f>IF(LEN($S584)=1,VLOOKUP(LEFT($S584,1),B582:I589,6,FALSE),IF(LEN($S584)=2,VLOOKUP(LEFT($S584,1),B582:I589,8,FALSE),""))</f>
        <v>Annabel Ryan-Gill</v>
      </c>
      <c r="W584" s="417">
        <f t="shared" ref="W584:W589" si="522">W583-1</f>
        <v>6</v>
      </c>
      <c r="Y584" s="417">
        <v>17</v>
      </c>
      <c r="Z584" s="16" t="str">
        <f t="shared" si="516"/>
        <v>Tam</v>
      </c>
      <c r="AA584" s="146" t="str">
        <f t="shared" si="517"/>
        <v>Strat</v>
      </c>
      <c r="AB584" s="32"/>
      <c r="AC584" s="16" t="str">
        <f t="shared" si="518"/>
        <v>G</v>
      </c>
      <c r="AD584" s="419" t="str">
        <f t="shared" si="518"/>
        <v>Royal Sutton</v>
      </c>
      <c r="AE584" s="419">
        <f>IF(ISNA(MATCH(AC584,N582:N591,0)),0,VLOOKUP(AC584,N582:S591,5,FALSE))</f>
        <v>0</v>
      </c>
      <c r="AF584" s="419" t="str">
        <f>IF(ISNA(MATCH(AC584,T582:T591,0))," ",VLOOKUP(AC584,T582:Y591,5,FALSE))</f>
        <v xml:space="preserve"> </v>
      </c>
      <c r="AG584" s="419">
        <f>IF(ISNA(MATCH(AC584,L582:L589,0)),0,VLOOKUP(AC584,L582:N589,3,FALSE))</f>
        <v>3.4</v>
      </c>
      <c r="AH584" s="419">
        <f>IF(ISNA(MATCH(AC584,R582:R589,0)),0,VLOOKUP(AC584,R582:T589,3,FALSE))</f>
        <v>3.35</v>
      </c>
      <c r="AI584" s="419" t="str">
        <f>IF(ISNA(MATCH(AC584,L582:L589,0)),0,VLOOKUP(AC584,L582:P589,4,FALSE))</f>
        <v>G</v>
      </c>
      <c r="AJ584" s="419" t="str">
        <f>IF(ISNA(MATCH(AC584,R582:R589,0)),0,VLOOKUP(AC584,R582:U589,4,FALSE))</f>
        <v>GG</v>
      </c>
      <c r="AK584" s="32">
        <f t="shared" si="519"/>
        <v>7</v>
      </c>
      <c r="AL584" s="32">
        <f t="shared" si="520"/>
        <v>6</v>
      </c>
      <c r="AM584" s="32">
        <f>IF(ISNA(MATCH(AC584,L582:L589,0)),0,VLOOKUP(AC584,L582:W589,AM$1,FALSE))</f>
        <v>2</v>
      </c>
      <c r="AN584" s="146">
        <f>IF(ISNA(MATCH(AC584,R582:R589,0)),0,VLOOKUP(AC584,R582:W589,AN$1,FALSE))</f>
        <v>3</v>
      </c>
      <c r="AP584" s="927"/>
      <c r="AQ584" s="927"/>
    </row>
    <row r="585" spans="1:47" ht="15.6" x14ac:dyDescent="0.3">
      <c r="A585" s="417">
        <f t="shared" si="521"/>
        <v>524</v>
      </c>
      <c r="B585" s="362" t="str">
        <f>'Event Details'!D$25</f>
        <v>R</v>
      </c>
      <c r="C585" s="381" t="str">
        <f>'Event Details'!E$25</f>
        <v>Rugby &amp; N'hampton</v>
      </c>
      <c r="D585" s="379"/>
      <c r="E585" s="378"/>
      <c r="F585" s="363" t="str">
        <f>VLOOKUP($B581,IF($H581="F",TeamSheetFemale,TeamSheetMale),$Y585-1,FALSE)</f>
        <v>R</v>
      </c>
      <c r="G585" s="380" t="str">
        <f>VLOOKUP($B581,IF($H581="F",TeamSheetFemale,TeamSheetMale),$Y585,FALSE)</f>
        <v>Sophie Hadley</v>
      </c>
      <c r="H585" s="363" t="str">
        <f>VLOOKUP($B581,IF($H581="F",TeamSheetFemale,TeamSheetMale),$Y585+1,FALSE)</f>
        <v>RR</v>
      </c>
      <c r="I585" s="364" t="str">
        <f>VLOOKUP($B581,IF($H581="F",TeamSheetFemale,TeamSheetMale),$Y585+2,FALSE)</f>
        <v>Lyla Pearce</v>
      </c>
      <c r="K585" s="341" t="s">
        <v>274</v>
      </c>
      <c r="L585" s="16" t="str">
        <f t="shared" si="514"/>
        <v>U</v>
      </c>
      <c r="M585" s="927" t="s">
        <v>726</v>
      </c>
      <c r="N585" s="927">
        <v>3.76</v>
      </c>
      <c r="O585" s="353" t="str">
        <f>IF(LEN($M585)=1,VLOOKUP(LEFT($M585,1),B582:I589,5,FALSE),IF(LEN($M585)=2,VLOOKUP(LEFT($M585,1),B582:I589,7,FALSE),""))</f>
        <v>UU</v>
      </c>
      <c r="P585" s="373" t="str">
        <f>IF(LEN($M585)=1,VLOOKUP(LEFT($M585,1),B582:I589,6,FALSE),IF(LEN($M585)=2,VLOOKUP(LEFT($M585,1),B582:I589,8,FALSE),""))</f>
        <v>Lila Warwick</v>
      </c>
      <c r="Q585" s="341" t="s">
        <v>274</v>
      </c>
      <c r="R585" s="146" t="str">
        <f t="shared" si="515"/>
        <v>F</v>
      </c>
      <c r="S585" s="927" t="s">
        <v>576</v>
      </c>
      <c r="T585" s="927">
        <v>3.49</v>
      </c>
      <c r="U585" s="353" t="str">
        <f>IF(LEN($S585)=1,VLOOKUP(LEFT($S585,1),B582:I589,5,FALSE),IF(LEN($S585)=2,VLOOKUP(LEFT($S585,1),B582:I589,7,FALSE),""))</f>
        <v>FF</v>
      </c>
      <c r="V585" s="373" t="str">
        <f>IF(LEN($S585)=1,VLOOKUP(LEFT($S585,1),B582:I589,6,FALSE),IF(LEN($S585)=2,VLOOKUP(LEFT($S585,1),B582:I589,8,FALSE),""))</f>
        <v>Eva Christophorou</v>
      </c>
      <c r="W585" s="417">
        <f t="shared" si="522"/>
        <v>5</v>
      </c>
      <c r="Y585" s="417">
        <v>22</v>
      </c>
      <c r="Z585" s="16" t="str">
        <f t="shared" si="516"/>
        <v>K&amp;S</v>
      </c>
      <c r="AA585" s="146" t="str">
        <f t="shared" si="517"/>
        <v>Tam</v>
      </c>
      <c r="AB585" s="32"/>
      <c r="AC585" s="16" t="str">
        <f t="shared" si="518"/>
        <v>R</v>
      </c>
      <c r="AD585" s="419" t="str">
        <f t="shared" si="518"/>
        <v>Rugby &amp; N'hampton</v>
      </c>
      <c r="AE585" s="419">
        <f>IF(ISNA(MATCH(AC585,N582:N591,0)),0,VLOOKUP(AC585,N582:S591,5,FALSE))</f>
        <v>0</v>
      </c>
      <c r="AF585" s="419" t="str">
        <f>IF(ISNA(MATCH(AC585,T582:T591,0))," ",VLOOKUP(AC585,T582:Y591,5,FALSE))</f>
        <v xml:space="preserve"> </v>
      </c>
      <c r="AG585" s="419">
        <f>IF(ISNA(MATCH(AC585,L582:L589,0)),0,VLOOKUP(AC585,L582:N589,3,FALSE))</f>
        <v>3.38</v>
      </c>
      <c r="AH585" s="419">
        <f>IF(ISNA(MATCH(AC585,R582:R589,0)),0,VLOOKUP(AC585,R582:T589,3,FALSE))</f>
        <v>3.33</v>
      </c>
      <c r="AI585" s="419" t="str">
        <f>IF(ISNA(MATCH(AC585,L582:L589,0)),0,VLOOKUP(AC585,L582:P589,4,FALSE))</f>
        <v>RR</v>
      </c>
      <c r="AJ585" s="419" t="str">
        <f>IF(ISNA(MATCH(AC585,R582:R589,0)),0,VLOOKUP(AC585,R582:U589,4,FALSE))</f>
        <v>R</v>
      </c>
      <c r="AK585" s="32">
        <f t="shared" si="519"/>
        <v>8</v>
      </c>
      <c r="AL585" s="32">
        <f t="shared" si="520"/>
        <v>7</v>
      </c>
      <c r="AM585" s="32">
        <f>IF(ISNA(MATCH(AC585,L582:L589,0)),0,VLOOKUP(AC585,L582:W589,AM$1,FALSE))</f>
        <v>1</v>
      </c>
      <c r="AN585" s="146">
        <f>IF(ISNA(MATCH(AC585,R582:R589,0)),0,VLOOKUP(AC585,R582:W589,AN$1,FALSE))</f>
        <v>2</v>
      </c>
      <c r="AP585" s="927"/>
      <c r="AQ585" s="927"/>
    </row>
    <row r="586" spans="1:47" ht="15.6" x14ac:dyDescent="0.3">
      <c r="A586" s="417">
        <f t="shared" si="521"/>
        <v>525</v>
      </c>
      <c r="B586" s="362" t="str">
        <f>'Event Details'!D$26</f>
        <v>M</v>
      </c>
      <c r="C586" s="381" t="str">
        <f>'Event Details'!E$26</f>
        <v>Solihull &amp; S.Heath</v>
      </c>
      <c r="D586" s="379"/>
      <c r="E586" s="378"/>
      <c r="F586" s="363" t="str">
        <f>VLOOKUP($B581,IF($H581="F",TeamSheetFemale,TeamSheetMale),$Y586-1,FALSE)</f>
        <v>M</v>
      </c>
      <c r="G586" s="380" t="str">
        <f>VLOOKUP($B581,IF($H581="F",TeamSheetFemale,TeamSheetMale),$Y586,FALSE)</f>
        <v>Ava Blundell</v>
      </c>
      <c r="H586" s="363" t="str">
        <f>VLOOKUP($B581,IF($H581="F",TeamSheetFemale,TeamSheetMale),$Y586+1,FALSE)</f>
        <v>MM</v>
      </c>
      <c r="I586" s="364" t="str">
        <f>VLOOKUP($B581,IF($H581="F",TeamSheetFemale,TeamSheetMale),$Y586+2,FALSE)</f>
        <v>Ava Collett</v>
      </c>
      <c r="K586" s="341" t="s">
        <v>275</v>
      </c>
      <c r="L586" s="16" t="str">
        <f t="shared" si="514"/>
        <v>D</v>
      </c>
      <c r="M586" s="927" t="s">
        <v>136</v>
      </c>
      <c r="N586" s="927">
        <v>3.69</v>
      </c>
      <c r="O586" s="353" t="str">
        <f>IF(LEN($M586)=1,VLOOKUP(LEFT($M586,1),B582:I589,5,FALSE),IF(LEN($M586)=2,VLOOKUP(LEFT($M586,1),B582:I589,7,FALSE),""))</f>
        <v>D</v>
      </c>
      <c r="P586" s="373" t="str">
        <f>IF(LEN($M586)=1,VLOOKUP(LEFT($M586,1),B582:I589,6,FALSE),IF(LEN($M586)=2,VLOOKUP(LEFT($M586,1),B582:I589,8,FALSE),""))</f>
        <v>Maggie Silvers</v>
      </c>
      <c r="Q586" s="341" t="s">
        <v>275</v>
      </c>
      <c r="R586" s="146" t="str">
        <f t="shared" si="515"/>
        <v>M</v>
      </c>
      <c r="S586" s="927" t="s">
        <v>127</v>
      </c>
      <c r="T586" s="927">
        <v>3.4</v>
      </c>
      <c r="U586" s="353" t="str">
        <f>IF(LEN($S586)=1,VLOOKUP(LEFT($S586,1),B582:I589,5,FALSE),IF(LEN($S586)=2,VLOOKUP(LEFT($S586,1),B582:I589,7,FALSE),""))</f>
        <v>M</v>
      </c>
      <c r="V586" s="373" t="str">
        <f>IF(LEN($S586)=1,VLOOKUP(LEFT($S586,1),B582:I589,6,FALSE),IF(LEN($S586)=2,VLOOKUP(LEFT($S586,1),B582:I589,8,FALSE),""))</f>
        <v>Ava Blundell</v>
      </c>
      <c r="W586" s="417">
        <f t="shared" si="522"/>
        <v>4</v>
      </c>
      <c r="Y586" s="417">
        <v>27</v>
      </c>
      <c r="Z586" s="16" t="str">
        <f t="shared" si="516"/>
        <v>Strat</v>
      </c>
      <c r="AA586" s="146" t="str">
        <f t="shared" si="517"/>
        <v>Sol</v>
      </c>
      <c r="AB586" s="32"/>
      <c r="AC586" s="16" t="str">
        <f t="shared" si="518"/>
        <v>M</v>
      </c>
      <c r="AD586" s="419" t="str">
        <f t="shared" si="518"/>
        <v>Solihull &amp; S.Heath</v>
      </c>
      <c r="AE586" s="419">
        <f>IF(ISNA(MATCH(AC586,N582:N591,0)),0,VLOOKUP(AC586,N582:S591,5,FALSE))</f>
        <v>0</v>
      </c>
      <c r="AF586" s="419" t="str">
        <f>IF(ISNA(MATCH(AC586,T582:T591,0))," ",VLOOKUP(AC586,T582:Y591,5,FALSE))</f>
        <v xml:space="preserve"> </v>
      </c>
      <c r="AG586" s="419">
        <f>IF(ISNA(MATCH(AC586,L582:L589,0)),0,VLOOKUP(AC586,L582:N589,3,FALSE))</f>
        <v>3.6</v>
      </c>
      <c r="AH586" s="419">
        <f>IF(ISNA(MATCH(AC586,R582:R589,0)),0,VLOOKUP(AC586,R582:T589,3,FALSE))</f>
        <v>3.4</v>
      </c>
      <c r="AI586" s="419" t="str">
        <f>IF(ISNA(MATCH(AC586,L582:L589,0)),0,VLOOKUP(AC586,L582:P589,4,FALSE))</f>
        <v>M</v>
      </c>
      <c r="AJ586" s="419" t="str">
        <f>IF(ISNA(MATCH(AC586,R582:R589,0)),0,VLOOKUP(AC586,R582:U589,4,FALSE))</f>
        <v>M</v>
      </c>
      <c r="AK586" s="32">
        <f t="shared" si="519"/>
        <v>6</v>
      </c>
      <c r="AL586" s="32">
        <f t="shared" si="520"/>
        <v>5</v>
      </c>
      <c r="AM586" s="32">
        <f>IF(ISNA(MATCH(AC586,L582:L589,0)),0,VLOOKUP(AC586,L582:W589,AM$1,FALSE))</f>
        <v>3</v>
      </c>
      <c r="AN586" s="146">
        <f>IF(ISNA(MATCH(AC586,R582:R589,0)),0,VLOOKUP(AC586,R582:W589,AN$1,FALSE))</f>
        <v>4</v>
      </c>
      <c r="AP586" s="927"/>
      <c r="AQ586" s="927"/>
    </row>
    <row r="587" spans="1:47" ht="15.6" x14ac:dyDescent="0.3">
      <c r="A587" s="417">
        <f t="shared" si="521"/>
        <v>526</v>
      </c>
      <c r="B587" s="362" t="str">
        <f>'Event Details'!D$27</f>
        <v>D</v>
      </c>
      <c r="C587" s="381" t="str">
        <f>'Event Details'!E$27</f>
        <v>Stratford</v>
      </c>
      <c r="D587" s="379"/>
      <c r="E587" s="378"/>
      <c r="F587" s="363" t="str">
        <f>VLOOKUP($B581,IF($H581="F",TeamSheetFemale,TeamSheetMale),$Y587-1,FALSE)</f>
        <v>D</v>
      </c>
      <c r="G587" s="380" t="str">
        <f>VLOOKUP($B581,IF($H581="F",TeamSheetFemale,TeamSheetMale),$Y587,FALSE)</f>
        <v>Maggie Silvers</v>
      </c>
      <c r="H587" s="363" t="str">
        <f>VLOOKUP($B581,IF($H581="F",TeamSheetFemale,TeamSheetMale),$Y587+1,FALSE)</f>
        <v>DD</v>
      </c>
      <c r="I587" s="364" t="str">
        <f>VLOOKUP($B581,IF($H581="F",TeamSheetFemale,TeamSheetMale),$Y587+2,FALSE)</f>
        <v>Annabel Ryan-Gill</v>
      </c>
      <c r="K587" s="341" t="s">
        <v>276</v>
      </c>
      <c r="L587" s="16" t="str">
        <f t="shared" si="514"/>
        <v>M</v>
      </c>
      <c r="M587" s="927" t="s">
        <v>127</v>
      </c>
      <c r="N587" s="927">
        <v>3.6</v>
      </c>
      <c r="O587" s="353" t="str">
        <f>IF(LEN($M587)=1,VLOOKUP(LEFT($M587,1),B582:I589,5,FALSE),IF(LEN($M587)=2,VLOOKUP(LEFT($M587,1),B582:I589,7,FALSE),""))</f>
        <v>M</v>
      </c>
      <c r="P587" s="373" t="str">
        <f>IF(LEN($M587)=1,VLOOKUP(LEFT($M587,1),B582:I589,6,FALSE),IF(LEN($M587)=2,VLOOKUP(LEFT($M587,1),B582:I589,8,FALSE),""))</f>
        <v>Ava Blundell</v>
      </c>
      <c r="Q587" s="341" t="s">
        <v>276</v>
      </c>
      <c r="R587" s="146" t="str">
        <f t="shared" si="515"/>
        <v>G</v>
      </c>
      <c r="S587" s="927" t="s">
        <v>820</v>
      </c>
      <c r="T587" s="927">
        <v>3.35</v>
      </c>
      <c r="U587" s="353" t="str">
        <f>IF(LEN($S587)=1,VLOOKUP(LEFT($S587,1),B582:I589,5,FALSE),IF(LEN($S587)=2,VLOOKUP(LEFT($S587,1),B582:I589,7,FALSE),""))</f>
        <v>GG</v>
      </c>
      <c r="V587" s="373" t="str">
        <f>IF(LEN($S587)=1,VLOOKUP(LEFT($S587,1),B582:I589,6,FALSE),IF(LEN($S587)=2,VLOOKUP(LEFT($S587,1),B582:I589,8,FALSE),""))</f>
        <v>Brooke Butler</v>
      </c>
      <c r="W587" s="417">
        <f t="shared" si="522"/>
        <v>3</v>
      </c>
      <c r="Y587" s="417">
        <v>32</v>
      </c>
      <c r="Z587" s="16" t="str">
        <f t="shared" si="516"/>
        <v>Sol</v>
      </c>
      <c r="AA587" s="146" t="str">
        <f t="shared" si="517"/>
        <v>Royal</v>
      </c>
      <c r="AB587" s="32"/>
      <c r="AC587" s="16" t="str">
        <f t="shared" si="518"/>
        <v>D</v>
      </c>
      <c r="AD587" s="419" t="str">
        <f t="shared" si="518"/>
        <v>Stratford</v>
      </c>
      <c r="AE587" s="419">
        <f>IF(ISNA(MATCH(AC587,N582:N591,0)),0,VLOOKUP(AC587,N582:S591,5,FALSE))</f>
        <v>0</v>
      </c>
      <c r="AF587" s="419" t="str">
        <f>IF(ISNA(MATCH(AC587,T582:T591,0))," ",VLOOKUP(AC587,T582:Y591,5,FALSE))</f>
        <v xml:space="preserve"> </v>
      </c>
      <c r="AG587" s="419">
        <f>IF(ISNA(MATCH(AC587,L582:L589,0)),0,VLOOKUP(AC587,L582:N589,3,FALSE))</f>
        <v>3.69</v>
      </c>
      <c r="AH587" s="419">
        <f>IF(ISNA(MATCH(AC587,R582:R589,0)),0,VLOOKUP(AC587,R582:T589,3,FALSE))</f>
        <v>3.6</v>
      </c>
      <c r="AI587" s="419" t="str">
        <f>IF(ISNA(MATCH(AC587,L582:L589,0)),0,VLOOKUP(AC587,L582:P589,4,FALSE))</f>
        <v>D</v>
      </c>
      <c r="AJ587" s="419" t="str">
        <f>IF(ISNA(MATCH(AC587,R582:R589,0)),0,VLOOKUP(AC587,R582:U589,4,FALSE))</f>
        <v>DD</v>
      </c>
      <c r="AK587" s="32">
        <f t="shared" si="519"/>
        <v>5</v>
      </c>
      <c r="AL587" s="32">
        <f t="shared" si="520"/>
        <v>3</v>
      </c>
      <c r="AM587" s="32">
        <f>IF(ISNA(MATCH(AC587,L582:L589,0)),0,VLOOKUP(AC587,L582:W589,AM$1,FALSE))</f>
        <v>4</v>
      </c>
      <c r="AN587" s="146">
        <f>IF(ISNA(MATCH(AC587,R582:R589,0)),0,VLOOKUP(AC587,R582:W589,AN$1,FALSE))</f>
        <v>6</v>
      </c>
      <c r="AP587" s="927"/>
      <c r="AQ587" s="927"/>
    </row>
    <row r="588" spans="1:47" ht="15.6" x14ac:dyDescent="0.3">
      <c r="A588" s="417">
        <f t="shared" si="521"/>
        <v>527</v>
      </c>
      <c r="B588" s="362" t="str">
        <f>'Event Details'!D$28</f>
        <v>F</v>
      </c>
      <c r="C588" s="381" t="str">
        <f>'Event Details'!E$28</f>
        <v>Tamworth</v>
      </c>
      <c r="D588" s="379"/>
      <c r="E588" s="378"/>
      <c r="F588" s="363" t="str">
        <f>VLOOKUP($B581,IF($H581="F",TeamSheetFemale,TeamSheetMale),$Y588-1,FALSE)</f>
        <v>F</v>
      </c>
      <c r="G588" s="380" t="str">
        <f>VLOOKUP($B581,IF($H581="F",TeamSheetFemale,TeamSheetMale),$Y588,FALSE)</f>
        <v>Freya Draycott</v>
      </c>
      <c r="H588" s="363" t="str">
        <f>VLOOKUP($B581,IF($H581="F",TeamSheetFemale,TeamSheetMale),$Y588+1,FALSE)</f>
        <v>FF</v>
      </c>
      <c r="I588" s="364" t="str">
        <f>VLOOKUP($B581,IF($H581="F",TeamSheetFemale,TeamSheetMale),$Y588+2,FALSE)</f>
        <v>Eva Christophorou</v>
      </c>
      <c r="K588" s="341" t="s">
        <v>277</v>
      </c>
      <c r="L588" s="16" t="str">
        <f t="shared" si="514"/>
        <v>G</v>
      </c>
      <c r="M588" s="931" t="s">
        <v>110</v>
      </c>
      <c r="N588" s="927">
        <v>3.4</v>
      </c>
      <c r="O588" s="353" t="str">
        <f>IF(LEN($M588)=1,VLOOKUP(LEFT($M588,1),B582:I589,5,FALSE),IF(LEN($M588)=2,VLOOKUP(LEFT($M588,1),B582:I589,7,FALSE),""))</f>
        <v>G</v>
      </c>
      <c r="P588" s="373" t="str">
        <f>IF(LEN($M588)=1,VLOOKUP(LEFT($M588,1),B582:I589,6,FALSE),IF(LEN($M588)=2,VLOOKUP(LEFT($M588,1),B582:I589,8,FALSE),""))</f>
        <v>Annabelle Pattinson</v>
      </c>
      <c r="Q588" s="341" t="s">
        <v>277</v>
      </c>
      <c r="R588" s="146" t="str">
        <f t="shared" si="515"/>
        <v>R</v>
      </c>
      <c r="S588" s="931" t="s">
        <v>118</v>
      </c>
      <c r="T588" s="927">
        <v>3.33</v>
      </c>
      <c r="U588" s="353" t="str">
        <f>IF(LEN($S588)=1,VLOOKUP(LEFT($S588,1),B582:I589,5,FALSE),IF(LEN($S588)=2,VLOOKUP(LEFT($S588,1),B582:I589,7,FALSE),""))</f>
        <v>R</v>
      </c>
      <c r="V588" s="373" t="str">
        <f>IF(LEN($S588)=1,VLOOKUP(LEFT($S588,1),B582:I589,6,FALSE),IF(LEN($S588)=2,VLOOKUP(LEFT($S588,1),B582:I589,8,FALSE),""))</f>
        <v>Sophie Hadley</v>
      </c>
      <c r="W588" s="417">
        <f t="shared" si="522"/>
        <v>2</v>
      </c>
      <c r="Y588" s="417">
        <v>37</v>
      </c>
      <c r="Z588" s="16" t="str">
        <f t="shared" si="516"/>
        <v>Royal</v>
      </c>
      <c r="AA588" s="146" t="str">
        <f t="shared" si="517"/>
        <v>Rugby</v>
      </c>
      <c r="AB588" s="32"/>
      <c r="AC588" s="16" t="str">
        <f t="shared" si="518"/>
        <v>F</v>
      </c>
      <c r="AD588" s="419" t="str">
        <f t="shared" si="518"/>
        <v>Tamworth</v>
      </c>
      <c r="AE588" s="419">
        <f>IF(ISNA(MATCH(AC588,N580:N589,0)),0,VLOOKUP(AC588,N580:S589,5,FALSE))</f>
        <v>0</v>
      </c>
      <c r="AF588" s="419" t="str">
        <f>IF(ISNA(MATCH(AC588,T580:T589,0))," ",VLOOKUP(AC588,T580:Y589,5,FALSE))</f>
        <v xml:space="preserve"> </v>
      </c>
      <c r="AG588" s="419">
        <f>IF(ISNA(MATCH(AC588,L582:L589,0)),0,VLOOKUP(AC588,L582:N589,3,FALSE))</f>
        <v>3.82</v>
      </c>
      <c r="AH588" s="419">
        <f>IF(ISNA(MATCH(AC588,R582:R589,0)),0,VLOOKUP(AC588,R582:T589,3,FALSE))</f>
        <v>3.49</v>
      </c>
      <c r="AI588" s="419" t="str">
        <f>IF(ISNA(MATCH(AC588,L582:L589,0)),0,VLOOKUP(AC588,L582:P589,4,FALSE))</f>
        <v>F</v>
      </c>
      <c r="AJ588" s="419" t="str">
        <f>IF(ISNA(MATCH(AC588,R582:R589,0)),0,VLOOKUP(AC588,R582:U589,4,FALSE))</f>
        <v>FF</v>
      </c>
      <c r="AK588" s="32">
        <f t="shared" si="519"/>
        <v>3</v>
      </c>
      <c r="AL588" s="32">
        <f t="shared" si="520"/>
        <v>4</v>
      </c>
      <c r="AM588" s="32">
        <f>IF(ISNA(MATCH(AC588,L582:L589,0)),0,VLOOKUP(AC588,L582:W589,AM$1,FALSE))</f>
        <v>6</v>
      </c>
      <c r="AN588" s="146">
        <f>IF(ISNA(MATCH(AC588,R582:R589,0)),0,VLOOKUP(AC588,R582:W589,AN$1,FALSE))</f>
        <v>5</v>
      </c>
      <c r="AP588" s="931"/>
      <c r="AQ588" s="927"/>
    </row>
    <row r="589" spans="1:47" ht="16.2" thickBot="1" x14ac:dyDescent="0.35">
      <c r="A589" s="418">
        <f t="shared" si="521"/>
        <v>528</v>
      </c>
      <c r="B589" s="365" t="str">
        <f>'Event Details'!D$29</f>
        <v>Y</v>
      </c>
      <c r="C589" s="366" t="str">
        <f>'Event Details'!E$29</f>
        <v>Worcester</v>
      </c>
      <c r="D589" s="361"/>
      <c r="E589" s="370"/>
      <c r="F589" s="367" t="str">
        <f>VLOOKUP($B581,IF($H581="F",TeamSheetFemale,TeamSheetMale),$Y589-1,FALSE)</f>
        <v>Y</v>
      </c>
      <c r="G589" s="368" t="str">
        <f>VLOOKUP($B581,IF($H581="F",TeamSheetFemale,TeamSheetMale),$Y589,FALSE)</f>
        <v>Gracie Hodgkins</v>
      </c>
      <c r="H589" s="367" t="str">
        <f>VLOOKUP($B581,IF($H581="F",TeamSheetFemale,TeamSheetMale),$Y589+1,FALSE)</f>
        <v>YY</v>
      </c>
      <c r="I589" s="369" t="str">
        <f>VLOOKUP($B581,IF($H581="F",TeamSheetFemale,TeamSheetMale),$Y589+2,FALSE)</f>
        <v>Elsie Thornton</v>
      </c>
      <c r="K589" s="346" t="s">
        <v>278</v>
      </c>
      <c r="L589" s="25" t="str">
        <f t="shared" si="514"/>
        <v>R</v>
      </c>
      <c r="M589" s="928" t="s">
        <v>819</v>
      </c>
      <c r="N589" s="932">
        <v>3.38</v>
      </c>
      <c r="O589" s="375" t="str">
        <f>IF(LEN($M589)=1,VLOOKUP(LEFT($M589,1),B582:I589,5,FALSE),IF(LEN($M589)=2,VLOOKUP(LEFT($M589,1),B582:I589,7,FALSE),""))</f>
        <v>RR</v>
      </c>
      <c r="P589" s="376" t="str">
        <f>IF(LEN($M589)=1,VLOOKUP(LEFT($M589,1),B582:I589,6,FALSE),IF(LEN($M589)=2,VLOOKUP(LEFT($M589,1),B582:I589,8,FALSE),""))</f>
        <v>Lyla Pearce</v>
      </c>
      <c r="Q589" s="346" t="s">
        <v>278</v>
      </c>
      <c r="R589" s="523" t="str">
        <f t="shared" si="515"/>
        <v>Y</v>
      </c>
      <c r="S589" s="928" t="s">
        <v>822</v>
      </c>
      <c r="T589" s="932">
        <v>2.87</v>
      </c>
      <c r="U589" s="375" t="str">
        <f>IF(LEN($S589)=1,VLOOKUP(LEFT($S589,1),B582:I589,5,FALSE),IF(LEN($S589)=2,VLOOKUP(LEFT($S589,1),B582:I589,7,FALSE),""))</f>
        <v>YY</v>
      </c>
      <c r="V589" s="376" t="str">
        <f>IF(LEN($S589)=1,VLOOKUP(LEFT($S589,1),B582:I589,6,FALSE),IF(LEN($S589)=2,VLOOKUP(LEFT($S589,1),B582:I589,8,FALSE),""))</f>
        <v>Elsie Thornton</v>
      </c>
      <c r="W589" s="418">
        <f t="shared" si="522"/>
        <v>1</v>
      </c>
      <c r="Y589" s="418">
        <v>42</v>
      </c>
      <c r="Z589" s="25" t="str">
        <f t="shared" si="516"/>
        <v>Rugby</v>
      </c>
      <c r="AA589" s="523" t="str">
        <f t="shared" si="517"/>
        <v>Worc</v>
      </c>
      <c r="AB589" s="32"/>
      <c r="AC589" s="25" t="str">
        <f t="shared" si="518"/>
        <v>Y</v>
      </c>
      <c r="AD589" s="624" t="str">
        <f t="shared" si="518"/>
        <v>Worcester</v>
      </c>
      <c r="AE589" s="624">
        <f>IF(ISNA(MATCH(AC589,N581:N590,0)),0,VLOOKUP(AC589,N581:S590,5,FALSE))</f>
        <v>0</v>
      </c>
      <c r="AF589" s="624" t="str">
        <f t="shared" ref="AF589" si="523">IF(ISNA(MATCH(AC589,T581:T590,0))," ",VLOOKUP(AC589,T581:Y590,5,FALSE))</f>
        <v xml:space="preserve"> </v>
      </c>
      <c r="AG589" s="624">
        <f>IF(ISNA(MATCH(AC589,L582:L589,0)),0,VLOOKUP(AC589,L582:N589,3,FALSE))</f>
        <v>4.1500000000000004</v>
      </c>
      <c r="AH589" s="624">
        <f>IF(ISNA(MATCH(AC589,R582:R589,0)),0,VLOOKUP(AC589,R582:T589,3,FALSE))</f>
        <v>2.87</v>
      </c>
      <c r="AI589" s="624" t="str">
        <f>IF(ISNA(MATCH(AC589,L582:L589,0)),0,VLOOKUP(AC589,L582:P589,4,FALSE))</f>
        <v>Y</v>
      </c>
      <c r="AJ589" s="624" t="str">
        <f>IF(ISNA(MATCH(AC589,R582:R589,0)),0,VLOOKUP(AC589,R582:U589,4,FALSE))</f>
        <v>YY</v>
      </c>
      <c r="AK589" s="116">
        <f t="shared" si="519"/>
        <v>1</v>
      </c>
      <c r="AL589" s="116">
        <f t="shared" si="520"/>
        <v>8</v>
      </c>
      <c r="AM589" s="116">
        <f>IF(ISNA(MATCH(AC589,L582:L589,0)),0,VLOOKUP(AC589,L582:W589,AM$1,FALSE))</f>
        <v>8</v>
      </c>
      <c r="AN589" s="523">
        <f>IF(ISNA(MATCH(AC589,R582:R589,0)),0,VLOOKUP(AC589,R582:W589,AN$1,FALSE))</f>
        <v>1</v>
      </c>
      <c r="AP589" s="928" t="s">
        <v>148</v>
      </c>
      <c r="AQ589" s="932"/>
    </row>
    <row r="590" spans="1:47" ht="15" thickBot="1" x14ac:dyDescent="0.35">
      <c r="M590" s="276"/>
      <c r="N590" s="307"/>
      <c r="S590" s="276"/>
      <c r="T590" s="307"/>
      <c r="AP590" s="276"/>
      <c r="AQ590" s="307"/>
    </row>
    <row r="591" spans="1:47" x14ac:dyDescent="0.3">
      <c r="B591" s="400" t="s">
        <v>258</v>
      </c>
      <c r="C591" s="398"/>
      <c r="D591" s="401" t="s">
        <v>165</v>
      </c>
      <c r="E591" s="398"/>
      <c r="F591" s="398"/>
      <c r="G591" s="402" t="s">
        <v>259</v>
      </c>
      <c r="H591" s="403" t="s">
        <v>249</v>
      </c>
      <c r="I591" s="404" t="s">
        <v>168</v>
      </c>
      <c r="K591" s="360"/>
      <c r="L591" s="661"/>
      <c r="M591" s="387" t="s">
        <v>260</v>
      </c>
      <c r="N591" s="387" t="s">
        <v>261</v>
      </c>
      <c r="O591" s="387" t="s">
        <v>262</v>
      </c>
      <c r="P591" s="388" t="s">
        <v>75</v>
      </c>
      <c r="Q591" s="412"/>
      <c r="R591" s="657"/>
      <c r="S591" s="387" t="s">
        <v>260</v>
      </c>
      <c r="T591" s="387" t="s">
        <v>261</v>
      </c>
      <c r="U591" s="387" t="s">
        <v>262</v>
      </c>
      <c r="V591" s="388" t="s">
        <v>75</v>
      </c>
      <c r="W591" s="672" t="s">
        <v>76</v>
      </c>
      <c r="Y591" s="654" t="s">
        <v>263</v>
      </c>
      <c r="Z591" s="656" t="s">
        <v>74</v>
      </c>
      <c r="AA591" s="657" t="s">
        <v>75</v>
      </c>
      <c r="AC591" s="665" t="s">
        <v>71</v>
      </c>
      <c r="AD591" s="657" t="s">
        <v>86</v>
      </c>
      <c r="AE591" s="661" t="s">
        <v>149</v>
      </c>
      <c r="AF591" s="661" t="s">
        <v>94</v>
      </c>
      <c r="AG591" s="661" t="s">
        <v>149</v>
      </c>
      <c r="AH591" s="661" t="s">
        <v>94</v>
      </c>
      <c r="AI591" s="661" t="s">
        <v>149</v>
      </c>
      <c r="AJ591" s="661" t="s">
        <v>94</v>
      </c>
      <c r="AK591" s="1332" t="s">
        <v>149</v>
      </c>
      <c r="AL591" s="661" t="s">
        <v>94</v>
      </c>
      <c r="AM591" s="1406" t="s">
        <v>76</v>
      </c>
      <c r="AN591" s="1407"/>
      <c r="AP591" s="387" t="s">
        <v>260</v>
      </c>
      <c r="AQ591" s="387" t="s">
        <v>261</v>
      </c>
      <c r="AS591" s="1218" t="s">
        <v>165</v>
      </c>
      <c r="AT591" s="1219" t="s">
        <v>79</v>
      </c>
      <c r="AU591" s="1220" t="s">
        <v>80</v>
      </c>
    </row>
    <row r="592" spans="1:47" ht="15" thickBot="1" x14ac:dyDescent="0.35">
      <c r="B592" s="405">
        <v>53</v>
      </c>
      <c r="C592" s="399"/>
      <c r="D592" s="385" t="str">
        <f>VLOOKUP($B592,EventOrder,6,FALSE)</f>
        <v xml:space="preserve">75m </v>
      </c>
      <c r="E592" s="399"/>
      <c r="F592" s="385"/>
      <c r="G592" s="386" t="str">
        <f>VLOOKUP($B592,EventOrder,4,FALSE)</f>
        <v>U12 Male</v>
      </c>
      <c r="H592" s="396" t="str">
        <f>IF(MID(G592,5,1)="F","F","M")</f>
        <v>M</v>
      </c>
      <c r="I592" s="397">
        <f>VLOOKUP($B592,EventOrder,2,FALSE)</f>
        <v>2.5499999999999998</v>
      </c>
      <c r="K592" s="372"/>
      <c r="L592" s="667" t="s">
        <v>149</v>
      </c>
      <c r="M592" s="409" t="s">
        <v>264</v>
      </c>
      <c r="N592" s="409" t="s">
        <v>265</v>
      </c>
      <c r="O592" s="409" t="s">
        <v>266</v>
      </c>
      <c r="P592" s="408"/>
      <c r="Q592" s="413"/>
      <c r="R592" s="659" t="s">
        <v>94</v>
      </c>
      <c r="S592" s="409" t="s">
        <v>264</v>
      </c>
      <c r="T592" s="409" t="s">
        <v>265</v>
      </c>
      <c r="U592" s="409" t="s">
        <v>266</v>
      </c>
      <c r="V592" s="408"/>
      <c r="W592" s="671"/>
      <c r="Y592" s="655" t="s">
        <v>167</v>
      </c>
      <c r="Z592" s="658" t="s">
        <v>149</v>
      </c>
      <c r="AA592" s="659" t="s">
        <v>94</v>
      </c>
      <c r="AC592" s="666"/>
      <c r="AD592" s="668"/>
      <c r="AE592" s="768" t="s">
        <v>75</v>
      </c>
      <c r="AF592" s="768" t="s">
        <v>75</v>
      </c>
      <c r="AG592" s="768" t="s">
        <v>267</v>
      </c>
      <c r="AH592" s="768" t="s">
        <v>267</v>
      </c>
      <c r="AI592" s="768" t="s">
        <v>268</v>
      </c>
      <c r="AJ592" s="768" t="s">
        <v>268</v>
      </c>
      <c r="AK592" s="770" t="s">
        <v>269</v>
      </c>
      <c r="AL592" s="768" t="s">
        <v>269</v>
      </c>
      <c r="AM592" s="667" t="s">
        <v>149</v>
      </c>
      <c r="AN592" s="659" t="s">
        <v>94</v>
      </c>
      <c r="AP592" s="409" t="s">
        <v>264</v>
      </c>
      <c r="AQ592" s="409" t="s">
        <v>265</v>
      </c>
      <c r="AS592" s="1221" t="s">
        <v>270</v>
      </c>
      <c r="AT592" s="1222" t="s">
        <v>270</v>
      </c>
      <c r="AU592" s="1223" t="s">
        <v>270</v>
      </c>
    </row>
    <row r="593" spans="1:47" ht="15.6" x14ac:dyDescent="0.3">
      <c r="A593" s="416">
        <f>(B592*10)+1</f>
        <v>531</v>
      </c>
      <c r="B593" s="362" t="str">
        <f>'Event Details'!D$22</f>
        <v>S</v>
      </c>
      <c r="C593" s="381" t="str">
        <f>'Event Details'!E$22</f>
        <v>BRAT</v>
      </c>
      <c r="D593" s="379"/>
      <c r="E593" s="378"/>
      <c r="F593" s="363" t="str">
        <f>VLOOKUP($B592,IF($H592="F",TeamSheetFemale,TeamSheetMale),$Y593-1,FALSE)</f>
        <v>S</v>
      </c>
      <c r="G593" s="380" t="str">
        <f>VLOOKUP($B592,IF($H592="F",TeamSheetFemale,TeamSheetMale),$Y593,FALSE)</f>
        <v xml:space="preserve">Adrian Ward </v>
      </c>
      <c r="H593" s="363" t="str">
        <f>VLOOKUP($B592,IF($H592="F",TeamSheetFemale,TeamSheetMale),$Y593+1,FALSE)</f>
        <v>SS</v>
      </c>
      <c r="I593" s="364" t="str">
        <f>VLOOKUP($B592,IF($H592="F",TeamSheetFemale,TeamSheetMale),$Y593+2,FALSE)</f>
        <v xml:space="preserve">Oliver brooks </v>
      </c>
      <c r="K593" s="393" t="s">
        <v>271</v>
      </c>
      <c r="L593" s="16" t="str">
        <f t="shared" ref="L593:L600" si="524">LEFT(M593,1)</f>
        <v>S</v>
      </c>
      <c r="M593" s="926" t="s">
        <v>100</v>
      </c>
      <c r="N593" s="926">
        <v>10.4</v>
      </c>
      <c r="O593" s="394" t="str">
        <f>IF(LEN($M593)=1,VLOOKUP(LEFT($M593,1),B593:I600,5,FALSE),IF(LEN($M593)=2,VLOOKUP(LEFT($M593,1),B593:I600,7,FALSE),""))</f>
        <v>S</v>
      </c>
      <c r="P593" s="395" t="str">
        <f>IF(LEN($M593)=1,VLOOKUP(LEFT($M593,1),B593:I600,6,FALSE),IF(LEN($M593)=2,VLOOKUP(LEFT($M593,1),B593:I600,8,FALSE),""))</f>
        <v xml:space="preserve">Adrian Ward </v>
      </c>
      <c r="Q593" s="406" t="s">
        <v>271</v>
      </c>
      <c r="R593" s="146" t="str">
        <f t="shared" ref="R593:R600" si="525">LEFT(S593,1)</f>
        <v>G</v>
      </c>
      <c r="S593" s="926" t="s">
        <v>110</v>
      </c>
      <c r="T593" s="926">
        <v>11.1</v>
      </c>
      <c r="U593" s="394" t="str">
        <f>IF(LEN($S593)=1,VLOOKUP(LEFT($S593,1),B593:I600,5,FALSE),IF(LEN($S593)=2,VLOOKUP(LEFT($S593,1),B593:I600,7,FALSE),""))</f>
        <v>G</v>
      </c>
      <c r="V593" s="395" t="str">
        <f>IF(LEN($S593)=1,VLOOKUP(LEFT($S593,1),B593:I600,6,FALSE),IF(LEN($S593)=2,VLOOKUP(LEFT($S593,1),B593:I600,8,FALSE),""))</f>
        <v>Daniel wood</v>
      </c>
      <c r="W593" s="417">
        <f>AN$6</f>
        <v>8</v>
      </c>
      <c r="Y593" s="653">
        <v>7</v>
      </c>
      <c r="Z593" s="653" t="str">
        <f t="shared" ref="Z593:Z600" si="526">IF(LEN(M593)&gt;0,VLOOKUP(LEFT(M593,1),ShortName,5,FALSE),0)</f>
        <v>BRAT</v>
      </c>
      <c r="AA593" s="138" t="str">
        <f t="shared" ref="AA593:AA600" si="527">IF(LEN(S593)&gt;0,VLOOKUP(LEFT(S593,1),ShortName,5,FALSE),0)</f>
        <v>Royal</v>
      </c>
      <c r="AC593" s="16" t="str">
        <f t="shared" ref="AC593:AD600" si="528">B593</f>
        <v>S</v>
      </c>
      <c r="AD593" s="419" t="str">
        <f t="shared" si="528"/>
        <v>BRAT</v>
      </c>
      <c r="AE593" s="635">
        <f>IF(ISNA(MATCH(AC593,N593:N602,0)),0,VLOOKUP(AC593,N593:S602,5,FALSE))</f>
        <v>0</v>
      </c>
      <c r="AF593" s="635" t="str">
        <f>IF(ISNA(MATCH(AC593,T593:T602,0))," ",VLOOKUP(AC593,T593:Y602,5,FALSE))</f>
        <v xml:space="preserve"> </v>
      </c>
      <c r="AG593" s="635">
        <f>IF(ISNA(MATCH(AC593,L593:L600,0)),0,VLOOKUP(AC593,L593:N600,3,FALSE))</f>
        <v>10.4</v>
      </c>
      <c r="AH593" s="635">
        <f>IF(ISNA(MATCH(AC593,R593:R600,0)),0,VLOOKUP(AC593,R593:T600,3,FALSE))</f>
        <v>11.7</v>
      </c>
      <c r="AI593" s="635" t="str">
        <f>IF(ISNA(MATCH(AC593,L593:L600,0)),0,VLOOKUP(AC593,L593:P600,4,FALSE))</f>
        <v>S</v>
      </c>
      <c r="AJ593" s="635" t="str">
        <f>IF(ISNA(MATCH(AC593,R593:R600,0)),0,VLOOKUP(AC593,R593:U600,4,FALSE))</f>
        <v>SS</v>
      </c>
      <c r="AK593" s="49">
        <f t="shared" ref="AK593:AK600" si="529">IF(AM593=0,0,AN$6-(AM593-1))</f>
        <v>1</v>
      </c>
      <c r="AL593" s="49">
        <f t="shared" ref="AL593:AL600" si="530">IF(AN593=0,0,AN$6-(AN593-1))</f>
        <v>5</v>
      </c>
      <c r="AM593" s="49">
        <f>IF(ISNA(MATCH(AC593,L593:L600,0)),0,VLOOKUP(AC593,L593:W600,AM$1,FALSE))</f>
        <v>8</v>
      </c>
      <c r="AN593" s="138">
        <f>IF(ISNA(MATCH(AC593,R593:R600,0)),0,VLOOKUP(AC593,R593:W600,AN$1,FALSE))</f>
        <v>4</v>
      </c>
      <c r="AP593" s="926"/>
      <c r="AQ593" s="926"/>
      <c r="AS593" s="32">
        <f>IF(LEN(N593)&gt;0,1,0)</f>
        <v>1</v>
      </c>
      <c r="AT593" s="32">
        <f>IF(AND(AS593=1,H592="M"),1,0)</f>
        <v>1</v>
      </c>
      <c r="AU593" s="32">
        <f>IF(AND(AS593=1,H592="F"),1,0)</f>
        <v>0</v>
      </c>
    </row>
    <row r="594" spans="1:47" ht="15.6" x14ac:dyDescent="0.3">
      <c r="A594" s="417">
        <f>A593+1</f>
        <v>532</v>
      </c>
      <c r="B594" s="362" t="str">
        <f>'Event Details'!D$23</f>
        <v>U</v>
      </c>
      <c r="C594" s="381" t="str">
        <f>'Event Details'!E$23</f>
        <v>Kidder &amp; Stourport</v>
      </c>
      <c r="D594" s="379"/>
      <c r="E594" s="378"/>
      <c r="F594" s="363" t="str">
        <f>VLOOKUP($B592,IF($H592="F",TeamSheetFemale,TeamSheetMale),$Y594-1,FALSE)</f>
        <v>U</v>
      </c>
      <c r="G594" s="380" t="str">
        <f>VLOOKUP($B592,IF($H592="F",TeamSheetFemale,TeamSheetMale),$Y594,FALSE)</f>
        <v>Alex Velasquez</v>
      </c>
      <c r="H594" s="363">
        <f>VLOOKUP($B592,IF($H592="F",TeamSheetFemale,TeamSheetMale),$Y594+1,FALSE)</f>
        <v>0</v>
      </c>
      <c r="I594" s="364">
        <f>VLOOKUP($B592,IF($H592="F",TeamSheetFemale,TeamSheetMale),$Y594+2,FALSE)</f>
        <v>0</v>
      </c>
      <c r="K594" s="341" t="s">
        <v>272</v>
      </c>
      <c r="L594" s="16" t="str">
        <f t="shared" si="524"/>
        <v>Y</v>
      </c>
      <c r="M594" s="927" t="s">
        <v>151</v>
      </c>
      <c r="N594" s="927">
        <v>10.4</v>
      </c>
      <c r="O594" s="354" t="str">
        <f>IF(LEN($M594)=1,VLOOKUP(LEFT($M594,1),B593:I600,5,FALSE),IF(LEN($M594)=2,VLOOKUP(LEFT($M594,1),B593:I600,7,FALSE),""))</f>
        <v>Y</v>
      </c>
      <c r="P594" s="410" t="str">
        <f>IF(LEN($M594)=1,VLOOKUP(LEFT($M594,1),B593:I600,6,FALSE),IF(LEN($M594)=2,VLOOKUP(LEFT($M594,1),B593:I600,8,FALSE),""))</f>
        <v>Thomas Jenkinson</v>
      </c>
      <c r="Q594" s="371" t="s">
        <v>272</v>
      </c>
      <c r="R594" s="146" t="str">
        <f t="shared" si="525"/>
        <v>M</v>
      </c>
      <c r="S594" s="927" t="s">
        <v>821</v>
      </c>
      <c r="T594" s="927">
        <v>11.2</v>
      </c>
      <c r="U594" s="354" t="str">
        <f>IF(LEN($S594)=1,VLOOKUP(LEFT($S594,1),B593:I600,5,FALSE),IF(LEN($S594)=2,VLOOKUP(LEFT($S594,1),B593:I600,7,FALSE),""))</f>
        <v>MM</v>
      </c>
      <c r="V594" s="410" t="str">
        <f>IF(LEN($S594)=1,VLOOKUP(LEFT($S594,1),B593:I600,6,FALSE),IF(LEN($S594)=2,VLOOKUP(LEFT($S594,1),B593:I600,8,FALSE),""))</f>
        <v>Troy Hall</v>
      </c>
      <c r="W594" s="417">
        <f>W593-1</f>
        <v>7</v>
      </c>
      <c r="Y594" s="16">
        <v>12</v>
      </c>
      <c r="Z594" s="16" t="str">
        <f t="shared" si="526"/>
        <v>Worc</v>
      </c>
      <c r="AA594" s="146" t="str">
        <f t="shared" si="527"/>
        <v>Sol</v>
      </c>
      <c r="AC594" s="16" t="str">
        <f t="shared" si="528"/>
        <v>U</v>
      </c>
      <c r="AD594" s="419" t="str">
        <f t="shared" si="528"/>
        <v>Kidder &amp; Stourport</v>
      </c>
      <c r="AE594" s="419">
        <f>IF(ISNA(MATCH(AC594,N593:N602,0)),0,VLOOKUP(AC594,N593:S602,5,FALSE))</f>
        <v>0</v>
      </c>
      <c r="AF594" s="419" t="str">
        <f>IF(ISNA(MATCH(AC594,T593:T602,0))," ",VLOOKUP(AC594,T593:Y602,5,FALSE))</f>
        <v xml:space="preserve"> </v>
      </c>
      <c r="AG594" s="419">
        <f>IF(ISNA(MATCH(AC594,L593:L600,0)),0,VLOOKUP(AC594,L593:N600,3,FALSE))</f>
        <v>0</v>
      </c>
      <c r="AH594" s="419">
        <f>IF(ISNA(MATCH(AC594,R593:R600,0)),0,VLOOKUP(AC594,R593:T600,3,FALSE))</f>
        <v>0</v>
      </c>
      <c r="AI594" s="419">
        <f>IF(ISNA(MATCH(AC594,L593:L600,0)),0,VLOOKUP(AC594,L593:P600,4,FALSE))</f>
        <v>0</v>
      </c>
      <c r="AJ594" s="419">
        <f>IF(ISNA(MATCH(AC594,R593:R600,0)),0,VLOOKUP(AC594,R593:U600,4,FALSE))</f>
        <v>0</v>
      </c>
      <c r="AK594" s="32">
        <f t="shared" si="529"/>
        <v>0</v>
      </c>
      <c r="AL594" s="32">
        <f t="shared" si="530"/>
        <v>0</v>
      </c>
      <c r="AM594" s="32">
        <f>IF(ISNA(MATCH(AC594,L593:L600,0)),0,VLOOKUP(AC594,L593:W600,AM$1,FALSE))</f>
        <v>0</v>
      </c>
      <c r="AN594" s="146">
        <f>IF(ISNA(MATCH(AC594,R593:R600,0)),0,VLOOKUP(AC594,R593:W600,AN$1,FALSE))</f>
        <v>0</v>
      </c>
      <c r="AP594" s="927"/>
      <c r="AQ594" s="927"/>
    </row>
    <row r="595" spans="1:47" ht="15.6" x14ac:dyDescent="0.3">
      <c r="A595" s="417">
        <f t="shared" ref="A595:A600" si="531">A594+1</f>
        <v>533</v>
      </c>
      <c r="B595" s="362" t="str">
        <f>'Event Details'!D$24</f>
        <v>G</v>
      </c>
      <c r="C595" s="381" t="str">
        <f>'Event Details'!E$24</f>
        <v>Royal Sutton</v>
      </c>
      <c r="D595" s="379"/>
      <c r="E595" s="378"/>
      <c r="F595" s="363" t="str">
        <f>VLOOKUP($B592,IF($H592="F",TeamSheetFemale,TeamSheetMale),$Y595-1,FALSE)</f>
        <v>G</v>
      </c>
      <c r="G595" s="380" t="str">
        <f>VLOOKUP($B592,IF($H592="F",TeamSheetFemale,TeamSheetMale),$Y595,FALSE)</f>
        <v>Daniel wood</v>
      </c>
      <c r="H595" s="363" t="str">
        <f>VLOOKUP($B592,IF($H592="F",TeamSheetFemale,TeamSheetMale),$Y595+1,FALSE)</f>
        <v>GG</v>
      </c>
      <c r="I595" s="364" t="str">
        <f>VLOOKUP($B592,IF($H592="F",TeamSheetFemale,TeamSheetMale),$Y595+2,FALSE)</f>
        <v xml:space="preserve">Khari Caines </v>
      </c>
      <c r="K595" s="341" t="s">
        <v>273</v>
      </c>
      <c r="L595" s="16" t="str">
        <f t="shared" si="524"/>
        <v>R</v>
      </c>
      <c r="M595" s="927" t="s">
        <v>118</v>
      </c>
      <c r="N595" s="927">
        <v>10.6</v>
      </c>
      <c r="O595" s="354" t="str">
        <f>IF(LEN($M595)=1,VLOOKUP(LEFT($M595,1),B593:I600,5,FALSE),IF(LEN($M595)=2,VLOOKUP(LEFT($M595,1),B593:I600,7,FALSE),""))</f>
        <v>R</v>
      </c>
      <c r="P595" s="410" t="str">
        <f>IF(LEN($M595)=1,VLOOKUP(LEFT($M595,1),B593:I600,6,FALSE),IF(LEN($M595)=2,VLOOKUP(LEFT($M595,1),B593:I600,8,FALSE),""))</f>
        <v>Chiemerie Okwara</v>
      </c>
      <c r="Q595" s="371" t="s">
        <v>273</v>
      </c>
      <c r="R595" s="146" t="str">
        <f t="shared" si="525"/>
        <v>Y</v>
      </c>
      <c r="S595" s="927" t="s">
        <v>822</v>
      </c>
      <c r="T595" s="927">
        <v>11.3</v>
      </c>
      <c r="U595" s="354" t="str">
        <f>IF(LEN($S595)=1,VLOOKUP(LEFT($S595,1),B593:I600,5,FALSE),IF(LEN($S595)=2,VLOOKUP(LEFT($S595,1),B593:I600,7,FALSE),""))</f>
        <v>YY</v>
      </c>
      <c r="V595" s="410" t="str">
        <f>IF(LEN($S595)=1,VLOOKUP(LEFT($S595,1),B593:I600,6,FALSE),IF(LEN($S595)=2,VLOOKUP(LEFT($S595,1),B593:I600,8,FALSE),""))</f>
        <v>Lloyd Kerry</v>
      </c>
      <c r="W595" s="417">
        <f t="shared" ref="W595:W600" si="532">W594-1</f>
        <v>6</v>
      </c>
      <c r="Y595" s="16">
        <v>17</v>
      </c>
      <c r="Z595" s="16" t="str">
        <f t="shared" si="526"/>
        <v>Rugby</v>
      </c>
      <c r="AA595" s="146" t="str">
        <f t="shared" si="527"/>
        <v>Worc</v>
      </c>
      <c r="AC595" s="16" t="str">
        <f t="shared" si="528"/>
        <v>G</v>
      </c>
      <c r="AD595" s="419" t="str">
        <f t="shared" si="528"/>
        <v>Royal Sutton</v>
      </c>
      <c r="AE595" s="419">
        <f>IF(ISNA(MATCH(AC595,N593:N602,0)),0,VLOOKUP(AC595,N593:S602,5,FALSE))</f>
        <v>0</v>
      </c>
      <c r="AF595" s="419" t="str">
        <f>IF(ISNA(MATCH(AC595,T593:T602,0))," ",VLOOKUP(AC595,T593:Y602,5,FALSE))</f>
        <v xml:space="preserve"> </v>
      </c>
      <c r="AG595" s="419">
        <f>IF(ISNA(MATCH(AC595,L593:L600,0)),0,VLOOKUP(AC595,L593:N600,3,FALSE))</f>
        <v>11.9</v>
      </c>
      <c r="AH595" s="419">
        <f>IF(ISNA(MATCH(AC595,R593:R600,0)),0,VLOOKUP(AC595,R593:T600,3,FALSE))</f>
        <v>11.1</v>
      </c>
      <c r="AI595" s="419" t="str">
        <f>IF(ISNA(MATCH(AC595,L593:L600,0)),0,VLOOKUP(AC595,L593:P600,4,FALSE))</f>
        <v>GG</v>
      </c>
      <c r="AJ595" s="419" t="str">
        <f>IF(ISNA(MATCH(AC595,R593:R600,0)),0,VLOOKUP(AC595,R593:U600,4,FALSE))</f>
        <v>G</v>
      </c>
      <c r="AK595" s="32">
        <f t="shared" si="529"/>
        <v>6</v>
      </c>
      <c r="AL595" s="32">
        <f t="shared" si="530"/>
        <v>1</v>
      </c>
      <c r="AM595" s="32">
        <f>IF(ISNA(MATCH(AC595,L593:L600,0)),0,VLOOKUP(AC595,L593:W600,AM$1,FALSE))</f>
        <v>3</v>
      </c>
      <c r="AN595" s="146">
        <f>IF(ISNA(MATCH(AC595,R593:R600,0)),0,VLOOKUP(AC595,R593:W600,AN$1,FALSE))</f>
        <v>8</v>
      </c>
      <c r="AP595" s="927"/>
      <c r="AQ595" s="927"/>
    </row>
    <row r="596" spans="1:47" ht="15.6" x14ac:dyDescent="0.3">
      <c r="A596" s="417">
        <f t="shared" si="531"/>
        <v>534</v>
      </c>
      <c r="B596" s="362" t="str">
        <f>'Event Details'!D$25</f>
        <v>R</v>
      </c>
      <c r="C596" s="381" t="str">
        <f>'Event Details'!E$25</f>
        <v>Rugby &amp; N'hampton</v>
      </c>
      <c r="D596" s="379"/>
      <c r="E596" s="378"/>
      <c r="F596" s="363" t="str">
        <f>VLOOKUP($B592,IF($H592="F",TeamSheetFemale,TeamSheetMale),$Y596-1,FALSE)</f>
        <v>R</v>
      </c>
      <c r="G596" s="380" t="str">
        <f>VLOOKUP($B592,IF($H592="F",TeamSheetFemale,TeamSheetMale),$Y596,FALSE)</f>
        <v>Chiemerie Okwara</v>
      </c>
      <c r="H596" s="363" t="str">
        <f>VLOOKUP($B592,IF($H592="F",TeamSheetFemale,TeamSheetMale),$Y596+1,FALSE)</f>
        <v>RR</v>
      </c>
      <c r="I596" s="364" t="str">
        <f>VLOOKUP($B592,IF($H592="F",TeamSheetFemale,TeamSheetMale),$Y596+2,FALSE)</f>
        <v>Dallas Burrrows Pitt</v>
      </c>
      <c r="K596" s="341" t="s">
        <v>274</v>
      </c>
      <c r="L596" s="16" t="str">
        <f t="shared" si="524"/>
        <v>D</v>
      </c>
      <c r="M596" s="927" t="s">
        <v>136</v>
      </c>
      <c r="N596" s="927">
        <v>11</v>
      </c>
      <c r="O596" s="354" t="str">
        <f>IF(LEN($M596)=1,VLOOKUP(LEFT($M596,1),B593:I600,5,FALSE),IF(LEN($M596)=2,VLOOKUP(LEFT($M596,1),B593:I600,7,FALSE),""))</f>
        <v>D</v>
      </c>
      <c r="P596" s="410" t="str">
        <f>IF(LEN($M596)=1,VLOOKUP(LEFT($M596,1),B593:I600,6,FALSE),IF(LEN($M596)=2,VLOOKUP(LEFT($M596,1),B593:I600,8,FALSE),""))</f>
        <v>Henry Yates</v>
      </c>
      <c r="Q596" s="371" t="s">
        <v>274</v>
      </c>
      <c r="R596" s="146" t="str">
        <f t="shared" si="525"/>
        <v>R</v>
      </c>
      <c r="S596" s="927" t="s">
        <v>819</v>
      </c>
      <c r="T596" s="927">
        <v>11.6</v>
      </c>
      <c r="U596" s="354" t="str">
        <f>IF(LEN($S596)=1,VLOOKUP(LEFT($S596,1),B593:I600,5,FALSE),IF(LEN($S596)=2,VLOOKUP(LEFT($S596,1),B593:I600,7,FALSE),""))</f>
        <v>RR</v>
      </c>
      <c r="V596" s="410" t="str">
        <f>IF(LEN($S596)=1,VLOOKUP(LEFT($S596,1),B593:I600,6,FALSE),IF(LEN($S596)=2,VLOOKUP(LEFT($S596,1),B593:I600,8,FALSE),""))</f>
        <v>Dallas Burrrows Pitt</v>
      </c>
      <c r="W596" s="417">
        <f t="shared" si="532"/>
        <v>5</v>
      </c>
      <c r="Y596" s="16">
        <v>22</v>
      </c>
      <c r="Z596" s="16" t="str">
        <f t="shared" si="526"/>
        <v>Strat</v>
      </c>
      <c r="AA596" s="146" t="str">
        <f t="shared" si="527"/>
        <v>Rugby</v>
      </c>
      <c r="AC596" s="16" t="str">
        <f t="shared" si="528"/>
        <v>R</v>
      </c>
      <c r="AD596" s="419" t="str">
        <f t="shared" si="528"/>
        <v>Rugby &amp; N'hampton</v>
      </c>
      <c r="AE596" s="419">
        <f>IF(ISNA(MATCH(AC596,N593:N602,0)),0,VLOOKUP(AC596,N593:S602,5,FALSE))</f>
        <v>0</v>
      </c>
      <c r="AF596" s="419" t="str">
        <f>IF(ISNA(MATCH(AC596,T593:T602,0))," ",VLOOKUP(AC596,T593:Y602,5,FALSE))</f>
        <v xml:space="preserve"> </v>
      </c>
      <c r="AG596" s="419">
        <f>IF(ISNA(MATCH(AC596,L593:L600,0)),0,VLOOKUP(AC596,L593:N600,3,FALSE))</f>
        <v>10.6</v>
      </c>
      <c r="AH596" s="419">
        <f>IF(ISNA(MATCH(AC596,R593:R600,0)),0,VLOOKUP(AC596,R593:T600,3,FALSE))</f>
        <v>11.6</v>
      </c>
      <c r="AI596" s="419" t="str">
        <f>IF(ISNA(MATCH(AC596,L593:L600,0)),0,VLOOKUP(AC596,L593:P600,4,FALSE))</f>
        <v>R</v>
      </c>
      <c r="AJ596" s="419" t="str">
        <f>IF(ISNA(MATCH(AC596,R593:R600,0)),0,VLOOKUP(AC596,R593:U600,4,FALSE))</f>
        <v>RR</v>
      </c>
      <c r="AK596" s="32">
        <f t="shared" si="529"/>
        <v>3</v>
      </c>
      <c r="AL596" s="32">
        <f t="shared" si="530"/>
        <v>4</v>
      </c>
      <c r="AM596" s="32">
        <f>IF(ISNA(MATCH(AC596,L593:L600,0)),0,VLOOKUP(AC596,L593:W600,AM$1,FALSE))</f>
        <v>6</v>
      </c>
      <c r="AN596" s="146">
        <f>IF(ISNA(MATCH(AC596,R593:R600,0)),0,VLOOKUP(AC596,R593:W600,AN$1,FALSE))</f>
        <v>5</v>
      </c>
      <c r="AP596" s="927"/>
      <c r="AQ596" s="927"/>
    </row>
    <row r="597" spans="1:47" ht="15.6" x14ac:dyDescent="0.3">
      <c r="A597" s="417">
        <f t="shared" si="531"/>
        <v>535</v>
      </c>
      <c r="B597" s="362" t="str">
        <f>'Event Details'!D$26</f>
        <v>M</v>
      </c>
      <c r="C597" s="381" t="str">
        <f>'Event Details'!E$26</f>
        <v>Solihull &amp; S.Heath</v>
      </c>
      <c r="D597" s="379"/>
      <c r="E597" s="378"/>
      <c r="F597" s="363" t="str">
        <f>VLOOKUP($B592,IF($H592="F",TeamSheetFemale,TeamSheetMale),$Y597-1,FALSE)</f>
        <v>M</v>
      </c>
      <c r="G597" s="380" t="str">
        <f>VLOOKUP($B592,IF($H592="F",TeamSheetFemale,TeamSheetMale),$Y597,FALSE)</f>
        <v>Sam Roberts</v>
      </c>
      <c r="H597" s="363" t="str">
        <f>VLOOKUP($B592,IF($H592="F",TeamSheetFemale,TeamSheetMale),$Y597+1,FALSE)</f>
        <v>MM</v>
      </c>
      <c r="I597" s="364" t="str">
        <f>VLOOKUP($B592,IF($H592="F",TeamSheetFemale,TeamSheetMale),$Y597+2,FALSE)</f>
        <v>Troy Hall</v>
      </c>
      <c r="K597" s="341" t="s">
        <v>275</v>
      </c>
      <c r="L597" s="16" t="str">
        <f t="shared" si="524"/>
        <v>M</v>
      </c>
      <c r="M597" s="927" t="s">
        <v>127</v>
      </c>
      <c r="N597" s="927">
        <v>11.1</v>
      </c>
      <c r="O597" s="354" t="str">
        <f>IF(LEN($M597)=1,VLOOKUP(LEFT($M597,1),B593:I600,5,FALSE),IF(LEN($M597)=2,VLOOKUP(LEFT($M597,1),B593:I600,7,FALSE),""))</f>
        <v>M</v>
      </c>
      <c r="P597" s="410" t="str">
        <f>IF(LEN($M597)=1,VLOOKUP(LEFT($M597,1),B593:I600,6,FALSE),IF(LEN($M597)=2,VLOOKUP(LEFT($M597,1),B593:I600,8,FALSE),""))</f>
        <v>Sam Roberts</v>
      </c>
      <c r="Q597" s="371" t="s">
        <v>275</v>
      </c>
      <c r="R597" s="146" t="str">
        <f t="shared" si="525"/>
        <v>S</v>
      </c>
      <c r="S597" s="927" t="s">
        <v>818</v>
      </c>
      <c r="T597" s="927">
        <v>11.7</v>
      </c>
      <c r="U597" s="354" t="str">
        <f>IF(LEN($S597)=1,VLOOKUP(LEFT($S597,1),B593:I600,5,FALSE),IF(LEN($S597)=2,VLOOKUP(LEFT($S597,1),B593:I600,7,FALSE),""))</f>
        <v>SS</v>
      </c>
      <c r="V597" s="410" t="str">
        <f>IF(LEN($S597)=1,VLOOKUP(LEFT($S597,1),B593:I600,6,FALSE),IF(LEN($S597)=2,VLOOKUP(LEFT($S597,1),B593:I600,8,FALSE),""))</f>
        <v xml:space="preserve">Oliver brooks </v>
      </c>
      <c r="W597" s="417">
        <f t="shared" si="532"/>
        <v>4</v>
      </c>
      <c r="Y597" s="16">
        <v>27</v>
      </c>
      <c r="Z597" s="16" t="str">
        <f t="shared" si="526"/>
        <v>Sol</v>
      </c>
      <c r="AA597" s="146" t="str">
        <f t="shared" si="527"/>
        <v>BRAT</v>
      </c>
      <c r="AC597" s="16" t="str">
        <f t="shared" si="528"/>
        <v>M</v>
      </c>
      <c r="AD597" s="419" t="str">
        <f t="shared" si="528"/>
        <v>Solihull &amp; S.Heath</v>
      </c>
      <c r="AE597" s="419">
        <f>IF(ISNA(MATCH(AC597,N593:N602,0)),0,VLOOKUP(AC597,N593:S602,5,FALSE))</f>
        <v>0</v>
      </c>
      <c r="AF597" s="419" t="str">
        <f>IF(ISNA(MATCH(AC597,T593:T602,0))," ",VLOOKUP(AC597,T593:Y602,5,FALSE))</f>
        <v xml:space="preserve"> </v>
      </c>
      <c r="AG597" s="419">
        <f>IF(ISNA(MATCH(AC597,L593:L600,0)),0,VLOOKUP(AC597,L593:N600,3,FALSE))</f>
        <v>11.1</v>
      </c>
      <c r="AH597" s="419">
        <f>IF(ISNA(MATCH(AC597,R593:R600,0)),0,VLOOKUP(AC597,R593:T600,3,FALSE))</f>
        <v>11.2</v>
      </c>
      <c r="AI597" s="419" t="str">
        <f>IF(ISNA(MATCH(AC597,L593:L600,0)),0,VLOOKUP(AC597,L593:P600,4,FALSE))</f>
        <v>M</v>
      </c>
      <c r="AJ597" s="419" t="str">
        <f>IF(ISNA(MATCH(AC597,R593:R600,0)),0,VLOOKUP(AC597,R593:U600,4,FALSE))</f>
        <v>MM</v>
      </c>
      <c r="AK597" s="32">
        <f t="shared" si="529"/>
        <v>5</v>
      </c>
      <c r="AL597" s="32">
        <f t="shared" si="530"/>
        <v>2</v>
      </c>
      <c r="AM597" s="32">
        <f>IF(ISNA(MATCH(AC597,L593:L600,0)),0,VLOOKUP(AC597,L593:W600,AM$1,FALSE))</f>
        <v>4</v>
      </c>
      <c r="AN597" s="146">
        <f>IF(ISNA(MATCH(AC597,R593:R600,0)),0,VLOOKUP(AC597,R593:W600,AN$1,FALSE))</f>
        <v>7</v>
      </c>
      <c r="AP597" s="927"/>
      <c r="AQ597" s="927"/>
    </row>
    <row r="598" spans="1:47" ht="15.6" x14ac:dyDescent="0.3">
      <c r="A598" s="417">
        <f t="shared" si="531"/>
        <v>536</v>
      </c>
      <c r="B598" s="362" t="str">
        <f>'Event Details'!D$27</f>
        <v>D</v>
      </c>
      <c r="C598" s="381" t="str">
        <f>'Event Details'!E$27</f>
        <v>Stratford</v>
      </c>
      <c r="D598" s="379"/>
      <c r="E598" s="378"/>
      <c r="F598" s="363" t="str">
        <f>VLOOKUP($B592,IF($H592="F",TeamSheetFemale,TeamSheetMale),$Y598-1,FALSE)</f>
        <v>D</v>
      </c>
      <c r="G598" s="380" t="str">
        <f>VLOOKUP($B592,IF($H592="F",TeamSheetFemale,TeamSheetMale),$Y598,FALSE)</f>
        <v>Henry Yates</v>
      </c>
      <c r="H598" s="363" t="str">
        <f>VLOOKUP($B592,IF($H592="F",TeamSheetFemale,TeamSheetMale),$Y598+1,FALSE)</f>
        <v>DD</v>
      </c>
      <c r="I598" s="364" t="str">
        <f>VLOOKUP($B592,IF($H592="F",TeamSheetFemale,TeamSheetMale),$Y598+2,FALSE)</f>
        <v>Henry Cotton</v>
      </c>
      <c r="K598" s="341" t="s">
        <v>276</v>
      </c>
      <c r="L598" s="16" t="str">
        <f t="shared" si="524"/>
        <v>G</v>
      </c>
      <c r="M598" s="927" t="s">
        <v>820</v>
      </c>
      <c r="N598" s="927">
        <v>11.9</v>
      </c>
      <c r="O598" s="354" t="str">
        <f>IF(LEN($M598)=1,VLOOKUP(LEFT($M598,1),B593:I600,5,FALSE),IF(LEN($M598)=2,VLOOKUP(LEFT($M598,1),B593:I600,7,FALSE),""))</f>
        <v>GG</v>
      </c>
      <c r="P598" s="410" t="str">
        <f>IF(LEN($M598)=1,VLOOKUP(LEFT($M598,1),B593:I600,6,FALSE),IF(LEN($M598)=2,VLOOKUP(LEFT($M598,1),B593:I600,8,FALSE),""))</f>
        <v xml:space="preserve">Khari Caines </v>
      </c>
      <c r="Q598" s="371" t="s">
        <v>276</v>
      </c>
      <c r="R598" s="146" t="str">
        <f t="shared" si="525"/>
        <v>D</v>
      </c>
      <c r="S598" s="927" t="s">
        <v>513</v>
      </c>
      <c r="T598" s="927">
        <v>12.1</v>
      </c>
      <c r="U598" s="354" t="str">
        <f>IF(LEN($S598)=1,VLOOKUP(LEFT($S598,1),B593:I600,5,FALSE),IF(LEN($S598)=2,VLOOKUP(LEFT($S598,1),B593:I600,7,FALSE),""))</f>
        <v>DD</v>
      </c>
      <c r="V598" s="410" t="str">
        <f>IF(LEN($S598)=1,VLOOKUP(LEFT($S598,1),B593:I600,6,FALSE),IF(LEN($S598)=2,VLOOKUP(LEFT($S598,1),B593:I600,8,FALSE),""))</f>
        <v>Henry Cotton</v>
      </c>
      <c r="W598" s="417">
        <f t="shared" si="532"/>
        <v>3</v>
      </c>
      <c r="Y598" s="16">
        <v>32</v>
      </c>
      <c r="Z598" s="16" t="str">
        <f t="shared" si="526"/>
        <v>Royal</v>
      </c>
      <c r="AA598" s="146" t="str">
        <f t="shared" si="527"/>
        <v>Strat</v>
      </c>
      <c r="AC598" s="16" t="str">
        <f t="shared" si="528"/>
        <v>D</v>
      </c>
      <c r="AD598" s="419" t="str">
        <f t="shared" si="528"/>
        <v>Stratford</v>
      </c>
      <c r="AE598" s="419">
        <f>IF(ISNA(MATCH(AC598,N593:N602,0)),0,VLOOKUP(AC598,N593:S602,5,FALSE))</f>
        <v>0</v>
      </c>
      <c r="AF598" s="419" t="str">
        <f>IF(ISNA(MATCH(AC598,T593:T602,0))," ",VLOOKUP(AC598,T593:Y602,5,FALSE))</f>
        <v xml:space="preserve"> </v>
      </c>
      <c r="AG598" s="419">
        <f>IF(ISNA(MATCH(AC598,L593:L600,0)),0,VLOOKUP(AC598,L593:N600,3,FALSE))</f>
        <v>11</v>
      </c>
      <c r="AH598" s="419">
        <f>IF(ISNA(MATCH(AC598,R593:R600,0)),0,VLOOKUP(AC598,R593:T600,3,FALSE))</f>
        <v>12.1</v>
      </c>
      <c r="AI598" s="419" t="str">
        <f>IF(ISNA(MATCH(AC598,L593:L600,0)),0,VLOOKUP(AC598,L593:P600,4,FALSE))</f>
        <v>D</v>
      </c>
      <c r="AJ598" s="419" t="str">
        <f>IF(ISNA(MATCH(AC598,R593:R600,0)),0,VLOOKUP(AC598,R593:U600,4,FALSE))</f>
        <v>DD</v>
      </c>
      <c r="AK598" s="32">
        <f t="shared" si="529"/>
        <v>4</v>
      </c>
      <c r="AL598" s="32">
        <f t="shared" si="530"/>
        <v>6</v>
      </c>
      <c r="AM598" s="32">
        <f>IF(ISNA(MATCH(AC598,L593:L600,0)),0,VLOOKUP(AC598,L593:W600,AM$1,FALSE))</f>
        <v>5</v>
      </c>
      <c r="AN598" s="146">
        <f>IF(ISNA(MATCH(AC598,R593:R600,0)),0,VLOOKUP(AC598,R593:W600,AN$1,FALSE))</f>
        <v>3</v>
      </c>
      <c r="AP598" s="927"/>
      <c r="AQ598" s="927"/>
    </row>
    <row r="599" spans="1:47" ht="15.6" x14ac:dyDescent="0.3">
      <c r="A599" s="417">
        <f t="shared" si="531"/>
        <v>537</v>
      </c>
      <c r="B599" s="362" t="str">
        <f>'Event Details'!D$28</f>
        <v>F</v>
      </c>
      <c r="C599" s="381" t="str">
        <f>'Event Details'!E$28</f>
        <v>Tamworth</v>
      </c>
      <c r="D599" s="379"/>
      <c r="E599" s="378"/>
      <c r="F599" s="363" t="str">
        <f>VLOOKUP($B592,IF($H592="F",TeamSheetFemale,TeamSheetMale),$Y599-1,FALSE)</f>
        <v>F</v>
      </c>
      <c r="G599" s="380" t="str">
        <f>VLOOKUP($B592,IF($H592="F",TeamSheetFemale,TeamSheetMale),$Y599,FALSE)</f>
        <v>Evan Darby</v>
      </c>
      <c r="H599" s="363" t="str">
        <f>VLOOKUP($B592,IF($H592="F",TeamSheetFemale,TeamSheetMale),$Y599+1,FALSE)</f>
        <v>FF</v>
      </c>
      <c r="I599" s="364" t="str">
        <f>VLOOKUP($B592,IF($H592="F",TeamSheetFemale,TeamSheetMale),$Y599+2,FALSE)</f>
        <v>Oliver Eaton</v>
      </c>
      <c r="K599" s="341" t="s">
        <v>277</v>
      </c>
      <c r="L599" s="16" t="str">
        <f t="shared" si="524"/>
        <v>F</v>
      </c>
      <c r="M599" s="931" t="s">
        <v>142</v>
      </c>
      <c r="N599" s="927">
        <v>12</v>
      </c>
      <c r="O599" s="354" t="str">
        <f>IF(LEN($M599)=1,VLOOKUP(LEFT($M599,1),B593:I600,5,FALSE),IF(LEN($M599)=2,VLOOKUP(LEFT($M599,1),B593:I600,7,FALSE),""))</f>
        <v>F</v>
      </c>
      <c r="P599" s="410" t="str">
        <f>IF(LEN($M599)=1,VLOOKUP(LEFT($M599,1),B593:I600,6,FALSE),IF(LEN($M599)=2,VLOOKUP(LEFT($M599,1),B593:I600,8,FALSE),""))</f>
        <v>Evan Darby</v>
      </c>
      <c r="Q599" s="371" t="s">
        <v>277</v>
      </c>
      <c r="R599" s="146" t="str">
        <f t="shared" si="525"/>
        <v>F</v>
      </c>
      <c r="S599" s="931" t="s">
        <v>576</v>
      </c>
      <c r="T599" s="927">
        <v>12.9</v>
      </c>
      <c r="U599" s="354" t="str">
        <f>IF(LEN($S599)=1,VLOOKUP(LEFT($S599,1),B593:I600,5,FALSE),IF(LEN($S599)=2,VLOOKUP(LEFT($S599,1),B593:I600,7,FALSE),""))</f>
        <v>FF</v>
      </c>
      <c r="V599" s="410" t="str">
        <f>IF(LEN($S599)=1,VLOOKUP(LEFT($S599,1),B593:I600,6,FALSE),IF(LEN($S599)=2,VLOOKUP(LEFT($S599,1),B593:I600,8,FALSE),""))</f>
        <v>Oliver Eaton</v>
      </c>
      <c r="W599" s="417">
        <f t="shared" si="532"/>
        <v>2</v>
      </c>
      <c r="Y599" s="16">
        <v>37</v>
      </c>
      <c r="Z599" s="16" t="str">
        <f t="shared" si="526"/>
        <v>Tam</v>
      </c>
      <c r="AA599" s="146" t="str">
        <f t="shared" si="527"/>
        <v>Tam</v>
      </c>
      <c r="AC599" s="16" t="str">
        <f t="shared" si="528"/>
        <v>F</v>
      </c>
      <c r="AD599" s="419" t="str">
        <f t="shared" si="528"/>
        <v>Tamworth</v>
      </c>
      <c r="AE599" s="419">
        <f>IF(ISNA(MATCH(AC599,N591:N600,0)),0,VLOOKUP(AC599,N591:S600,5,FALSE))</f>
        <v>0</v>
      </c>
      <c r="AF599" s="419" t="str">
        <f>IF(ISNA(MATCH(AC599,T591:T600,0))," ",VLOOKUP(AC599,T591:Y600,5,FALSE))</f>
        <v xml:space="preserve"> </v>
      </c>
      <c r="AG599" s="419">
        <f>IF(ISNA(MATCH(AC599,L593:L600,0)),0,VLOOKUP(AC599,L593:N600,3,FALSE))</f>
        <v>12</v>
      </c>
      <c r="AH599" s="419">
        <f>IF(ISNA(MATCH(AC599,R593:R600,0)),0,VLOOKUP(AC599,R593:T600,3,FALSE))</f>
        <v>12.9</v>
      </c>
      <c r="AI599" s="419" t="str">
        <f>IF(ISNA(MATCH(AC599,L593:L600,0)),0,VLOOKUP(AC599,L593:P600,4,FALSE))</f>
        <v>F</v>
      </c>
      <c r="AJ599" s="419" t="str">
        <f>IF(ISNA(MATCH(AC599,R593:R600,0)),0,VLOOKUP(AC599,R593:U600,4,FALSE))</f>
        <v>FF</v>
      </c>
      <c r="AK599" s="32">
        <f t="shared" si="529"/>
        <v>7</v>
      </c>
      <c r="AL599" s="32">
        <f t="shared" si="530"/>
        <v>7</v>
      </c>
      <c r="AM599" s="32">
        <f>IF(ISNA(MATCH(AC599,L593:L600,0)),0,VLOOKUP(AC599,L593:W600,AM$1,FALSE))</f>
        <v>2</v>
      </c>
      <c r="AN599" s="146">
        <f>IF(ISNA(MATCH(AC599,R593:R600,0)),0,VLOOKUP(AC599,R593:W600,AN$1,FALSE))</f>
        <v>2</v>
      </c>
      <c r="AP599" s="931"/>
      <c r="AQ599" s="927"/>
    </row>
    <row r="600" spans="1:47" ht="16.2" thickBot="1" x14ac:dyDescent="0.35">
      <c r="A600" s="418">
        <f t="shared" si="531"/>
        <v>538</v>
      </c>
      <c r="B600" s="365" t="str">
        <f>'Event Details'!D$29</f>
        <v>Y</v>
      </c>
      <c r="C600" s="366" t="str">
        <f>'Event Details'!E$29</f>
        <v>Worcester</v>
      </c>
      <c r="D600" s="361"/>
      <c r="E600" s="370"/>
      <c r="F600" s="367" t="str">
        <f>VLOOKUP($B592,IF($H592="F",TeamSheetFemale,TeamSheetMale),$Y600-1,FALSE)</f>
        <v>Y</v>
      </c>
      <c r="G600" s="368" t="str">
        <f>VLOOKUP($B592,IF($H592="F",TeamSheetFemale,TeamSheetMale),$Y600,FALSE)</f>
        <v>Thomas Jenkinson</v>
      </c>
      <c r="H600" s="367" t="str">
        <f>VLOOKUP($B592,IF($H592="F",TeamSheetFemale,TeamSheetMale),$Y600+1,FALSE)</f>
        <v>YY</v>
      </c>
      <c r="I600" s="369" t="str">
        <f>VLOOKUP($B592,IF($H592="F",TeamSheetFemale,TeamSheetMale),$Y600+2,FALSE)</f>
        <v>Lloyd Kerry</v>
      </c>
      <c r="K600" s="346" t="s">
        <v>278</v>
      </c>
      <c r="L600" s="25" t="str">
        <f t="shared" si="524"/>
        <v/>
      </c>
      <c r="M600" s="928"/>
      <c r="N600" s="932"/>
      <c r="O600" s="374" t="str">
        <f>IF(LEN($M600)=1,VLOOKUP(LEFT($M600,1),B593:I600,5,FALSE),IF(LEN($M600)=2,VLOOKUP(LEFT($M600,1),B593:I600,7,FALSE),""))</f>
        <v/>
      </c>
      <c r="P600" s="411" t="str">
        <f>IF(LEN($M600)=1,VLOOKUP(LEFT($M600,1),B593:I600,6,FALSE),IF(LEN($M600)=2,VLOOKUP(LEFT($M600,1),B593:I600,8,FALSE),""))</f>
        <v/>
      </c>
      <c r="Q600" s="407" t="s">
        <v>278</v>
      </c>
      <c r="R600" s="523" t="str">
        <f t="shared" si="525"/>
        <v/>
      </c>
      <c r="S600" s="928"/>
      <c r="T600" s="932"/>
      <c r="U600" s="374" t="str">
        <f>IF(LEN($S600)=1,VLOOKUP(LEFT($S600,1),B593:I600,5,FALSE),IF(LEN($S600)=2,VLOOKUP(LEFT($S600,1),B593:I600,7,FALSE),""))</f>
        <v/>
      </c>
      <c r="V600" s="411" t="str">
        <f>IF(LEN($S600)=1,VLOOKUP(LEFT($S600,1),B593:I600,6,FALSE),IF(LEN($S600)=2,VLOOKUP(LEFT($S600,1),B593:I600,8,FALSE),""))</f>
        <v/>
      </c>
      <c r="W600" s="418">
        <f t="shared" si="532"/>
        <v>1</v>
      </c>
      <c r="Y600" s="25">
        <v>42</v>
      </c>
      <c r="Z600" s="25">
        <f t="shared" si="526"/>
        <v>0</v>
      </c>
      <c r="AA600" s="523">
        <f t="shared" si="527"/>
        <v>0</v>
      </c>
      <c r="AC600" s="25" t="str">
        <f t="shared" si="528"/>
        <v>Y</v>
      </c>
      <c r="AD600" s="624" t="str">
        <f t="shared" si="528"/>
        <v>Worcester</v>
      </c>
      <c r="AE600" s="624">
        <f>IF(ISNA(MATCH(AC600,N592:N601,0)),0,VLOOKUP(AC600,N592:S601,5,FALSE))</f>
        <v>0</v>
      </c>
      <c r="AF600" s="624" t="str">
        <f t="shared" ref="AF600" si="533">IF(ISNA(MATCH(AC600,T592:T601,0))," ",VLOOKUP(AC600,T592:Y601,5,FALSE))</f>
        <v xml:space="preserve"> </v>
      </c>
      <c r="AG600" s="624">
        <f>IF(ISNA(MATCH(AC600,L593:L600,0)),0,VLOOKUP(AC600,L593:N600,3,FALSE))</f>
        <v>10.4</v>
      </c>
      <c r="AH600" s="624">
        <f>IF(ISNA(MATCH(AC600,R593:R600,0)),0,VLOOKUP(AC600,R593:T600,3,FALSE))</f>
        <v>11.3</v>
      </c>
      <c r="AI600" s="624" t="str">
        <f>IF(ISNA(MATCH(AC600,L593:L600,0)),0,VLOOKUP(AC600,L593:P600,4,FALSE))</f>
        <v>Y</v>
      </c>
      <c r="AJ600" s="624" t="str">
        <f>IF(ISNA(MATCH(AC600,R593:R600,0)),0,VLOOKUP(AC600,R593:U600,4,FALSE))</f>
        <v>YY</v>
      </c>
      <c r="AK600" s="116">
        <f t="shared" si="529"/>
        <v>2</v>
      </c>
      <c r="AL600" s="116">
        <f t="shared" si="530"/>
        <v>3</v>
      </c>
      <c r="AM600" s="116">
        <f>IF(ISNA(MATCH(AC600,L593:L600,0)),0,VLOOKUP(AC600,L593:W600,AM$1,FALSE))</f>
        <v>7</v>
      </c>
      <c r="AN600" s="523">
        <f>IF(ISNA(MATCH(AC600,R593:R600,0)),0,VLOOKUP(AC600,R593:W600,AN$1,FALSE))</f>
        <v>6</v>
      </c>
      <c r="AP600" s="928"/>
      <c r="AQ600" s="932"/>
    </row>
    <row r="601" spans="1:47" ht="15" thickBot="1" x14ac:dyDescent="0.35">
      <c r="M601" s="276"/>
      <c r="N601" s="307"/>
      <c r="S601" s="276"/>
      <c r="T601" s="307"/>
      <c r="AP601" s="276"/>
      <c r="AQ601" s="307"/>
    </row>
    <row r="602" spans="1:47" x14ac:dyDescent="0.3">
      <c r="B602" s="400" t="s">
        <v>258</v>
      </c>
      <c r="C602" s="398"/>
      <c r="D602" s="401" t="s">
        <v>165</v>
      </c>
      <c r="E602" s="398"/>
      <c r="F602" s="398"/>
      <c r="G602" s="402" t="s">
        <v>259</v>
      </c>
      <c r="H602" s="403" t="s">
        <v>249</v>
      </c>
      <c r="I602" s="404" t="s">
        <v>168</v>
      </c>
      <c r="K602" s="360"/>
      <c r="L602" s="661"/>
      <c r="M602" s="387" t="s">
        <v>260</v>
      </c>
      <c r="N602" s="387" t="s">
        <v>261</v>
      </c>
      <c r="O602" s="387" t="s">
        <v>262</v>
      </c>
      <c r="P602" s="388" t="s">
        <v>75</v>
      </c>
      <c r="Q602" s="389"/>
      <c r="R602" s="657"/>
      <c r="S602" s="387" t="s">
        <v>260</v>
      </c>
      <c r="T602" s="387" t="s">
        <v>261</v>
      </c>
      <c r="U602" s="387" t="s">
        <v>262</v>
      </c>
      <c r="V602" s="388" t="s">
        <v>75</v>
      </c>
      <c r="W602" s="672" t="s">
        <v>76</v>
      </c>
      <c r="Y602" s="414" t="s">
        <v>263</v>
      </c>
      <c r="Z602" s="656" t="s">
        <v>74</v>
      </c>
      <c r="AA602" s="657" t="s">
        <v>75</v>
      </c>
      <c r="AC602" s="665" t="s">
        <v>71</v>
      </c>
      <c r="AD602" s="657" t="s">
        <v>86</v>
      </c>
      <c r="AE602" s="661" t="s">
        <v>149</v>
      </c>
      <c r="AF602" s="661" t="s">
        <v>94</v>
      </c>
      <c r="AG602" s="661" t="s">
        <v>149</v>
      </c>
      <c r="AH602" s="661" t="s">
        <v>94</v>
      </c>
      <c r="AI602" s="661" t="s">
        <v>149</v>
      </c>
      <c r="AJ602" s="661" t="s">
        <v>94</v>
      </c>
      <c r="AK602" s="1332" t="s">
        <v>149</v>
      </c>
      <c r="AL602" s="661" t="s">
        <v>94</v>
      </c>
      <c r="AM602" s="1406" t="s">
        <v>76</v>
      </c>
      <c r="AN602" s="1407"/>
      <c r="AP602" s="387" t="s">
        <v>260</v>
      </c>
      <c r="AQ602" s="387" t="s">
        <v>261</v>
      </c>
      <c r="AS602" s="1218" t="s">
        <v>165</v>
      </c>
      <c r="AT602" s="1219" t="s">
        <v>79</v>
      </c>
      <c r="AU602" s="1220" t="s">
        <v>80</v>
      </c>
    </row>
    <row r="603" spans="1:47" ht="15" thickBot="1" x14ac:dyDescent="0.35">
      <c r="B603" s="405">
        <v>54</v>
      </c>
      <c r="C603" s="399"/>
      <c r="D603" s="385" t="str">
        <f>VLOOKUP($B603,EventOrder,6,FALSE)</f>
        <v xml:space="preserve">150m </v>
      </c>
      <c r="E603" s="399"/>
      <c r="F603" s="385"/>
      <c r="G603" s="386" t="str">
        <f>VLOOKUP($B603,EventOrder,4,FALSE)</f>
        <v>U12 Male</v>
      </c>
      <c r="H603" s="396" t="str">
        <f>IF(MID(G603,5,1)="F","F","M")</f>
        <v>M</v>
      </c>
      <c r="I603" s="397">
        <f>VLOOKUP($B603,EventOrder,2,FALSE)</f>
        <v>3.45</v>
      </c>
      <c r="K603" s="377"/>
      <c r="L603" s="667" t="s">
        <v>149</v>
      </c>
      <c r="M603" s="409" t="s">
        <v>264</v>
      </c>
      <c r="N603" s="409" t="s">
        <v>265</v>
      </c>
      <c r="O603" s="390" t="s">
        <v>266</v>
      </c>
      <c r="P603" s="391"/>
      <c r="Q603" s="392"/>
      <c r="R603" s="659" t="s">
        <v>94</v>
      </c>
      <c r="S603" s="409" t="s">
        <v>264</v>
      </c>
      <c r="T603" s="409" t="s">
        <v>265</v>
      </c>
      <c r="U603" s="390" t="s">
        <v>266</v>
      </c>
      <c r="V603" s="391"/>
      <c r="W603" s="671"/>
      <c r="Y603" s="415" t="s">
        <v>167</v>
      </c>
      <c r="Z603" s="658" t="s">
        <v>149</v>
      </c>
      <c r="AA603" s="659" t="s">
        <v>94</v>
      </c>
      <c r="AC603" s="666"/>
      <c r="AD603" s="668"/>
      <c r="AE603" s="768" t="s">
        <v>75</v>
      </c>
      <c r="AF603" s="768" t="s">
        <v>75</v>
      </c>
      <c r="AG603" s="768" t="s">
        <v>267</v>
      </c>
      <c r="AH603" s="768" t="s">
        <v>267</v>
      </c>
      <c r="AI603" s="768" t="s">
        <v>268</v>
      </c>
      <c r="AJ603" s="768" t="s">
        <v>268</v>
      </c>
      <c r="AK603" s="770" t="s">
        <v>269</v>
      </c>
      <c r="AL603" s="768" t="s">
        <v>269</v>
      </c>
      <c r="AM603" s="667" t="s">
        <v>149</v>
      </c>
      <c r="AN603" s="659" t="s">
        <v>94</v>
      </c>
      <c r="AP603" s="409" t="s">
        <v>264</v>
      </c>
      <c r="AQ603" s="409" t="s">
        <v>265</v>
      </c>
      <c r="AS603" s="1221" t="s">
        <v>270</v>
      </c>
      <c r="AT603" s="1222" t="s">
        <v>270</v>
      </c>
      <c r="AU603" s="1223" t="s">
        <v>270</v>
      </c>
    </row>
    <row r="604" spans="1:47" ht="15.6" x14ac:dyDescent="0.3">
      <c r="A604" s="416">
        <f>(B603*10)+1</f>
        <v>541</v>
      </c>
      <c r="B604" s="362" t="str">
        <f>'Event Details'!D$22</f>
        <v>S</v>
      </c>
      <c r="C604" s="381" t="str">
        <f>'Event Details'!E$22</f>
        <v>BRAT</v>
      </c>
      <c r="D604" s="379"/>
      <c r="E604" s="378"/>
      <c r="F604" s="363" t="str">
        <f>VLOOKUP($B603,IF($H603="F",TeamSheetFemale,TeamSheetMale),$Y604-1,FALSE)</f>
        <v>S</v>
      </c>
      <c r="G604" s="380" t="str">
        <f>VLOOKUP($B603,IF($H603="F",TeamSheetFemale,TeamSheetMale),$Y604,FALSE)</f>
        <v xml:space="preserve">Adrian Ward </v>
      </c>
      <c r="H604" s="363" t="str">
        <f>VLOOKUP($B603,IF($H603="F",TeamSheetFemale,TeamSheetMale),$Y604+1,FALSE)</f>
        <v>SS</v>
      </c>
      <c r="I604" s="364" t="str">
        <f>VLOOKUP($B603,IF($H603="F",TeamSheetFemale,TeamSheetMale),$Y604+2,FALSE)</f>
        <v xml:space="preserve">Oliver brooks </v>
      </c>
      <c r="K604" s="393" t="s">
        <v>271</v>
      </c>
      <c r="L604" s="16" t="str">
        <f t="shared" ref="L604:L611" si="534">LEFT(M604,1)</f>
        <v>S</v>
      </c>
      <c r="M604" s="926" t="s">
        <v>100</v>
      </c>
      <c r="N604" s="926">
        <v>21.1</v>
      </c>
      <c r="O604" s="394" t="str">
        <f>IF(LEN($M604)=1,VLOOKUP(LEFT($M604,1),B604:I611,5,FALSE),IF(LEN($M604)=2,VLOOKUP(LEFT($M604,1),B604:I611,7,FALSE),""))</f>
        <v>S</v>
      </c>
      <c r="P604" s="395" t="str">
        <f>IF(LEN($M604)=1,VLOOKUP(LEFT($M604,1),B604:I611,6,FALSE),IF(LEN($M604)=2,VLOOKUP(LEFT($M604,1),B604:I611,8,FALSE),""))</f>
        <v xml:space="preserve">Adrian Ward </v>
      </c>
      <c r="Q604" s="393" t="s">
        <v>271</v>
      </c>
      <c r="R604" s="146" t="str">
        <f t="shared" ref="R604:R611" si="535">LEFT(S604,1)</f>
        <v>R</v>
      </c>
      <c r="S604" s="926" t="s">
        <v>819</v>
      </c>
      <c r="T604" s="926">
        <v>21.9</v>
      </c>
      <c r="U604" s="394" t="str">
        <f>IF(LEN($S604)=1,VLOOKUP(LEFT($S604,1),B604:I611,5,FALSE),IF(LEN($S604)=2,VLOOKUP(LEFT($S604,1),B604:I611,7,FALSE),""))</f>
        <v>RR</v>
      </c>
      <c r="V604" s="395" t="str">
        <f>IF(LEN($S604)=1,VLOOKUP(LEFT($S604,1),B604:I611,6,FALSE),IF(LEN($S604)=2,VLOOKUP(LEFT($S604,1),B604:I611,8,FALSE),""))</f>
        <v>Chiemerie Okwara</v>
      </c>
      <c r="W604" s="417">
        <f>AN$6</f>
        <v>8</v>
      </c>
      <c r="Y604" s="416">
        <v>7</v>
      </c>
      <c r="Z604" s="653" t="str">
        <f t="shared" ref="Z604:Z611" si="536">IF(LEN(M604)&gt;0,VLOOKUP(LEFT(M604,1),ShortName,5,FALSE),0)</f>
        <v>BRAT</v>
      </c>
      <c r="AA604" s="138" t="str">
        <f t="shared" ref="AA604:AA611" si="537">IF(LEN(S604)&gt;0,VLOOKUP(LEFT(S604,1),ShortName,5,FALSE),0)</f>
        <v>Rugby</v>
      </c>
      <c r="AC604" s="16" t="str">
        <f t="shared" ref="AC604:AD611" si="538">B604</f>
        <v>S</v>
      </c>
      <c r="AD604" s="419" t="str">
        <f t="shared" si="538"/>
        <v>BRAT</v>
      </c>
      <c r="AE604" s="635">
        <f>IF(ISNA(MATCH(AC604,N604:N613,0)),0,VLOOKUP(AC604,N604:S613,5,FALSE))</f>
        <v>0</v>
      </c>
      <c r="AF604" s="635" t="str">
        <f>IF(ISNA(MATCH(AC604,T604:T613,0))," ",VLOOKUP(AC604,T604:Y613,5,FALSE))</f>
        <v xml:space="preserve"> </v>
      </c>
      <c r="AG604" s="635">
        <f>IF(ISNA(MATCH(AC604,L604:L611,0)),0,VLOOKUP(AC604,L604:N611,3,FALSE))</f>
        <v>21.1</v>
      </c>
      <c r="AH604" s="635">
        <f>IF(ISNA(MATCH(AC604,R604:R611,0)),0,VLOOKUP(AC604,R604:T611,3,FALSE))</f>
        <v>24.1</v>
      </c>
      <c r="AI604" s="635" t="str">
        <f>IF(ISNA(MATCH(AC604,L604:L611,0)),0,VLOOKUP(AC604,L604:P611,4,FALSE))</f>
        <v>S</v>
      </c>
      <c r="AJ604" s="635" t="str">
        <f>IF(ISNA(MATCH(AC604,R604:R611,0)),0,VLOOKUP(AC604,R604:U611,4,FALSE))</f>
        <v>SS</v>
      </c>
      <c r="AK604" s="49">
        <f t="shared" ref="AK604:AK611" si="539">IF(AM604=0,0,AN$6-(AM604-1))</f>
        <v>1</v>
      </c>
      <c r="AL604" s="49">
        <f t="shared" ref="AL604:AL611" si="540">IF(AN604=0,0,AN$6-(AN604-1))</f>
        <v>6</v>
      </c>
      <c r="AM604" s="49">
        <f>IF(ISNA(MATCH(AC604,L604:L611,0)),0,VLOOKUP(AC604,L604:W611,AM$1,FALSE))</f>
        <v>8</v>
      </c>
      <c r="AN604" s="138">
        <f>IF(ISNA(MATCH(AC604,R604:R611,0)),0,VLOOKUP(AC604,R604:W611,AN$1,FALSE))</f>
        <v>3</v>
      </c>
      <c r="AP604" s="926"/>
      <c r="AQ604" s="926"/>
      <c r="AS604" s="32">
        <f>IF(LEN(N604)&gt;0,1,0)</f>
        <v>1</v>
      </c>
      <c r="AT604" s="32">
        <f>IF(AND(AS604=1,H603="M"),1,0)</f>
        <v>1</v>
      </c>
      <c r="AU604" s="32">
        <f>IF(AND(AS604=1,H603="F"),1,0)</f>
        <v>0</v>
      </c>
    </row>
    <row r="605" spans="1:47" ht="15.6" x14ac:dyDescent="0.3">
      <c r="A605" s="417">
        <f>A604+1</f>
        <v>542</v>
      </c>
      <c r="B605" s="362" t="str">
        <f>'Event Details'!D$23</f>
        <v>U</v>
      </c>
      <c r="C605" s="381" t="str">
        <f>'Event Details'!E$23</f>
        <v>Kidder &amp; Stourport</v>
      </c>
      <c r="D605" s="379"/>
      <c r="E605" s="378"/>
      <c r="F605" s="363" t="str">
        <f>VLOOKUP($B603,IF($H603="F",TeamSheetFemale,TeamSheetMale),$Y605-1,FALSE)</f>
        <v>U</v>
      </c>
      <c r="G605" s="380" t="str">
        <f>VLOOKUP($B603,IF($H603="F",TeamSheetFemale,TeamSheetMale),$Y605,FALSE)</f>
        <v>Hugo Ford</v>
      </c>
      <c r="H605" s="363" t="str">
        <f>VLOOKUP($B603,IF($H603="F",TeamSheetFemale,TeamSheetMale),$Y605+1,FALSE)</f>
        <v>UU</v>
      </c>
      <c r="I605" s="364" t="str">
        <f>VLOOKUP($B603,IF($H603="F",TeamSheetFemale,TeamSheetMale),$Y605+2,FALSE)</f>
        <v xml:space="preserve">Alex Velasquez </v>
      </c>
      <c r="K605" s="341" t="s">
        <v>272</v>
      </c>
      <c r="L605" s="16" t="str">
        <f t="shared" si="534"/>
        <v>R</v>
      </c>
      <c r="M605" s="927" t="s">
        <v>118</v>
      </c>
      <c r="N605" s="927">
        <v>21.6</v>
      </c>
      <c r="O605" s="353" t="str">
        <f>IF(LEN($M605)=1,VLOOKUP(LEFT($M605,1),B604:I611,5,FALSE),IF(LEN($M605)=2,VLOOKUP(LEFT($M605,1),B604:I611,7,FALSE),""))</f>
        <v>R</v>
      </c>
      <c r="P605" s="373" t="str">
        <f>IF(LEN($M605)=1,VLOOKUP(LEFT($M605,1),B604:I611,6,FALSE),IF(LEN($M605)=2,VLOOKUP(LEFT($M605,1),B604:I611,8,FALSE),""))</f>
        <v>Feranmi Remi-Omosowon</v>
      </c>
      <c r="Q605" s="341" t="s">
        <v>272</v>
      </c>
      <c r="R605" s="146" t="str">
        <f t="shared" si="535"/>
        <v>D</v>
      </c>
      <c r="S605" s="927" t="s">
        <v>513</v>
      </c>
      <c r="T605" s="927">
        <v>22.7</v>
      </c>
      <c r="U605" s="353" t="str">
        <f>IF(LEN($S605)=1,VLOOKUP(LEFT($S605,1),B604:I611,5,FALSE),IF(LEN($S605)=2,VLOOKUP(LEFT($S605,1),B604:I611,7,FALSE),""))</f>
        <v>DD</v>
      </c>
      <c r="V605" s="373" t="str">
        <f>IF(LEN($S605)=1,VLOOKUP(LEFT($S605,1),B604:I611,6,FALSE),IF(LEN($S605)=2,VLOOKUP(LEFT($S605,1),B604:I611,8,FALSE),""))</f>
        <v>Simon Zawada</v>
      </c>
      <c r="W605" s="417">
        <f>W604-1</f>
        <v>7</v>
      </c>
      <c r="Y605" s="417">
        <v>12</v>
      </c>
      <c r="Z605" s="16" t="str">
        <f t="shared" si="536"/>
        <v>Rugby</v>
      </c>
      <c r="AA605" s="146" t="str">
        <f t="shared" si="537"/>
        <v>Strat</v>
      </c>
      <c r="AC605" s="16" t="str">
        <f t="shared" si="538"/>
        <v>U</v>
      </c>
      <c r="AD605" s="419" t="str">
        <f t="shared" si="538"/>
        <v>Kidder &amp; Stourport</v>
      </c>
      <c r="AE605" s="419">
        <f>IF(ISNA(MATCH(AC605,N604:N613,0)),0,VLOOKUP(AC605,N604:S613,5,FALSE))</f>
        <v>0</v>
      </c>
      <c r="AF605" s="419" t="str">
        <f>IF(ISNA(MATCH(AC605,T604:T613,0))," ",VLOOKUP(AC605,T604:Y613,5,FALSE))</f>
        <v xml:space="preserve"> </v>
      </c>
      <c r="AG605" s="419">
        <f>IF(ISNA(MATCH(AC605,L604:L611,0)),0,VLOOKUP(AC605,L604:N611,3,FALSE))</f>
        <v>23.2</v>
      </c>
      <c r="AH605" s="419">
        <f>IF(ISNA(MATCH(AC605,R604:R611,0)),0,VLOOKUP(AC605,R604:T611,3,FALSE))</f>
        <v>23.9</v>
      </c>
      <c r="AI605" s="419" t="str">
        <f>IF(ISNA(MATCH(AC605,L604:L611,0)),0,VLOOKUP(AC605,L604:P611,4,FALSE))</f>
        <v>U</v>
      </c>
      <c r="AJ605" s="419" t="str">
        <f>IF(ISNA(MATCH(AC605,R604:R611,0)),0,VLOOKUP(AC605,R604:U611,4,FALSE))</f>
        <v>UU</v>
      </c>
      <c r="AK605" s="32">
        <f t="shared" si="539"/>
        <v>4</v>
      </c>
      <c r="AL605" s="32">
        <f t="shared" si="540"/>
        <v>5</v>
      </c>
      <c r="AM605" s="32">
        <f>IF(ISNA(MATCH(AC605,L604:L611,0)),0,VLOOKUP(AC605,L604:W611,AM$1,FALSE))</f>
        <v>5</v>
      </c>
      <c r="AN605" s="146">
        <f>IF(ISNA(MATCH(AC605,R604:R611,0)),0,VLOOKUP(AC605,R604:W611,AN$1,FALSE))</f>
        <v>4</v>
      </c>
      <c r="AP605" s="927"/>
      <c r="AQ605" s="927"/>
    </row>
    <row r="606" spans="1:47" ht="15.6" x14ac:dyDescent="0.3">
      <c r="A606" s="417">
        <f t="shared" ref="A606:A611" si="541">A605+1</f>
        <v>543</v>
      </c>
      <c r="B606" s="362" t="str">
        <f>'Event Details'!D$24</f>
        <v>G</v>
      </c>
      <c r="C606" s="381" t="str">
        <f>'Event Details'!E$24</f>
        <v>Royal Sutton</v>
      </c>
      <c r="D606" s="379"/>
      <c r="E606" s="378"/>
      <c r="F606" s="363" t="str">
        <f>VLOOKUP($B603,IF($H603="F",TeamSheetFemale,TeamSheetMale),$Y606-1,FALSE)</f>
        <v>G</v>
      </c>
      <c r="G606" s="380" t="str">
        <f>VLOOKUP($B603,IF($H603="F",TeamSheetFemale,TeamSheetMale),$Y606,FALSE)</f>
        <v>Cyrus Thomas</v>
      </c>
      <c r="H606" s="363" t="str">
        <f>VLOOKUP($B603,IF($H603="F",TeamSheetFemale,TeamSheetMale),$Y606+1,FALSE)</f>
        <v>GG</v>
      </c>
      <c r="I606" s="364" t="str">
        <f>VLOOKUP($B603,IF($H603="F",TeamSheetFemale,TeamSheetMale),$Y606+2,FALSE)</f>
        <v>Edward Taylor</v>
      </c>
      <c r="K606" s="341" t="s">
        <v>273</v>
      </c>
      <c r="L606" s="16" t="str">
        <f t="shared" si="534"/>
        <v>M</v>
      </c>
      <c r="M606" s="927" t="s">
        <v>127</v>
      </c>
      <c r="N606" s="927">
        <v>21.8</v>
      </c>
      <c r="O606" s="353" t="str">
        <f>IF(LEN($M606)=1,VLOOKUP(LEFT($M606,1),B604:I611,5,FALSE),IF(LEN($M606)=2,VLOOKUP(LEFT($M606,1),B604:I611,7,FALSE),""))</f>
        <v>M</v>
      </c>
      <c r="P606" s="373" t="str">
        <f>IF(LEN($M606)=1,VLOOKUP(LEFT($M606,1),B604:I611,6,FALSE),IF(LEN($M606)=2,VLOOKUP(LEFT($M606,1),B604:I611,8,FALSE),""))</f>
        <v>Sam Roberts</v>
      </c>
      <c r="Q606" s="341" t="s">
        <v>273</v>
      </c>
      <c r="R606" s="146" t="str">
        <f t="shared" si="535"/>
        <v>Y</v>
      </c>
      <c r="S606" s="927" t="s">
        <v>822</v>
      </c>
      <c r="T606" s="927">
        <v>22.9</v>
      </c>
      <c r="U606" s="353" t="str">
        <f>IF(LEN($S606)=1,VLOOKUP(LEFT($S606,1),B604:I611,5,FALSE),IF(LEN($S606)=2,VLOOKUP(LEFT($S606,1),B604:I611,7,FALSE),""))</f>
        <v>YY</v>
      </c>
      <c r="V606" s="373" t="str">
        <f>IF(LEN($S606)=1,VLOOKUP(LEFT($S606,1),B604:I611,6,FALSE),IF(LEN($S606)=2,VLOOKUP(LEFT($S606,1),B604:I611,8,FALSE),""))</f>
        <v>Lloyd Kerry</v>
      </c>
      <c r="W606" s="417">
        <f t="shared" ref="W606:W611" si="542">W605-1</f>
        <v>6</v>
      </c>
      <c r="Y606" s="417">
        <v>17</v>
      </c>
      <c r="Z606" s="16" t="str">
        <f t="shared" si="536"/>
        <v>Sol</v>
      </c>
      <c r="AA606" s="146" t="str">
        <f t="shared" si="537"/>
        <v>Worc</v>
      </c>
      <c r="AB606" s="32"/>
      <c r="AC606" s="16" t="str">
        <f t="shared" si="538"/>
        <v>G</v>
      </c>
      <c r="AD606" s="419" t="str">
        <f t="shared" si="538"/>
        <v>Royal Sutton</v>
      </c>
      <c r="AE606" s="419">
        <f>IF(ISNA(MATCH(AC606,N604:N613,0)),0,VLOOKUP(AC606,N604:S613,5,FALSE))</f>
        <v>0</v>
      </c>
      <c r="AF606" s="419" t="str">
        <f>IF(ISNA(MATCH(AC606,T604:T613,0))," ",VLOOKUP(AC606,T604:Y613,5,FALSE))</f>
        <v xml:space="preserve"> </v>
      </c>
      <c r="AG606" s="419">
        <f>IF(ISNA(MATCH(AC606,L604:L611,0)),0,VLOOKUP(AC606,L604:N611,3,FALSE))</f>
        <v>23.4</v>
      </c>
      <c r="AH606" s="419">
        <f>IF(ISNA(MATCH(AC606,R604:R611,0)),0,VLOOKUP(AC606,R604:T611,3,FALSE))</f>
        <v>25.9</v>
      </c>
      <c r="AI606" s="419" t="str">
        <f>IF(ISNA(MATCH(AC606,L604:L611,0)),0,VLOOKUP(AC606,L604:P611,4,FALSE))</f>
        <v>G</v>
      </c>
      <c r="AJ606" s="419" t="str">
        <f>IF(ISNA(MATCH(AC606,R604:R611,0)),0,VLOOKUP(AC606,R604:U611,4,FALSE))</f>
        <v>GG</v>
      </c>
      <c r="AK606" s="32">
        <f t="shared" si="539"/>
        <v>7</v>
      </c>
      <c r="AL606" s="32">
        <f t="shared" si="540"/>
        <v>7</v>
      </c>
      <c r="AM606" s="32">
        <f>IF(ISNA(MATCH(AC606,L604:L611,0)),0,VLOOKUP(AC606,L604:W611,AM$1,FALSE))</f>
        <v>2</v>
      </c>
      <c r="AN606" s="146">
        <f>IF(ISNA(MATCH(AC606,R604:R611,0)),0,VLOOKUP(AC606,R604:W611,AN$1,FALSE))</f>
        <v>2</v>
      </c>
      <c r="AP606" s="927"/>
      <c r="AQ606" s="927"/>
    </row>
    <row r="607" spans="1:47" ht="15.6" x14ac:dyDescent="0.3">
      <c r="A607" s="417">
        <f t="shared" si="541"/>
        <v>544</v>
      </c>
      <c r="B607" s="362" t="str">
        <f>'Event Details'!D$25</f>
        <v>R</v>
      </c>
      <c r="C607" s="381" t="str">
        <f>'Event Details'!E$25</f>
        <v>Rugby &amp; N'hampton</v>
      </c>
      <c r="D607" s="379"/>
      <c r="E607" s="378"/>
      <c r="F607" s="363" t="str">
        <f>VLOOKUP($B603,IF($H603="F",TeamSheetFemale,TeamSheetMale),$Y607-1,FALSE)</f>
        <v>R</v>
      </c>
      <c r="G607" s="380" t="str">
        <f>VLOOKUP($B603,IF($H603="F",TeamSheetFemale,TeamSheetMale),$Y607,FALSE)</f>
        <v>Feranmi Remi-Omosowon</v>
      </c>
      <c r="H607" s="363" t="str">
        <f>VLOOKUP($B603,IF($H603="F",TeamSheetFemale,TeamSheetMale),$Y607+1,FALSE)</f>
        <v>RR</v>
      </c>
      <c r="I607" s="364" t="str">
        <f>VLOOKUP($B603,IF($H603="F",TeamSheetFemale,TeamSheetMale),$Y607+2,FALSE)</f>
        <v>Chiemerie Okwara</v>
      </c>
      <c r="K607" s="341" t="s">
        <v>274</v>
      </c>
      <c r="L607" s="16" t="str">
        <f t="shared" si="534"/>
        <v>U</v>
      </c>
      <c r="M607" s="927" t="s">
        <v>130</v>
      </c>
      <c r="N607" s="927">
        <v>23.2</v>
      </c>
      <c r="O607" s="353" t="str">
        <f>IF(LEN($M607)=1,VLOOKUP(LEFT($M607,1),B604:I611,5,FALSE),IF(LEN($M607)=2,VLOOKUP(LEFT($M607,1),B604:I611,7,FALSE),""))</f>
        <v>U</v>
      </c>
      <c r="P607" s="373" t="str">
        <f>IF(LEN($M607)=1,VLOOKUP(LEFT($M607,1),B604:I611,6,FALSE),IF(LEN($M607)=2,VLOOKUP(LEFT($M607,1),B604:I611,8,FALSE),""))</f>
        <v>Hugo Ford</v>
      </c>
      <c r="Q607" s="341" t="s">
        <v>274</v>
      </c>
      <c r="R607" s="146" t="str">
        <f t="shared" si="535"/>
        <v>M</v>
      </c>
      <c r="S607" s="927" t="s">
        <v>821</v>
      </c>
      <c r="T607" s="927">
        <v>23.3</v>
      </c>
      <c r="U607" s="353" t="str">
        <f>IF(LEN($S607)=1,VLOOKUP(LEFT($S607,1),B604:I611,5,FALSE),IF(LEN($S607)=2,VLOOKUP(LEFT($S607,1),B604:I611,7,FALSE),""))</f>
        <v>MM</v>
      </c>
      <c r="V607" s="373" t="str">
        <f>IF(LEN($S607)=1,VLOOKUP(LEFT($S607,1),B604:I611,6,FALSE),IF(LEN($S607)=2,VLOOKUP(LEFT($S607,1),B604:I611,8,FALSE),""))</f>
        <v>Kai Gudmunsen</v>
      </c>
      <c r="W607" s="417">
        <f t="shared" si="542"/>
        <v>5</v>
      </c>
      <c r="Y607" s="417">
        <v>22</v>
      </c>
      <c r="Z607" s="16" t="str">
        <f t="shared" si="536"/>
        <v>K&amp;S</v>
      </c>
      <c r="AA607" s="146" t="str">
        <f t="shared" si="537"/>
        <v>Sol</v>
      </c>
      <c r="AB607" s="32"/>
      <c r="AC607" s="16" t="str">
        <f t="shared" si="538"/>
        <v>R</v>
      </c>
      <c r="AD607" s="419" t="str">
        <f t="shared" si="538"/>
        <v>Rugby &amp; N'hampton</v>
      </c>
      <c r="AE607" s="419">
        <f>IF(ISNA(MATCH(AC607,N604:N613,0)),0,VLOOKUP(AC607,N604:S613,5,FALSE))</f>
        <v>0</v>
      </c>
      <c r="AF607" s="419" t="str">
        <f>IF(ISNA(MATCH(AC607,T604:T613,0))," ",VLOOKUP(AC607,T604:Y613,5,FALSE))</f>
        <v xml:space="preserve"> </v>
      </c>
      <c r="AG607" s="419">
        <f>IF(ISNA(MATCH(AC607,L604:L611,0)),0,VLOOKUP(AC607,L604:N611,3,FALSE))</f>
        <v>21.6</v>
      </c>
      <c r="AH607" s="419">
        <f>IF(ISNA(MATCH(AC607,R604:R611,0)),0,VLOOKUP(AC607,R604:T611,3,FALSE))</f>
        <v>21.9</v>
      </c>
      <c r="AI607" s="419" t="str">
        <f>IF(ISNA(MATCH(AC607,L604:L611,0)),0,VLOOKUP(AC607,L604:P611,4,FALSE))</f>
        <v>R</v>
      </c>
      <c r="AJ607" s="419" t="str">
        <f>IF(ISNA(MATCH(AC607,R604:R611,0)),0,VLOOKUP(AC607,R604:U611,4,FALSE))</f>
        <v>RR</v>
      </c>
      <c r="AK607" s="32">
        <f t="shared" si="539"/>
        <v>2</v>
      </c>
      <c r="AL607" s="32">
        <f t="shared" si="540"/>
        <v>1</v>
      </c>
      <c r="AM607" s="32">
        <f>IF(ISNA(MATCH(AC607,L604:L611,0)),0,VLOOKUP(AC607,L604:W611,AM$1,FALSE))</f>
        <v>7</v>
      </c>
      <c r="AN607" s="146">
        <f>IF(ISNA(MATCH(AC607,R604:R611,0)),0,VLOOKUP(AC607,R604:W611,AN$1,FALSE))</f>
        <v>8</v>
      </c>
      <c r="AP607" s="927"/>
      <c r="AQ607" s="927"/>
    </row>
    <row r="608" spans="1:47" ht="15.6" x14ac:dyDescent="0.3">
      <c r="A608" s="417">
        <f t="shared" si="541"/>
        <v>545</v>
      </c>
      <c r="B608" s="362" t="str">
        <f>'Event Details'!D$26</f>
        <v>M</v>
      </c>
      <c r="C608" s="381" t="str">
        <f>'Event Details'!E$26</f>
        <v>Solihull &amp; S.Heath</v>
      </c>
      <c r="D608" s="379"/>
      <c r="E608" s="378"/>
      <c r="F608" s="363" t="str">
        <f>VLOOKUP($B603,IF($H603="F",TeamSheetFemale,TeamSheetMale),$Y608-1,FALSE)</f>
        <v>M</v>
      </c>
      <c r="G608" s="380" t="str">
        <f>VLOOKUP($B603,IF($H603="F",TeamSheetFemale,TeamSheetMale),$Y608,FALSE)</f>
        <v>Sam Roberts</v>
      </c>
      <c r="H608" s="363" t="str">
        <f>VLOOKUP($B603,IF($H603="F",TeamSheetFemale,TeamSheetMale),$Y608+1,FALSE)</f>
        <v>MM</v>
      </c>
      <c r="I608" s="364" t="str">
        <f>VLOOKUP($B603,IF($H603="F",TeamSheetFemale,TeamSheetMale),$Y608+2,FALSE)</f>
        <v>Kai Gudmunsen</v>
      </c>
      <c r="K608" s="341" t="s">
        <v>275</v>
      </c>
      <c r="L608" s="16" t="str">
        <f t="shared" si="534"/>
        <v>D</v>
      </c>
      <c r="M608" s="927" t="s">
        <v>136</v>
      </c>
      <c r="N608" s="927">
        <v>23.3</v>
      </c>
      <c r="O608" s="353" t="str">
        <f>IF(LEN($M608)=1,VLOOKUP(LEFT($M608,1),B604:I611,5,FALSE),IF(LEN($M608)=2,VLOOKUP(LEFT($M608,1),B604:I611,7,FALSE),""))</f>
        <v>D</v>
      </c>
      <c r="P608" s="373" t="str">
        <f>IF(LEN($M608)=1,VLOOKUP(LEFT($M608,1),B604:I611,6,FALSE),IF(LEN($M608)=2,VLOOKUP(LEFT($M608,1),B604:I611,8,FALSE),""))</f>
        <v>Rafe White</v>
      </c>
      <c r="Q608" s="341" t="s">
        <v>275</v>
      </c>
      <c r="R608" s="146" t="str">
        <f t="shared" si="535"/>
        <v>U</v>
      </c>
      <c r="S608" s="927" t="s">
        <v>726</v>
      </c>
      <c r="T608" s="927">
        <v>23.9</v>
      </c>
      <c r="U608" s="353" t="str">
        <f>IF(LEN($S608)=1,VLOOKUP(LEFT($S608,1),B604:I611,5,FALSE),IF(LEN($S608)=2,VLOOKUP(LEFT($S608,1),B604:I611,7,FALSE),""))</f>
        <v>UU</v>
      </c>
      <c r="V608" s="373" t="str">
        <f>IF(LEN($S608)=1,VLOOKUP(LEFT($S608,1),B604:I611,6,FALSE),IF(LEN($S608)=2,VLOOKUP(LEFT($S608,1),B604:I611,8,FALSE),""))</f>
        <v xml:space="preserve">Alex Velasquez </v>
      </c>
      <c r="W608" s="417">
        <f t="shared" si="542"/>
        <v>4</v>
      </c>
      <c r="Y608" s="417">
        <v>27</v>
      </c>
      <c r="Z608" s="16" t="str">
        <f t="shared" si="536"/>
        <v>Strat</v>
      </c>
      <c r="AA608" s="146" t="str">
        <f t="shared" si="537"/>
        <v>K&amp;S</v>
      </c>
      <c r="AB608" s="32"/>
      <c r="AC608" s="16" t="str">
        <f t="shared" si="538"/>
        <v>M</v>
      </c>
      <c r="AD608" s="419" t="str">
        <f t="shared" si="538"/>
        <v>Solihull &amp; S.Heath</v>
      </c>
      <c r="AE608" s="419">
        <f>IF(ISNA(MATCH(AC608,N604:N613,0)),0,VLOOKUP(AC608,N604:S613,5,FALSE))</f>
        <v>0</v>
      </c>
      <c r="AF608" s="419" t="str">
        <f>IF(ISNA(MATCH(AC608,T604:T613,0))," ",VLOOKUP(AC608,T604:Y613,5,FALSE))</f>
        <v xml:space="preserve"> </v>
      </c>
      <c r="AG608" s="419">
        <f>IF(ISNA(MATCH(AC608,L604:L611,0)),0,VLOOKUP(AC608,L604:N611,3,FALSE))</f>
        <v>21.8</v>
      </c>
      <c r="AH608" s="419">
        <f>IF(ISNA(MATCH(AC608,R604:R611,0)),0,VLOOKUP(AC608,R604:T611,3,FALSE))</f>
        <v>23.3</v>
      </c>
      <c r="AI608" s="419" t="str">
        <f>IF(ISNA(MATCH(AC608,L604:L611,0)),0,VLOOKUP(AC608,L604:P611,4,FALSE))</f>
        <v>M</v>
      </c>
      <c r="AJ608" s="419" t="str">
        <f>IF(ISNA(MATCH(AC608,R604:R611,0)),0,VLOOKUP(AC608,R604:U611,4,FALSE))</f>
        <v>MM</v>
      </c>
      <c r="AK608" s="32">
        <f t="shared" si="539"/>
        <v>3</v>
      </c>
      <c r="AL608" s="32">
        <f t="shared" si="540"/>
        <v>4</v>
      </c>
      <c r="AM608" s="32">
        <f>IF(ISNA(MATCH(AC608,L604:L611,0)),0,VLOOKUP(AC608,L604:W611,AM$1,FALSE))</f>
        <v>6</v>
      </c>
      <c r="AN608" s="146">
        <f>IF(ISNA(MATCH(AC608,R604:R611,0)),0,VLOOKUP(AC608,R604:W611,AN$1,FALSE))</f>
        <v>5</v>
      </c>
      <c r="AP608" s="927"/>
      <c r="AQ608" s="927"/>
    </row>
    <row r="609" spans="1:47" ht="15.6" x14ac:dyDescent="0.3">
      <c r="A609" s="417">
        <f t="shared" si="541"/>
        <v>546</v>
      </c>
      <c r="B609" s="362" t="str">
        <f>'Event Details'!D$27</f>
        <v>D</v>
      </c>
      <c r="C609" s="381" t="str">
        <f>'Event Details'!E$27</f>
        <v>Stratford</v>
      </c>
      <c r="D609" s="379"/>
      <c r="E609" s="378"/>
      <c r="F609" s="363" t="str">
        <f>VLOOKUP($B603,IF($H603="F",TeamSheetFemale,TeamSheetMale),$Y609-1,FALSE)</f>
        <v>D</v>
      </c>
      <c r="G609" s="380" t="str">
        <f>VLOOKUP($B603,IF($H603="F",TeamSheetFemale,TeamSheetMale),$Y609,FALSE)</f>
        <v>Rafe White</v>
      </c>
      <c r="H609" s="363" t="str">
        <f>VLOOKUP($B603,IF($H603="F",TeamSheetFemale,TeamSheetMale),$Y609+1,FALSE)</f>
        <v>DD</v>
      </c>
      <c r="I609" s="364" t="str">
        <f>VLOOKUP($B603,IF($H603="F",TeamSheetFemale,TeamSheetMale),$Y609+2,FALSE)</f>
        <v>Simon Zawada</v>
      </c>
      <c r="K609" s="341" t="s">
        <v>276</v>
      </c>
      <c r="L609" s="16" t="str">
        <f t="shared" si="534"/>
        <v>Y</v>
      </c>
      <c r="M609" s="927" t="s">
        <v>151</v>
      </c>
      <c r="N609" s="927">
        <v>23.3</v>
      </c>
      <c r="O609" s="353" t="str">
        <f>IF(LEN($M609)=1,VLOOKUP(LEFT($M609,1),B604:I611,5,FALSE),IF(LEN($M609)=2,VLOOKUP(LEFT($M609,1),B604:I611,7,FALSE),""))</f>
        <v>Y</v>
      </c>
      <c r="P609" s="373" t="str">
        <f>IF(LEN($M609)=1,VLOOKUP(LEFT($M609,1),B604:I611,6,FALSE),IF(LEN($M609)=2,VLOOKUP(LEFT($M609,1),B604:I611,8,FALSE),""))</f>
        <v>Elliot Oldham</v>
      </c>
      <c r="Q609" s="341" t="s">
        <v>276</v>
      </c>
      <c r="R609" s="146" t="str">
        <f t="shared" si="535"/>
        <v>S</v>
      </c>
      <c r="S609" s="927" t="s">
        <v>818</v>
      </c>
      <c r="T609" s="927">
        <v>24.1</v>
      </c>
      <c r="U609" s="353" t="str">
        <f>IF(LEN($S609)=1,VLOOKUP(LEFT($S609,1),B604:I611,5,FALSE),IF(LEN($S609)=2,VLOOKUP(LEFT($S609,1),B604:I611,7,FALSE),""))</f>
        <v>SS</v>
      </c>
      <c r="V609" s="373" t="str">
        <f>IF(LEN($S609)=1,VLOOKUP(LEFT($S609,1),B604:I611,6,FALSE),IF(LEN($S609)=2,VLOOKUP(LEFT($S609,1),B604:I611,8,FALSE),""))</f>
        <v xml:space="preserve">Oliver brooks </v>
      </c>
      <c r="W609" s="417">
        <f t="shared" si="542"/>
        <v>3</v>
      </c>
      <c r="Y609" s="417">
        <v>32</v>
      </c>
      <c r="Z609" s="16" t="str">
        <f t="shared" si="536"/>
        <v>Worc</v>
      </c>
      <c r="AA609" s="146" t="str">
        <f t="shared" si="537"/>
        <v>BRAT</v>
      </c>
      <c r="AB609" s="32"/>
      <c r="AC609" s="16" t="str">
        <f t="shared" si="538"/>
        <v>D</v>
      </c>
      <c r="AD609" s="419" t="str">
        <f t="shared" si="538"/>
        <v>Stratford</v>
      </c>
      <c r="AE609" s="419">
        <f>IF(ISNA(MATCH(AC609,N604:N613,0)),0,VLOOKUP(AC609,N604:S613,5,FALSE))</f>
        <v>0</v>
      </c>
      <c r="AF609" s="419" t="str">
        <f>IF(ISNA(MATCH(AC609,T604:T613,0))," ",VLOOKUP(AC609,T604:Y613,5,FALSE))</f>
        <v xml:space="preserve"> </v>
      </c>
      <c r="AG609" s="419">
        <f>IF(ISNA(MATCH(AC609,L604:L611,0)),0,VLOOKUP(AC609,L604:N611,3,FALSE))</f>
        <v>23.3</v>
      </c>
      <c r="AH609" s="419">
        <f>IF(ISNA(MATCH(AC609,R604:R611,0)),0,VLOOKUP(AC609,R604:T611,3,FALSE))</f>
        <v>22.7</v>
      </c>
      <c r="AI609" s="419" t="str">
        <f>IF(ISNA(MATCH(AC609,L604:L611,0)),0,VLOOKUP(AC609,L604:P611,4,FALSE))</f>
        <v>D</v>
      </c>
      <c r="AJ609" s="419" t="str">
        <f>IF(ISNA(MATCH(AC609,R604:R611,0)),0,VLOOKUP(AC609,R604:U611,4,FALSE))</f>
        <v>DD</v>
      </c>
      <c r="AK609" s="32">
        <f t="shared" si="539"/>
        <v>5</v>
      </c>
      <c r="AL609" s="32">
        <f t="shared" si="540"/>
        <v>2</v>
      </c>
      <c r="AM609" s="32">
        <f>IF(ISNA(MATCH(AC609,L604:L611,0)),0,VLOOKUP(AC609,L604:W611,AM$1,FALSE))</f>
        <v>4</v>
      </c>
      <c r="AN609" s="146">
        <f>IF(ISNA(MATCH(AC609,R604:R611,0)),0,VLOOKUP(AC609,R604:W611,AN$1,FALSE))</f>
        <v>7</v>
      </c>
      <c r="AP609" s="927"/>
      <c r="AQ609" s="927"/>
    </row>
    <row r="610" spans="1:47" ht="15.6" x14ac:dyDescent="0.3">
      <c r="A610" s="417">
        <f t="shared" si="541"/>
        <v>547</v>
      </c>
      <c r="B610" s="362" t="str">
        <f>'Event Details'!D$28</f>
        <v>F</v>
      </c>
      <c r="C610" s="381" t="str">
        <f>'Event Details'!E$28</f>
        <v>Tamworth</v>
      </c>
      <c r="D610" s="379"/>
      <c r="E610" s="378"/>
      <c r="F610" s="363" t="str">
        <f>VLOOKUP($B603,IF($H603="F",TeamSheetFemale,TeamSheetMale),$Y610-1,FALSE)</f>
        <v>F</v>
      </c>
      <c r="G610" s="380" t="str">
        <f>VLOOKUP($B603,IF($H603="F",TeamSheetFemale,TeamSheetMale),$Y610,FALSE)</f>
        <v>Lucas Beggs</v>
      </c>
      <c r="H610" s="363" t="str">
        <f>VLOOKUP($B603,IF($H603="F",TeamSheetFemale,TeamSheetMale),$Y610+1,FALSE)</f>
        <v>FF</v>
      </c>
      <c r="I610" s="364" t="str">
        <f>VLOOKUP($B603,IF($H603="F",TeamSheetFemale,TeamSheetMale),$Y610+2,FALSE)</f>
        <v>Oliver Eaton</v>
      </c>
      <c r="K610" s="341" t="s">
        <v>277</v>
      </c>
      <c r="L610" s="16" t="str">
        <f t="shared" si="534"/>
        <v>G</v>
      </c>
      <c r="M610" s="927" t="s">
        <v>110</v>
      </c>
      <c r="N610" s="927">
        <v>23.4</v>
      </c>
      <c r="O610" s="353" t="str">
        <f>IF(LEN($M610)=1,VLOOKUP(LEFT($M610,1),B604:I611,5,FALSE),IF(LEN($M610)=2,VLOOKUP(LEFT($M610,1),B604:I611,7,FALSE),""))</f>
        <v>G</v>
      </c>
      <c r="P610" s="373" t="str">
        <f>IF(LEN($M610)=1,VLOOKUP(LEFT($M610,1),B604:I611,6,FALSE),IF(LEN($M610)=2,VLOOKUP(LEFT($M610,1),B604:I611,8,FALSE),""))</f>
        <v>Cyrus Thomas</v>
      </c>
      <c r="Q610" s="341" t="s">
        <v>277</v>
      </c>
      <c r="R610" s="146" t="str">
        <f t="shared" si="535"/>
        <v>G</v>
      </c>
      <c r="S610" s="927" t="s">
        <v>820</v>
      </c>
      <c r="T610" s="927">
        <v>25.9</v>
      </c>
      <c r="U610" s="353" t="str">
        <f>IF(LEN($S610)=1,VLOOKUP(LEFT($S610,1),B604:I611,5,FALSE),IF(LEN($S610)=2,VLOOKUP(LEFT($S610,1),B604:I611,7,FALSE),""))</f>
        <v>GG</v>
      </c>
      <c r="V610" s="373" t="str">
        <f>IF(LEN($S610)=1,VLOOKUP(LEFT($S610,1),B604:I611,6,FALSE),IF(LEN($S610)=2,VLOOKUP(LEFT($S610,1),B604:I611,8,FALSE),""))</f>
        <v>Edward Taylor</v>
      </c>
      <c r="W610" s="417">
        <f t="shared" si="542"/>
        <v>2</v>
      </c>
      <c r="Y610" s="417">
        <v>37</v>
      </c>
      <c r="Z610" s="16" t="str">
        <f t="shared" si="536"/>
        <v>Royal</v>
      </c>
      <c r="AA610" s="146" t="str">
        <f t="shared" si="537"/>
        <v>Royal</v>
      </c>
      <c r="AB610" s="32"/>
      <c r="AC610" s="16" t="str">
        <f t="shared" si="538"/>
        <v>F</v>
      </c>
      <c r="AD610" s="419" t="str">
        <f t="shared" si="538"/>
        <v>Tamworth</v>
      </c>
      <c r="AE610" s="419">
        <f>IF(ISNA(MATCH(AC610,N602:N611,0)),0,VLOOKUP(AC610,N602:S611,5,FALSE))</f>
        <v>0</v>
      </c>
      <c r="AF610" s="419" t="str">
        <f>IF(ISNA(MATCH(AC610,T602:T611,0))," ",VLOOKUP(AC610,T602:Y611,5,FALSE))</f>
        <v xml:space="preserve"> </v>
      </c>
      <c r="AG610" s="419">
        <f>IF(ISNA(MATCH(AC610,L604:L611,0)),0,VLOOKUP(AC610,L604:N611,3,FALSE))</f>
        <v>26</v>
      </c>
      <c r="AH610" s="419">
        <f>IF(ISNA(MATCH(AC610,R604:R611,0)),0,VLOOKUP(AC610,R604:T611,3,FALSE))</f>
        <v>26.6</v>
      </c>
      <c r="AI610" s="419" t="str">
        <f>IF(ISNA(MATCH(AC610,L604:L611,0)),0,VLOOKUP(AC610,L604:P611,4,FALSE))</f>
        <v>F</v>
      </c>
      <c r="AJ610" s="419" t="str">
        <f>IF(ISNA(MATCH(AC610,R604:R611,0)),0,VLOOKUP(AC610,R604:U611,4,FALSE))</f>
        <v>FF</v>
      </c>
      <c r="AK610" s="32">
        <f t="shared" si="539"/>
        <v>8</v>
      </c>
      <c r="AL610" s="32">
        <f t="shared" si="540"/>
        <v>8</v>
      </c>
      <c r="AM610" s="32">
        <f>IF(ISNA(MATCH(AC610,L604:L611,0)),0,VLOOKUP(AC610,L604:W611,AM$1,FALSE))</f>
        <v>1</v>
      </c>
      <c r="AN610" s="146">
        <f>IF(ISNA(MATCH(AC610,R604:R611,0)),0,VLOOKUP(AC610,R604:W611,AN$1,FALSE))</f>
        <v>1</v>
      </c>
      <c r="AP610" s="927"/>
      <c r="AQ610" s="927"/>
    </row>
    <row r="611" spans="1:47" ht="16.2" thickBot="1" x14ac:dyDescent="0.35">
      <c r="A611" s="418">
        <f t="shared" si="541"/>
        <v>548</v>
      </c>
      <c r="B611" s="365" t="str">
        <f>'Event Details'!D$29</f>
        <v>Y</v>
      </c>
      <c r="C611" s="366" t="str">
        <f>'Event Details'!E$29</f>
        <v>Worcester</v>
      </c>
      <c r="D611" s="361"/>
      <c r="E611" s="370"/>
      <c r="F611" s="367" t="str">
        <f>VLOOKUP($B603,IF($H603="F",TeamSheetFemale,TeamSheetMale),$Y611-1,FALSE)</f>
        <v>Y</v>
      </c>
      <c r="G611" s="368" t="str">
        <f>VLOOKUP($B603,IF($H603="F",TeamSheetFemale,TeamSheetMale),$Y611,FALSE)</f>
        <v>Elliot Oldham</v>
      </c>
      <c r="H611" s="367" t="str">
        <f>VLOOKUP($B603,IF($H603="F",TeamSheetFemale,TeamSheetMale),$Y611+1,FALSE)</f>
        <v>YY</v>
      </c>
      <c r="I611" s="369" t="str">
        <f>VLOOKUP($B603,IF($H603="F",TeamSheetFemale,TeamSheetMale),$Y611+2,FALSE)</f>
        <v>Lloyd Kerry</v>
      </c>
      <c r="K611" s="346" t="s">
        <v>278</v>
      </c>
      <c r="L611" s="25" t="str">
        <f t="shared" si="534"/>
        <v>F</v>
      </c>
      <c r="M611" s="932" t="s">
        <v>142</v>
      </c>
      <c r="N611" s="932">
        <v>26</v>
      </c>
      <c r="O611" s="375" t="str">
        <f>IF(LEN($M611)=1,VLOOKUP(LEFT($M611,1),B604:I611,5,FALSE),IF(LEN($M611)=2,VLOOKUP(LEFT($M611,1),B604:I611,7,FALSE),""))</f>
        <v>F</v>
      </c>
      <c r="P611" s="376" t="str">
        <f>IF(LEN($M611)=1,VLOOKUP(LEFT($M611,1),B604:I611,6,FALSE),IF(LEN($M611)=2,VLOOKUP(LEFT($M611,1),B604:I611,8,FALSE),""))</f>
        <v>Lucas Beggs</v>
      </c>
      <c r="Q611" s="346" t="s">
        <v>278</v>
      </c>
      <c r="R611" s="523" t="str">
        <f t="shared" si="535"/>
        <v>F</v>
      </c>
      <c r="S611" s="932" t="s">
        <v>576</v>
      </c>
      <c r="T611" s="932">
        <v>26.6</v>
      </c>
      <c r="U611" s="375" t="str">
        <f>IF(LEN($S611)=1,VLOOKUP(LEFT($S611,1),B604:I611,5,FALSE),IF(LEN($S611)=2,VLOOKUP(LEFT($S611,1),B604:I611,7,FALSE),""))</f>
        <v>FF</v>
      </c>
      <c r="V611" s="376" t="str">
        <f>IF(LEN($S611)=1,VLOOKUP(LEFT($S611,1),B604:I611,6,FALSE),IF(LEN($S611)=2,VLOOKUP(LEFT($S611,1),B604:I611,8,FALSE),""))</f>
        <v>Oliver Eaton</v>
      </c>
      <c r="W611" s="418">
        <f t="shared" si="542"/>
        <v>1</v>
      </c>
      <c r="Y611" s="418">
        <v>42</v>
      </c>
      <c r="Z611" s="25" t="str">
        <f t="shared" si="536"/>
        <v>Tam</v>
      </c>
      <c r="AA611" s="523" t="str">
        <f t="shared" si="537"/>
        <v>Tam</v>
      </c>
      <c r="AB611" s="32"/>
      <c r="AC611" s="25" t="str">
        <f t="shared" si="538"/>
        <v>Y</v>
      </c>
      <c r="AD611" s="624" t="str">
        <f t="shared" si="538"/>
        <v>Worcester</v>
      </c>
      <c r="AE611" s="624">
        <f>IF(ISNA(MATCH(AC611,N603:N612,0)),0,VLOOKUP(AC611,N603:S612,5,FALSE))</f>
        <v>0</v>
      </c>
      <c r="AF611" s="624" t="str">
        <f t="shared" ref="AF611" si="543">IF(ISNA(MATCH(AC611,T603:T612,0))," ",VLOOKUP(AC611,T603:Y612,5,FALSE))</f>
        <v xml:space="preserve"> </v>
      </c>
      <c r="AG611" s="624">
        <f>IF(ISNA(MATCH(AC611,L604:L611,0)),0,VLOOKUP(AC611,L604:N611,3,FALSE))</f>
        <v>23.3</v>
      </c>
      <c r="AH611" s="624">
        <f>IF(ISNA(MATCH(AC611,R604:R611,0)),0,VLOOKUP(AC611,R604:T611,3,FALSE))</f>
        <v>22.9</v>
      </c>
      <c r="AI611" s="624" t="str">
        <f>IF(ISNA(MATCH(AC611,L604:L611,0)),0,VLOOKUP(AC611,L604:P611,4,FALSE))</f>
        <v>Y</v>
      </c>
      <c r="AJ611" s="624" t="str">
        <f>IF(ISNA(MATCH(AC611,R604:R611,0)),0,VLOOKUP(AC611,R604:U611,4,FALSE))</f>
        <v>YY</v>
      </c>
      <c r="AK611" s="116">
        <f t="shared" si="539"/>
        <v>6</v>
      </c>
      <c r="AL611" s="116">
        <f t="shared" si="540"/>
        <v>3</v>
      </c>
      <c r="AM611" s="116">
        <f>IF(ISNA(MATCH(AC611,L604:L611,0)),0,VLOOKUP(AC611,L604:W611,AM$1,FALSE))</f>
        <v>3</v>
      </c>
      <c r="AN611" s="523">
        <f>IF(ISNA(MATCH(AC611,R604:R611,0)),0,VLOOKUP(AC611,R604:W611,AN$1,FALSE))</f>
        <v>6</v>
      </c>
      <c r="AP611" s="932"/>
      <c r="AQ611" s="932"/>
    </row>
    <row r="612" spans="1:47" ht="15" thickBot="1" x14ac:dyDescent="0.35">
      <c r="K612" s="1207" t="s">
        <v>279</v>
      </c>
      <c r="L612" s="1011"/>
      <c r="M612" s="276"/>
      <c r="N612" s="307"/>
      <c r="R612" s="1011"/>
      <c r="S612" s="276"/>
      <c r="T612" s="307"/>
      <c r="AP612" s="276"/>
      <c r="AQ612" s="307"/>
    </row>
    <row r="613" spans="1:47" x14ac:dyDescent="0.3">
      <c r="B613" s="400" t="s">
        <v>258</v>
      </c>
      <c r="C613" s="398"/>
      <c r="D613" s="401" t="s">
        <v>165</v>
      </c>
      <c r="E613" s="398"/>
      <c r="F613" s="398"/>
      <c r="G613" s="402" t="s">
        <v>259</v>
      </c>
      <c r="H613" s="403" t="s">
        <v>249</v>
      </c>
      <c r="I613" s="404" t="s">
        <v>168</v>
      </c>
      <c r="K613" s="360"/>
      <c r="L613" s="661"/>
      <c r="M613" s="387" t="s">
        <v>260</v>
      </c>
      <c r="N613" s="387" t="s">
        <v>261</v>
      </c>
      <c r="O613" s="387" t="s">
        <v>262</v>
      </c>
      <c r="P613" s="388" t="s">
        <v>75</v>
      </c>
      <c r="Q613" s="412"/>
      <c r="R613" s="657"/>
      <c r="S613" s="387" t="s">
        <v>260</v>
      </c>
      <c r="T613" s="387" t="s">
        <v>261</v>
      </c>
      <c r="U613" s="387" t="s">
        <v>262</v>
      </c>
      <c r="V613" s="388" t="s">
        <v>75</v>
      </c>
      <c r="W613" s="672" t="s">
        <v>76</v>
      </c>
      <c r="Y613" s="654" t="s">
        <v>263</v>
      </c>
      <c r="Z613" s="656" t="s">
        <v>74</v>
      </c>
      <c r="AA613" s="657" t="s">
        <v>75</v>
      </c>
      <c r="AC613" s="665" t="s">
        <v>71</v>
      </c>
      <c r="AD613" s="657" t="s">
        <v>86</v>
      </c>
      <c r="AE613" s="661" t="s">
        <v>149</v>
      </c>
      <c r="AF613" s="661" t="s">
        <v>94</v>
      </c>
      <c r="AG613" s="661" t="s">
        <v>149</v>
      </c>
      <c r="AH613" s="661" t="s">
        <v>94</v>
      </c>
      <c r="AI613" s="661" t="s">
        <v>149</v>
      </c>
      <c r="AJ613" s="661" t="s">
        <v>94</v>
      </c>
      <c r="AK613" s="1332" t="s">
        <v>149</v>
      </c>
      <c r="AL613" s="661" t="s">
        <v>94</v>
      </c>
      <c r="AM613" s="1406" t="s">
        <v>76</v>
      </c>
      <c r="AN613" s="1407"/>
      <c r="AP613" s="387" t="s">
        <v>260</v>
      </c>
      <c r="AQ613" s="387" t="s">
        <v>261</v>
      </c>
      <c r="AS613" s="1218" t="s">
        <v>165</v>
      </c>
      <c r="AT613" s="1219" t="s">
        <v>79</v>
      </c>
      <c r="AU613" s="1220" t="s">
        <v>80</v>
      </c>
    </row>
    <row r="614" spans="1:47" ht="15" thickBot="1" x14ac:dyDescent="0.35">
      <c r="B614" s="405">
        <v>55</v>
      </c>
      <c r="C614" s="399"/>
      <c r="D614" s="385" t="str">
        <f>VLOOKUP($B614,EventOrder,6,FALSE)</f>
        <v xml:space="preserve">1500m </v>
      </c>
      <c r="E614" s="399"/>
      <c r="F614" s="385"/>
      <c r="G614" s="386" t="str">
        <f>VLOOKUP($B614,EventOrder,4,FALSE)</f>
        <v>U14 Male</v>
      </c>
      <c r="H614" s="396" t="str">
        <f>IF(MID(G614,5,1)="F","F","M")</f>
        <v>M</v>
      </c>
      <c r="I614" s="397">
        <f>VLOOKUP($B614,EventOrder,2,FALSE)</f>
        <v>3.1</v>
      </c>
      <c r="K614" s="372"/>
      <c r="L614" s="667" t="s">
        <v>149</v>
      </c>
      <c r="M614" s="409" t="s">
        <v>264</v>
      </c>
      <c r="N614" s="409" t="s">
        <v>265</v>
      </c>
      <c r="O614" s="409" t="s">
        <v>266</v>
      </c>
      <c r="P614" s="408"/>
      <c r="Q614" s="413"/>
      <c r="R614" s="659" t="s">
        <v>94</v>
      </c>
      <c r="S614" s="409" t="s">
        <v>264</v>
      </c>
      <c r="T614" s="409" t="s">
        <v>265</v>
      </c>
      <c r="U614" s="409" t="s">
        <v>266</v>
      </c>
      <c r="V614" s="408"/>
      <c r="W614" s="671"/>
      <c r="Y614" s="655" t="s">
        <v>167</v>
      </c>
      <c r="Z614" s="658" t="s">
        <v>149</v>
      </c>
      <c r="AA614" s="659" t="s">
        <v>94</v>
      </c>
      <c r="AC614" s="666"/>
      <c r="AD614" s="668"/>
      <c r="AE614" s="768" t="s">
        <v>75</v>
      </c>
      <c r="AF614" s="768" t="s">
        <v>75</v>
      </c>
      <c r="AG614" s="768" t="s">
        <v>267</v>
      </c>
      <c r="AH614" s="768" t="s">
        <v>267</v>
      </c>
      <c r="AI614" s="768" t="s">
        <v>268</v>
      </c>
      <c r="AJ614" s="768" t="s">
        <v>268</v>
      </c>
      <c r="AK614" s="770" t="s">
        <v>269</v>
      </c>
      <c r="AL614" s="768" t="s">
        <v>269</v>
      </c>
      <c r="AM614" s="667" t="s">
        <v>149</v>
      </c>
      <c r="AN614" s="659" t="s">
        <v>94</v>
      </c>
      <c r="AP614" s="409" t="s">
        <v>264</v>
      </c>
      <c r="AQ614" s="409" t="s">
        <v>265</v>
      </c>
      <c r="AS614" s="1221" t="s">
        <v>270</v>
      </c>
      <c r="AT614" s="1222" t="s">
        <v>270</v>
      </c>
      <c r="AU614" s="1223" t="s">
        <v>270</v>
      </c>
    </row>
    <row r="615" spans="1:47" ht="15.6" x14ac:dyDescent="0.3">
      <c r="A615" s="416">
        <f>(B614*10)+1</f>
        <v>551</v>
      </c>
      <c r="B615" s="362" t="str">
        <f>'Event Details'!D$22</f>
        <v>S</v>
      </c>
      <c r="C615" s="381" t="str">
        <f>'Event Details'!E$22</f>
        <v>BRAT</v>
      </c>
      <c r="D615" s="379"/>
      <c r="E615" s="378"/>
      <c r="F615" s="363" t="str">
        <f>VLOOKUP($B614,IF($H614="F",TeamSheetFemale,TeamSheetMale),$Y615-1,FALSE)</f>
        <v>S</v>
      </c>
      <c r="G615" s="380" t="str">
        <f>VLOOKUP($B614,IF($H614="F",TeamSheetFemale,TeamSheetMale),$Y615,FALSE)</f>
        <v>Anaadh Singh</v>
      </c>
      <c r="H615" s="363" t="str">
        <f>VLOOKUP($B614,IF($H614="F",TeamSheetFemale,TeamSheetMale),$Y615+1,FALSE)</f>
        <v>SS</v>
      </c>
      <c r="I615" s="364" t="str">
        <f>VLOOKUP($B614,IF($H614="F",TeamSheetFemale,TeamSheetMale),$Y615+2,FALSE)</f>
        <v>George Wrigley</v>
      </c>
      <c r="K615" s="393" t="s">
        <v>271</v>
      </c>
      <c r="L615" s="16" t="str">
        <f t="shared" ref="L615:L622" si="544">LEFT(M615,1)</f>
        <v>D</v>
      </c>
      <c r="M615" s="926" t="s">
        <v>136</v>
      </c>
      <c r="N615" s="926" t="s">
        <v>1086</v>
      </c>
      <c r="O615" s="394" t="str">
        <f>IF(LEN($M615)=1,VLOOKUP(LEFT($M615,1),B615:I622,5,FALSE),IF(LEN($M615)=2,VLOOKUP(LEFT($M615,1),B615:I622,7,FALSE),""))</f>
        <v>D</v>
      </c>
      <c r="P615" s="395" t="str">
        <f>IF(LEN($M615)=1,VLOOKUP(LEFT($M615,1),B615:I622,6,FALSE),IF(LEN($M615)=2,VLOOKUP(LEFT($M615,1),B615:I622,8,FALSE),""))</f>
        <v>Charlie Cassells</v>
      </c>
      <c r="Q615" s="406" t="s">
        <v>271</v>
      </c>
      <c r="R615" s="146" t="str">
        <f t="shared" ref="R615:R622" si="545">LEFT(S615,1)</f>
        <v>R</v>
      </c>
      <c r="S615" s="926" t="s">
        <v>819</v>
      </c>
      <c r="T615" s="926" t="s">
        <v>1091</v>
      </c>
      <c r="U615" s="394" t="str">
        <f>IF(LEN($S615)=1,VLOOKUP(LEFT($S615,1),B615:I622,5,FALSE),IF(LEN($S615)=2,VLOOKUP(LEFT($S615,1),B615:I622,7,FALSE),""))</f>
        <v>RR</v>
      </c>
      <c r="V615" s="395" t="str">
        <f>IF(LEN($S615)=1,VLOOKUP(LEFT($S615,1),B615:I622,6,FALSE),IF(LEN($S615)=2,VLOOKUP(LEFT($S615,1),B615:I622,8,FALSE),""))</f>
        <v>Myles Marks</v>
      </c>
      <c r="W615" s="417">
        <f>AN$6</f>
        <v>8</v>
      </c>
      <c r="Y615" s="653">
        <v>7</v>
      </c>
      <c r="Z615" s="653" t="str">
        <f t="shared" ref="Z615:Z622" si="546">IF(LEN(M615)&gt;0,VLOOKUP(LEFT(M615,1),ShortName,5,FALSE),0)</f>
        <v>Strat</v>
      </c>
      <c r="AA615" s="138" t="str">
        <f t="shared" ref="AA615:AA622" si="547">IF(LEN(S615)&gt;0,VLOOKUP(LEFT(S615,1),ShortName,5,FALSE),0)</f>
        <v>Rugby</v>
      </c>
      <c r="AC615" s="16" t="str">
        <f t="shared" ref="AC615:AD622" si="548">B615</f>
        <v>S</v>
      </c>
      <c r="AD615" s="419" t="str">
        <f t="shared" si="548"/>
        <v>BRAT</v>
      </c>
      <c r="AE615" s="635">
        <f>IF(ISNA(MATCH(AC615,N615:N624,0)),0,VLOOKUP(AC615,N615:S624,5,FALSE))</f>
        <v>0</v>
      </c>
      <c r="AF615" s="635" t="str">
        <f>IF(ISNA(MATCH(AC615,T615:T624,0))," ",VLOOKUP(AC615,T615:Y624,5,FALSE))</f>
        <v xml:space="preserve"> </v>
      </c>
      <c r="AG615" s="635" t="str">
        <f>IF(ISNA(MATCH(AC615,L615:L622,0)),0,VLOOKUP(AC615,L615:N622,3,FALSE))</f>
        <v>5.10.5</v>
      </c>
      <c r="AH615" s="635" t="str">
        <f>IF(ISNA(MATCH(AC615,R615:R622,0)),0,VLOOKUP(AC615,R615:T622,3,FALSE))</f>
        <v>5.10.9</v>
      </c>
      <c r="AI615" s="635" t="str">
        <f>IF(ISNA(MATCH(AC615,L615:L622,0)),0,VLOOKUP(AC615,L615:P622,4,FALSE))</f>
        <v>S</v>
      </c>
      <c r="AJ615" s="635" t="str">
        <f>IF(ISNA(MATCH(AC615,R615:R622,0)),0,VLOOKUP(AC615,R615:U622,4,FALSE))</f>
        <v>SS</v>
      </c>
      <c r="AK615" s="49">
        <f t="shared" ref="AK615:AK622" si="549">IF(AM615=0,0,AN$6-(AM615-1))</f>
        <v>4</v>
      </c>
      <c r="AL615" s="49">
        <f t="shared" ref="AL615:AL622" si="550">IF(AN615=0,0,AN$6-(AN615-1))</f>
        <v>3</v>
      </c>
      <c r="AM615" s="49">
        <f>IF(ISNA(MATCH(AC615,L615:L622,0)),0,VLOOKUP(AC615,L615:W622,AM$1,FALSE))</f>
        <v>5</v>
      </c>
      <c r="AN615" s="138">
        <f>IF(ISNA(MATCH(AC615,R615:R622,0)),0,VLOOKUP(AC615,R615:W622,AN$1,FALSE))</f>
        <v>6</v>
      </c>
      <c r="AP615" s="926"/>
      <c r="AQ615" s="926"/>
      <c r="AS615" s="32">
        <f>IF(LEN(N615)&gt;0,1,0)</f>
        <v>1</v>
      </c>
      <c r="AT615" s="32">
        <f>IF(AND(AS615=1,H614="M"),1,0)</f>
        <v>1</v>
      </c>
      <c r="AU615" s="32">
        <f>IF(AND(AS615=1,H614="F"),1,0)</f>
        <v>0</v>
      </c>
    </row>
    <row r="616" spans="1:47" ht="15.6" x14ac:dyDescent="0.3">
      <c r="A616" s="417">
        <f>A615+1</f>
        <v>552</v>
      </c>
      <c r="B616" s="362" t="str">
        <f>'Event Details'!D$23</f>
        <v>U</v>
      </c>
      <c r="C616" s="381" t="str">
        <f>'Event Details'!E$23</f>
        <v>Kidder &amp; Stourport</v>
      </c>
      <c r="D616" s="379"/>
      <c r="E616" s="378"/>
      <c r="F616" s="363">
        <f>VLOOKUP($B614,IF($H614="F",TeamSheetFemale,TeamSheetMale),$Y616-1,FALSE)</f>
        <v>0</v>
      </c>
      <c r="G616" s="380">
        <f>VLOOKUP($B614,IF($H614="F",TeamSheetFemale,TeamSheetMale),$Y616,FALSE)</f>
        <v>0</v>
      </c>
      <c r="H616" s="363">
        <f>VLOOKUP($B614,IF($H614="F",TeamSheetFemale,TeamSheetMale),$Y616+1,FALSE)</f>
        <v>0</v>
      </c>
      <c r="I616" s="364">
        <f>VLOOKUP($B614,IF($H614="F",TeamSheetFemale,TeamSheetMale),$Y616+2,FALSE)</f>
        <v>0</v>
      </c>
      <c r="K616" s="341" t="s">
        <v>272</v>
      </c>
      <c r="L616" s="16" t="str">
        <f t="shared" si="544"/>
        <v>M</v>
      </c>
      <c r="M616" s="927" t="s">
        <v>127</v>
      </c>
      <c r="N616" s="927" t="s">
        <v>1087</v>
      </c>
      <c r="O616" s="354" t="str">
        <f>IF(LEN($M616)=1,VLOOKUP(LEFT($M616,1),B615:I622,5,FALSE),IF(LEN($M616)=2,VLOOKUP(LEFT($M616,1),B615:I622,7,FALSE),""))</f>
        <v>M</v>
      </c>
      <c r="P616" s="410" t="str">
        <f>IF(LEN($M616)=1,VLOOKUP(LEFT($M616,1),B615:I622,6,FALSE),IF(LEN($M616)=2,VLOOKUP(LEFT($M616,1),B615:I622,8,FALSE),""))</f>
        <v>Jacob Austerberry</v>
      </c>
      <c r="Q616" s="371" t="s">
        <v>272</v>
      </c>
      <c r="R616" s="146" t="str">
        <f t="shared" si="545"/>
        <v>D</v>
      </c>
      <c r="S616" s="927" t="s">
        <v>513</v>
      </c>
      <c r="T616" s="927" t="s">
        <v>1092</v>
      </c>
      <c r="U616" s="354" t="str">
        <f>IF(LEN($S616)=1,VLOOKUP(LEFT($S616,1),B615:I622,5,FALSE),IF(LEN($S616)=2,VLOOKUP(LEFT($S616,1),B615:I622,7,FALSE),""))</f>
        <v>DD</v>
      </c>
      <c r="V616" s="410" t="str">
        <f>IF(LEN($S616)=1,VLOOKUP(LEFT($S616,1),B615:I622,6,FALSE),IF(LEN($S616)=2,VLOOKUP(LEFT($S616,1),B615:I622,8,FALSE),""))</f>
        <v>Charlie Castle</v>
      </c>
      <c r="W616" s="417">
        <f>W615-1</f>
        <v>7</v>
      </c>
      <c r="Y616" s="16">
        <v>12</v>
      </c>
      <c r="Z616" s="16" t="str">
        <f t="shared" si="546"/>
        <v>Sol</v>
      </c>
      <c r="AA616" s="146" t="str">
        <f t="shared" si="547"/>
        <v>Strat</v>
      </c>
      <c r="AC616" s="16" t="str">
        <f t="shared" si="548"/>
        <v>U</v>
      </c>
      <c r="AD616" s="419" t="str">
        <f t="shared" si="548"/>
        <v>Kidder &amp; Stourport</v>
      </c>
      <c r="AE616" s="419">
        <f>IF(ISNA(MATCH(AC616,N615:N624,0)),0,VLOOKUP(AC616,N615:S624,5,FALSE))</f>
        <v>0</v>
      </c>
      <c r="AF616" s="419" t="str">
        <f>IF(ISNA(MATCH(AC616,T615:T624,0))," ",VLOOKUP(AC616,T615:Y624,5,FALSE))</f>
        <v xml:space="preserve"> </v>
      </c>
      <c r="AG616" s="419">
        <f>IF(ISNA(MATCH(AC616,L615:L622,0)),0,VLOOKUP(AC616,L615:N622,3,FALSE))</f>
        <v>0</v>
      </c>
      <c r="AH616" s="419">
        <f>IF(ISNA(MATCH(AC616,R615:R622,0)),0,VLOOKUP(AC616,R615:T622,3,FALSE))</f>
        <v>0</v>
      </c>
      <c r="AI616" s="419">
        <f>IF(ISNA(MATCH(AC616,L615:L622,0)),0,VLOOKUP(AC616,L615:P622,4,FALSE))</f>
        <v>0</v>
      </c>
      <c r="AJ616" s="419">
        <f>IF(ISNA(MATCH(AC616,R615:R622,0)),0,VLOOKUP(AC616,R615:U622,4,FALSE))</f>
        <v>0</v>
      </c>
      <c r="AK616" s="32">
        <f t="shared" si="549"/>
        <v>0</v>
      </c>
      <c r="AL616" s="32">
        <f t="shared" si="550"/>
        <v>0</v>
      </c>
      <c r="AM616" s="32">
        <f>IF(ISNA(MATCH(AC616,L615:L622,0)),0,VLOOKUP(AC616,L615:W622,AM$1,FALSE))</f>
        <v>0</v>
      </c>
      <c r="AN616" s="146">
        <f>IF(ISNA(MATCH(AC616,R615:R622,0)),0,VLOOKUP(AC616,R615:W622,AN$1,FALSE))</f>
        <v>0</v>
      </c>
      <c r="AP616" s="927"/>
      <c r="AQ616" s="927"/>
    </row>
    <row r="617" spans="1:47" ht="15.6" x14ac:dyDescent="0.3">
      <c r="A617" s="417">
        <f t="shared" ref="A617:A622" si="551">A616+1</f>
        <v>553</v>
      </c>
      <c r="B617" s="362" t="str">
        <f>'Event Details'!D$24</f>
        <v>G</v>
      </c>
      <c r="C617" s="381" t="str">
        <f>'Event Details'!E$24</f>
        <v>Royal Sutton</v>
      </c>
      <c r="D617" s="379"/>
      <c r="E617" s="378"/>
      <c r="F617" s="363" t="str">
        <f>VLOOKUP($B614,IF($H614="F",TeamSheetFemale,TeamSheetMale),$Y617-1,FALSE)</f>
        <v>G</v>
      </c>
      <c r="G617" s="380" t="str">
        <f>VLOOKUP($B614,IF($H614="F",TeamSheetFemale,TeamSheetMale),$Y617,FALSE)</f>
        <v>Will Biddle</v>
      </c>
      <c r="H617" s="363" t="str">
        <f>VLOOKUP($B614,IF($H614="F",TeamSheetFemale,TeamSheetMale),$Y617+1,FALSE)</f>
        <v>GG</v>
      </c>
      <c r="I617" s="364" t="str">
        <f>VLOOKUP($B614,IF($H614="F",TeamSheetFemale,TeamSheetMale),$Y617+2,FALSE)</f>
        <v>Leo Nott</v>
      </c>
      <c r="K617" s="341" t="s">
        <v>273</v>
      </c>
      <c r="L617" s="16" t="str">
        <f t="shared" si="544"/>
        <v>G</v>
      </c>
      <c r="M617" s="927" t="s">
        <v>110</v>
      </c>
      <c r="N617" s="927" t="s">
        <v>1088</v>
      </c>
      <c r="O617" s="354" t="str">
        <f>IF(LEN($M617)=1,VLOOKUP(LEFT($M617,1),B615:I622,5,FALSE),IF(LEN($M617)=2,VLOOKUP(LEFT($M617,1),B615:I622,7,FALSE),""))</f>
        <v>G</v>
      </c>
      <c r="P617" s="410" t="str">
        <f>IF(LEN($M617)=1,VLOOKUP(LEFT($M617,1),B615:I622,6,FALSE),IF(LEN($M617)=2,VLOOKUP(LEFT($M617,1),B615:I622,8,FALSE),""))</f>
        <v>Will Biddle</v>
      </c>
      <c r="Q617" s="371" t="s">
        <v>273</v>
      </c>
      <c r="R617" s="146" t="str">
        <f t="shared" si="545"/>
        <v>S</v>
      </c>
      <c r="S617" s="927" t="s">
        <v>818</v>
      </c>
      <c r="T617" s="927" t="s">
        <v>1093</v>
      </c>
      <c r="U617" s="354" t="str">
        <f>IF(LEN($S617)=1,VLOOKUP(LEFT($S617,1),B615:I622,5,FALSE),IF(LEN($S617)=2,VLOOKUP(LEFT($S617,1),B615:I622,7,FALSE),""))</f>
        <v>SS</v>
      </c>
      <c r="V617" s="410" t="str">
        <f>IF(LEN($S617)=1,VLOOKUP(LEFT($S617,1),B615:I622,6,FALSE),IF(LEN($S617)=2,VLOOKUP(LEFT($S617,1),B615:I622,8,FALSE),""))</f>
        <v>George Wrigley</v>
      </c>
      <c r="W617" s="417">
        <f t="shared" ref="W617:W622" si="552">W616-1</f>
        <v>6</v>
      </c>
      <c r="Y617" s="16">
        <v>17</v>
      </c>
      <c r="Z617" s="16" t="str">
        <f t="shared" si="546"/>
        <v>Royal</v>
      </c>
      <c r="AA617" s="146" t="str">
        <f t="shared" si="547"/>
        <v>BRAT</v>
      </c>
      <c r="AC617" s="16" t="str">
        <f t="shared" si="548"/>
        <v>G</v>
      </c>
      <c r="AD617" s="419" t="str">
        <f t="shared" si="548"/>
        <v>Royal Sutton</v>
      </c>
      <c r="AE617" s="419">
        <f>IF(ISNA(MATCH(AC617,N615:N624,0)),0,VLOOKUP(AC617,N615:S624,5,FALSE))</f>
        <v>0</v>
      </c>
      <c r="AF617" s="419" t="str">
        <f>IF(ISNA(MATCH(AC617,T615:T624,0))," ",VLOOKUP(AC617,T615:Y624,5,FALSE))</f>
        <v xml:space="preserve"> </v>
      </c>
      <c r="AG617" s="419" t="str">
        <f>IF(ISNA(MATCH(AC617,L615:L622,0)),0,VLOOKUP(AC617,L615:N622,3,FALSE))</f>
        <v>5.06.5</v>
      </c>
      <c r="AH617" s="419" t="str">
        <f>IF(ISNA(MATCH(AC617,R615:R622,0)),0,VLOOKUP(AC617,R615:T622,3,FALSE))</f>
        <v>5.26.9</v>
      </c>
      <c r="AI617" s="419" t="str">
        <f>IF(ISNA(MATCH(AC617,L615:L622,0)),0,VLOOKUP(AC617,L615:P622,4,FALSE))</f>
        <v>G</v>
      </c>
      <c r="AJ617" s="419" t="str">
        <f>IF(ISNA(MATCH(AC617,R615:R622,0)),0,VLOOKUP(AC617,R615:U622,4,FALSE))</f>
        <v>GG</v>
      </c>
      <c r="AK617" s="32">
        <f t="shared" si="549"/>
        <v>3</v>
      </c>
      <c r="AL617" s="32">
        <f t="shared" si="550"/>
        <v>5</v>
      </c>
      <c r="AM617" s="32">
        <f>IF(ISNA(MATCH(AC617,L615:L622,0)),0,VLOOKUP(AC617,L615:W622,AM$1,FALSE))</f>
        <v>6</v>
      </c>
      <c r="AN617" s="146">
        <f>IF(ISNA(MATCH(AC617,R615:R622,0)),0,VLOOKUP(AC617,R615:W622,AN$1,FALSE))</f>
        <v>4</v>
      </c>
      <c r="AP617" s="927"/>
      <c r="AQ617" s="927"/>
    </row>
    <row r="618" spans="1:47" ht="15.6" x14ac:dyDescent="0.3">
      <c r="A618" s="417">
        <f t="shared" si="551"/>
        <v>554</v>
      </c>
      <c r="B618" s="362" t="str">
        <f>'Event Details'!D$25</f>
        <v>R</v>
      </c>
      <c r="C618" s="381" t="str">
        <f>'Event Details'!E$25</f>
        <v>Rugby &amp; N'hampton</v>
      </c>
      <c r="D618" s="379"/>
      <c r="E618" s="378"/>
      <c r="F618" s="363" t="str">
        <f>VLOOKUP($B614,IF($H614="F",TeamSheetFemale,TeamSheetMale),$Y618-1,FALSE)</f>
        <v>R</v>
      </c>
      <c r="G618" s="380" t="str">
        <f>VLOOKUP($B614,IF($H614="F",TeamSheetFemale,TeamSheetMale),$Y618,FALSE)</f>
        <v>Wesley Hague</v>
      </c>
      <c r="H618" s="363" t="str">
        <f>VLOOKUP($B614,IF($H614="F",TeamSheetFemale,TeamSheetMale),$Y618+1,FALSE)</f>
        <v>RR</v>
      </c>
      <c r="I618" s="364" t="str">
        <f>VLOOKUP($B614,IF($H614="F",TeamSheetFemale,TeamSheetMale),$Y618+2,FALSE)</f>
        <v>Myles Marks</v>
      </c>
      <c r="K618" s="341" t="s">
        <v>274</v>
      </c>
      <c r="L618" s="16" t="str">
        <f t="shared" si="544"/>
        <v>S</v>
      </c>
      <c r="M618" s="927" t="s">
        <v>100</v>
      </c>
      <c r="N618" s="927" t="s">
        <v>1089</v>
      </c>
      <c r="O618" s="354" t="str">
        <f>IF(LEN($M618)=1,VLOOKUP(LEFT($M618,1),B615:I622,5,FALSE),IF(LEN($M618)=2,VLOOKUP(LEFT($M618,1),B615:I622,7,FALSE),""))</f>
        <v>S</v>
      </c>
      <c r="P618" s="410" t="str">
        <f>IF(LEN($M618)=1,VLOOKUP(LEFT($M618,1),B615:I622,6,FALSE),IF(LEN($M618)=2,VLOOKUP(LEFT($M618,1),B615:I622,8,FALSE),""))</f>
        <v>Anaadh Singh</v>
      </c>
      <c r="Q618" s="371" t="s">
        <v>274</v>
      </c>
      <c r="R618" s="146" t="str">
        <f t="shared" si="545"/>
        <v>Y</v>
      </c>
      <c r="S618" s="927" t="s">
        <v>822</v>
      </c>
      <c r="T618" s="927" t="s">
        <v>1094</v>
      </c>
      <c r="U618" s="354" t="str">
        <f>IF(LEN($S618)=1,VLOOKUP(LEFT($S618,1),B615:I622,5,FALSE),IF(LEN($S618)=2,VLOOKUP(LEFT($S618,1),B615:I622,7,FALSE),""))</f>
        <v>YY</v>
      </c>
      <c r="V618" s="410" t="str">
        <f>IF(LEN($S618)=1,VLOOKUP(LEFT($S618,1),B615:I622,6,FALSE),IF(LEN($S618)=2,VLOOKUP(LEFT($S618,1),B615:I622,8,FALSE),""))</f>
        <v>Alex Thompson</v>
      </c>
      <c r="W618" s="417">
        <f t="shared" si="552"/>
        <v>5</v>
      </c>
      <c r="Y618" s="16">
        <v>22</v>
      </c>
      <c r="Z618" s="16" t="str">
        <f t="shared" si="546"/>
        <v>BRAT</v>
      </c>
      <c r="AA618" s="146" t="str">
        <f t="shared" si="547"/>
        <v>Worc</v>
      </c>
      <c r="AC618" s="16" t="str">
        <f t="shared" si="548"/>
        <v>R</v>
      </c>
      <c r="AD618" s="419" t="str">
        <f t="shared" si="548"/>
        <v>Rugby &amp; N'hampton</v>
      </c>
      <c r="AE618" s="419">
        <f>IF(ISNA(MATCH(AC618,N615:N624,0)),0,VLOOKUP(AC618,N615:S624,5,FALSE))</f>
        <v>0</v>
      </c>
      <c r="AF618" s="419" t="str">
        <f>IF(ISNA(MATCH(AC618,T615:T624,0))," ",VLOOKUP(AC618,T615:Y624,5,FALSE))</f>
        <v xml:space="preserve"> </v>
      </c>
      <c r="AG618" s="419" t="str">
        <f>IF(ISNA(MATCH(AC618,L615:L622,0)),0,VLOOKUP(AC618,L615:N622,3,FALSE))</f>
        <v>5.14.5</v>
      </c>
      <c r="AH618" s="419" t="str">
        <f>IF(ISNA(MATCH(AC618,R615:R622,0)),0,VLOOKUP(AC618,R615:T622,3,FALSE))</f>
        <v>5.02.2</v>
      </c>
      <c r="AI618" s="419" t="str">
        <f>IF(ISNA(MATCH(AC618,L615:L622,0)),0,VLOOKUP(AC618,L615:P622,4,FALSE))</f>
        <v>R</v>
      </c>
      <c r="AJ618" s="419" t="str">
        <f>IF(ISNA(MATCH(AC618,R615:R622,0)),0,VLOOKUP(AC618,R615:U622,4,FALSE))</f>
        <v>RR</v>
      </c>
      <c r="AK618" s="32">
        <f t="shared" si="549"/>
        <v>5</v>
      </c>
      <c r="AL618" s="32">
        <f t="shared" si="550"/>
        <v>1</v>
      </c>
      <c r="AM618" s="32">
        <f>IF(ISNA(MATCH(AC618,L615:L622,0)),0,VLOOKUP(AC618,L615:W622,AM$1,FALSE))</f>
        <v>4</v>
      </c>
      <c r="AN618" s="146">
        <f>IF(ISNA(MATCH(AC618,R615:R622,0)),0,VLOOKUP(AC618,R615:W622,AN$1,FALSE))</f>
        <v>8</v>
      </c>
      <c r="AP618" s="927"/>
      <c r="AQ618" s="927"/>
    </row>
    <row r="619" spans="1:47" ht="15.6" x14ac:dyDescent="0.3">
      <c r="A619" s="417">
        <f t="shared" si="551"/>
        <v>555</v>
      </c>
      <c r="B619" s="362" t="str">
        <f>'Event Details'!D$26</f>
        <v>M</v>
      </c>
      <c r="C619" s="381" t="str">
        <f>'Event Details'!E$26</f>
        <v>Solihull &amp; S.Heath</v>
      </c>
      <c r="D619" s="379"/>
      <c r="E619" s="378"/>
      <c r="F619" s="363" t="str">
        <f>VLOOKUP($B614,IF($H614="F",TeamSheetFemale,TeamSheetMale),$Y619-1,FALSE)</f>
        <v>M</v>
      </c>
      <c r="G619" s="380" t="str">
        <f>VLOOKUP($B614,IF($H614="F",TeamSheetFemale,TeamSheetMale),$Y619,FALSE)</f>
        <v>Jacob Austerberry</v>
      </c>
      <c r="H619" s="363" t="str">
        <f>VLOOKUP($B614,IF($H614="F",TeamSheetFemale,TeamSheetMale),$Y619+1,FALSE)</f>
        <v>MM</v>
      </c>
      <c r="I619" s="364" t="str">
        <f>VLOOKUP($B614,IF($H614="F",TeamSheetFemale,TeamSheetMale),$Y619+2,FALSE)</f>
        <v>Noah Rush</v>
      </c>
      <c r="K619" s="341" t="s">
        <v>275</v>
      </c>
      <c r="L619" s="16" t="str">
        <f t="shared" si="544"/>
        <v>R</v>
      </c>
      <c r="M619" s="927" t="s">
        <v>118</v>
      </c>
      <c r="N619" s="927" t="s">
        <v>964</v>
      </c>
      <c r="O619" s="354" t="str">
        <f>IF(LEN($M619)=1,VLOOKUP(LEFT($M619,1),B615:I622,5,FALSE),IF(LEN($M619)=2,VLOOKUP(LEFT($M619,1),B615:I622,7,FALSE),""))</f>
        <v>R</v>
      </c>
      <c r="P619" s="410" t="str">
        <f>IF(LEN($M619)=1,VLOOKUP(LEFT($M619,1),B615:I622,6,FALSE),IF(LEN($M619)=2,VLOOKUP(LEFT($M619,1),B615:I622,8,FALSE),""))</f>
        <v>Wesley Hague</v>
      </c>
      <c r="Q619" s="371" t="s">
        <v>275</v>
      </c>
      <c r="R619" s="146" t="str">
        <f t="shared" si="545"/>
        <v>G</v>
      </c>
      <c r="S619" s="927" t="s">
        <v>820</v>
      </c>
      <c r="T619" s="927" t="s">
        <v>1095</v>
      </c>
      <c r="U619" s="354" t="str">
        <f>IF(LEN($S619)=1,VLOOKUP(LEFT($S619,1),B615:I622,5,FALSE),IF(LEN($S619)=2,VLOOKUP(LEFT($S619,1),B615:I622,7,FALSE),""))</f>
        <v>GG</v>
      </c>
      <c r="V619" s="410" t="str">
        <f>IF(LEN($S619)=1,VLOOKUP(LEFT($S619,1),B615:I622,6,FALSE),IF(LEN($S619)=2,VLOOKUP(LEFT($S619,1),B615:I622,8,FALSE),""))</f>
        <v>Leo Nott</v>
      </c>
      <c r="W619" s="417">
        <f t="shared" si="552"/>
        <v>4</v>
      </c>
      <c r="Y619" s="16">
        <v>27</v>
      </c>
      <c r="Z619" s="16" t="str">
        <f t="shared" si="546"/>
        <v>Rugby</v>
      </c>
      <c r="AA619" s="146" t="str">
        <f t="shared" si="547"/>
        <v>Royal</v>
      </c>
      <c r="AC619" s="16" t="str">
        <f t="shared" si="548"/>
        <v>M</v>
      </c>
      <c r="AD619" s="419" t="str">
        <f t="shared" si="548"/>
        <v>Solihull &amp; S.Heath</v>
      </c>
      <c r="AE619" s="419">
        <f>IF(ISNA(MATCH(AC619,N615:N624,0)),0,VLOOKUP(AC619,N615:S624,5,FALSE))</f>
        <v>0</v>
      </c>
      <c r="AF619" s="419" t="str">
        <f>IF(ISNA(MATCH(AC619,T615:T624,0))," ",VLOOKUP(AC619,T615:Y624,5,FALSE))</f>
        <v xml:space="preserve"> </v>
      </c>
      <c r="AG619" s="419" t="str">
        <f>IF(ISNA(MATCH(AC619,L615:L622,0)),0,VLOOKUP(AC619,L615:N622,3,FALSE))</f>
        <v>4.42.0</v>
      </c>
      <c r="AH619" s="419" t="str">
        <f>IF(ISNA(MATCH(AC619,R615:R622,0)),0,VLOOKUP(AC619,R615:T622,3,FALSE))</f>
        <v>5.51.8</v>
      </c>
      <c r="AI619" s="419" t="str">
        <f>IF(ISNA(MATCH(AC619,L615:L622,0)),0,VLOOKUP(AC619,L615:P622,4,FALSE))</f>
        <v>M</v>
      </c>
      <c r="AJ619" s="419" t="str">
        <f>IF(ISNA(MATCH(AC619,R615:R622,0)),0,VLOOKUP(AC619,R615:U622,4,FALSE))</f>
        <v>MM</v>
      </c>
      <c r="AK619" s="32">
        <f t="shared" si="549"/>
        <v>2</v>
      </c>
      <c r="AL619" s="32">
        <f t="shared" si="550"/>
        <v>6</v>
      </c>
      <c r="AM619" s="32">
        <f>IF(ISNA(MATCH(AC619,L615:L622,0)),0,VLOOKUP(AC619,L615:W622,AM$1,FALSE))</f>
        <v>7</v>
      </c>
      <c r="AN619" s="146">
        <f>IF(ISNA(MATCH(AC619,R615:R622,0)),0,VLOOKUP(AC619,R615:W622,AN$1,FALSE))</f>
        <v>3</v>
      </c>
      <c r="AP619" s="927"/>
      <c r="AQ619" s="927"/>
    </row>
    <row r="620" spans="1:47" ht="15.6" x14ac:dyDescent="0.3">
      <c r="A620" s="417">
        <f t="shared" si="551"/>
        <v>556</v>
      </c>
      <c r="B620" s="362" t="str">
        <f>'Event Details'!D$27</f>
        <v>D</v>
      </c>
      <c r="C620" s="381" t="str">
        <f>'Event Details'!E$27</f>
        <v>Stratford</v>
      </c>
      <c r="D620" s="379"/>
      <c r="E620" s="378"/>
      <c r="F620" s="363" t="str">
        <f>VLOOKUP($B614,IF($H614="F",TeamSheetFemale,TeamSheetMale),$Y620-1,FALSE)</f>
        <v>D</v>
      </c>
      <c r="G620" s="380" t="str">
        <f>VLOOKUP($B614,IF($H614="F",TeamSheetFemale,TeamSheetMale),$Y620,FALSE)</f>
        <v>Charlie Cassells</v>
      </c>
      <c r="H620" s="363" t="str">
        <f>VLOOKUP($B614,IF($H614="F",TeamSheetFemale,TeamSheetMale),$Y620+1,FALSE)</f>
        <v>DD</v>
      </c>
      <c r="I620" s="364" t="str">
        <f>VLOOKUP($B614,IF($H614="F",TeamSheetFemale,TeamSheetMale),$Y620+2,FALSE)</f>
        <v>Charlie Castle</v>
      </c>
      <c r="K620" s="341" t="s">
        <v>276</v>
      </c>
      <c r="L620" s="16" t="str">
        <f t="shared" si="544"/>
        <v>Y</v>
      </c>
      <c r="M620" s="927" t="s">
        <v>151</v>
      </c>
      <c r="N620" s="927" t="s">
        <v>1090</v>
      </c>
      <c r="O620" s="354" t="str">
        <f>IF(LEN($M620)=1,VLOOKUP(LEFT($M620,1),B615:I622,5,FALSE),IF(LEN($M620)=2,VLOOKUP(LEFT($M620,1),B615:I622,7,FALSE),""))</f>
        <v>Y</v>
      </c>
      <c r="P620" s="410" t="str">
        <f>IF(LEN($M620)=1,VLOOKUP(LEFT($M620,1),B615:I622,6,FALSE),IF(LEN($M620)=2,VLOOKUP(LEFT($M620,1),B615:I622,8,FALSE),""))</f>
        <v>Zachary Hope</v>
      </c>
      <c r="Q620" s="371" t="s">
        <v>276</v>
      </c>
      <c r="R620" s="146" t="str">
        <f t="shared" si="545"/>
        <v>M</v>
      </c>
      <c r="S620" s="927" t="s">
        <v>821</v>
      </c>
      <c r="T620" s="927" t="s">
        <v>1096</v>
      </c>
      <c r="U620" s="354" t="str">
        <f>IF(LEN($S620)=1,VLOOKUP(LEFT($S620,1),B615:I622,5,FALSE),IF(LEN($S620)=2,VLOOKUP(LEFT($S620,1),B615:I622,7,FALSE),""))</f>
        <v>MM</v>
      </c>
      <c r="V620" s="410" t="str">
        <f>IF(LEN($S620)=1,VLOOKUP(LEFT($S620,1),B615:I622,6,FALSE),IF(LEN($S620)=2,VLOOKUP(LEFT($S620,1),B615:I622,8,FALSE),""))</f>
        <v>Noah Rush</v>
      </c>
      <c r="W620" s="417">
        <f t="shared" si="552"/>
        <v>3</v>
      </c>
      <c r="Y620" s="16">
        <v>32</v>
      </c>
      <c r="Z620" s="16" t="str">
        <f t="shared" si="546"/>
        <v>Worc</v>
      </c>
      <c r="AA620" s="146" t="str">
        <f t="shared" si="547"/>
        <v>Sol</v>
      </c>
      <c r="AC620" s="16" t="str">
        <f t="shared" si="548"/>
        <v>D</v>
      </c>
      <c r="AD620" s="419" t="str">
        <f t="shared" si="548"/>
        <v>Stratford</v>
      </c>
      <c r="AE620" s="419">
        <f>IF(ISNA(MATCH(AC620,N615:N624,0)),0,VLOOKUP(AC620,N615:S624,5,FALSE))</f>
        <v>0</v>
      </c>
      <c r="AF620" s="419" t="str">
        <f>IF(ISNA(MATCH(AC620,T615:T624,0))," ",VLOOKUP(AC620,T615:Y624,5,FALSE))</f>
        <v xml:space="preserve"> </v>
      </c>
      <c r="AG620" s="419" t="str">
        <f>IF(ISNA(MATCH(AC620,L615:L622,0)),0,VLOOKUP(AC620,L615:N622,3,FALSE))</f>
        <v>4.40.1</v>
      </c>
      <c r="AH620" s="419" t="str">
        <f>IF(ISNA(MATCH(AC620,R615:R622,0)),0,VLOOKUP(AC620,R615:T622,3,FALSE))</f>
        <v>5.08.9</v>
      </c>
      <c r="AI620" s="419" t="str">
        <f>IF(ISNA(MATCH(AC620,L615:L622,0)),0,VLOOKUP(AC620,L615:P622,4,FALSE))</f>
        <v>D</v>
      </c>
      <c r="AJ620" s="419" t="str">
        <f>IF(ISNA(MATCH(AC620,R615:R622,0)),0,VLOOKUP(AC620,R615:U622,4,FALSE))</f>
        <v>DD</v>
      </c>
      <c r="AK620" s="32">
        <f t="shared" si="549"/>
        <v>1</v>
      </c>
      <c r="AL620" s="32">
        <f t="shared" si="550"/>
        <v>2</v>
      </c>
      <c r="AM620" s="32">
        <f>IF(ISNA(MATCH(AC620,L615:L622,0)),0,VLOOKUP(AC620,L615:W622,AM$1,FALSE))</f>
        <v>8</v>
      </c>
      <c r="AN620" s="146">
        <f>IF(ISNA(MATCH(AC620,R615:R622,0)),0,VLOOKUP(AC620,R615:W622,AN$1,FALSE))</f>
        <v>7</v>
      </c>
      <c r="AP620" s="927"/>
      <c r="AQ620" s="927"/>
    </row>
    <row r="621" spans="1:47" ht="15.6" x14ac:dyDescent="0.3">
      <c r="A621" s="417">
        <f t="shared" si="551"/>
        <v>557</v>
      </c>
      <c r="B621" s="362" t="str">
        <f>'Event Details'!D$28</f>
        <v>F</v>
      </c>
      <c r="C621" s="381" t="str">
        <f>'Event Details'!E$28</f>
        <v>Tamworth</v>
      </c>
      <c r="D621" s="379"/>
      <c r="E621" s="378"/>
      <c r="F621" s="363" t="str">
        <f>VLOOKUP($B614,IF($H614="F",TeamSheetFemale,TeamSheetMale),$Y621-1,FALSE)</f>
        <v>F</v>
      </c>
      <c r="G621" s="380">
        <f>VLOOKUP($B614,IF($H614="F",TeamSheetFemale,TeamSheetMale),$Y621,FALSE)</f>
        <v>0</v>
      </c>
      <c r="H621" s="363" t="str">
        <f>VLOOKUP($B614,IF($H614="F",TeamSheetFemale,TeamSheetMale),$Y621+1,FALSE)</f>
        <v>FF</v>
      </c>
      <c r="I621" s="364">
        <f>VLOOKUP($B614,IF($H614="F",TeamSheetFemale,TeamSheetMale),$Y621+2,FALSE)</f>
        <v>0</v>
      </c>
      <c r="K621" s="341" t="s">
        <v>277</v>
      </c>
      <c r="L621" s="16" t="str">
        <f t="shared" si="544"/>
        <v/>
      </c>
      <c r="M621" s="927"/>
      <c r="N621" s="927"/>
      <c r="O621" s="354" t="str">
        <f>IF(LEN($M621)=1,VLOOKUP(LEFT($M621,1),B615:I622,5,FALSE),IF(LEN($M621)=2,VLOOKUP(LEFT($M621,1),B615:I622,7,FALSE),""))</f>
        <v/>
      </c>
      <c r="P621" s="410" t="str">
        <f>IF(LEN($M621)=1,VLOOKUP(LEFT($M621,1),B615:I622,6,FALSE),IF(LEN($M621)=2,VLOOKUP(LEFT($M621,1),B615:I622,8,FALSE),""))</f>
        <v/>
      </c>
      <c r="Q621" s="371" t="s">
        <v>277</v>
      </c>
      <c r="R621" s="146" t="str">
        <f t="shared" si="545"/>
        <v/>
      </c>
      <c r="S621" s="927"/>
      <c r="T621" s="927"/>
      <c r="U621" s="354" t="str">
        <f>IF(LEN($S621)=1,VLOOKUP(LEFT($S621,1),B615:I622,5,FALSE),IF(LEN($S621)=2,VLOOKUP(LEFT($S621,1),B615:I622,7,FALSE),""))</f>
        <v/>
      </c>
      <c r="V621" s="410" t="str">
        <f>IF(LEN($S621)=1,VLOOKUP(LEFT($S621,1),B615:I622,6,FALSE),IF(LEN($S621)=2,VLOOKUP(LEFT($S621,1),B615:I622,8,FALSE),""))</f>
        <v/>
      </c>
      <c r="W621" s="417">
        <f t="shared" si="552"/>
        <v>2</v>
      </c>
      <c r="Y621" s="16">
        <v>37</v>
      </c>
      <c r="Z621" s="16">
        <f t="shared" si="546"/>
        <v>0</v>
      </c>
      <c r="AA621" s="146">
        <f t="shared" si="547"/>
        <v>0</v>
      </c>
      <c r="AC621" s="16" t="str">
        <f t="shared" si="548"/>
        <v>F</v>
      </c>
      <c r="AD621" s="419" t="str">
        <f t="shared" si="548"/>
        <v>Tamworth</v>
      </c>
      <c r="AE621" s="419">
        <f>IF(ISNA(MATCH(AC621,N613:N622,0)),0,VLOOKUP(AC621,N613:S622,5,FALSE))</f>
        <v>0</v>
      </c>
      <c r="AF621" s="419" t="str">
        <f>IF(ISNA(MATCH(AC621,T613:T622,0))," ",VLOOKUP(AC621,T613:Y622,5,FALSE))</f>
        <v xml:space="preserve"> </v>
      </c>
      <c r="AG621" s="419">
        <f>IF(ISNA(MATCH(AC621,L615:L622,0)),0,VLOOKUP(AC621,L615:N622,3,FALSE))</f>
        <v>0</v>
      </c>
      <c r="AH621" s="419">
        <f>IF(ISNA(MATCH(AC621,R615:R622,0)),0,VLOOKUP(AC621,R615:T622,3,FALSE))</f>
        <v>0</v>
      </c>
      <c r="AI621" s="419">
        <f>IF(ISNA(MATCH(AC621,L615:L622,0)),0,VLOOKUP(AC621,L615:P622,4,FALSE))</f>
        <v>0</v>
      </c>
      <c r="AJ621" s="419">
        <f>IF(ISNA(MATCH(AC621,R615:R622,0)),0,VLOOKUP(AC621,R615:U622,4,FALSE))</f>
        <v>0</v>
      </c>
      <c r="AK621" s="32">
        <f t="shared" si="549"/>
        <v>0</v>
      </c>
      <c r="AL621" s="32">
        <f t="shared" si="550"/>
        <v>0</v>
      </c>
      <c r="AM621" s="32">
        <f>IF(ISNA(MATCH(AC621,L615:L622,0)),0,VLOOKUP(AC621,L615:W622,AM$1,FALSE))</f>
        <v>0</v>
      </c>
      <c r="AN621" s="146">
        <f>IF(ISNA(MATCH(AC621,R615:R622,0)),0,VLOOKUP(AC621,R615:W622,AN$1,FALSE))</f>
        <v>0</v>
      </c>
      <c r="AP621" s="927"/>
      <c r="AQ621" s="927"/>
    </row>
    <row r="622" spans="1:47" ht="16.2" thickBot="1" x14ac:dyDescent="0.35">
      <c r="A622" s="418">
        <f t="shared" si="551"/>
        <v>558</v>
      </c>
      <c r="B622" s="365" t="str">
        <f>'Event Details'!D$29</f>
        <v>Y</v>
      </c>
      <c r="C622" s="366" t="str">
        <f>'Event Details'!E$29</f>
        <v>Worcester</v>
      </c>
      <c r="D622" s="361"/>
      <c r="E622" s="370"/>
      <c r="F622" s="367" t="str">
        <f>VLOOKUP($B614,IF($H614="F",TeamSheetFemale,TeamSheetMale),$Y622-1,FALSE)</f>
        <v>Y</v>
      </c>
      <c r="G622" s="368" t="str">
        <f>VLOOKUP($B614,IF($H614="F",TeamSheetFemale,TeamSheetMale),$Y622,FALSE)</f>
        <v>Zachary Hope</v>
      </c>
      <c r="H622" s="367" t="str">
        <f>VLOOKUP($B614,IF($H614="F",TeamSheetFemale,TeamSheetMale),$Y622+1,FALSE)</f>
        <v>YY</v>
      </c>
      <c r="I622" s="369" t="str">
        <f>VLOOKUP($B614,IF($H614="F",TeamSheetFemale,TeamSheetMale),$Y622+2,FALSE)</f>
        <v>Alex Thompson</v>
      </c>
      <c r="K622" s="346" t="s">
        <v>278</v>
      </c>
      <c r="L622" s="25" t="str">
        <f t="shared" si="544"/>
        <v/>
      </c>
      <c r="M622" s="932"/>
      <c r="N622" s="932"/>
      <c r="O622" s="374" t="str">
        <f>IF(LEN($M622)=1,VLOOKUP(LEFT($M622,1),B615:I622,5,FALSE),IF(LEN($M622)=2,VLOOKUP(LEFT($M622,1),B615:I622,7,FALSE),""))</f>
        <v/>
      </c>
      <c r="P622" s="411" t="str">
        <f>IF(LEN($M622)=1,VLOOKUP(LEFT($M622,1),B615:I622,6,FALSE),IF(LEN($M622)=2,VLOOKUP(LEFT($M622,1),B615:I622,8,FALSE),""))</f>
        <v/>
      </c>
      <c r="Q622" s="407" t="s">
        <v>278</v>
      </c>
      <c r="R622" s="523" t="str">
        <f t="shared" si="545"/>
        <v/>
      </c>
      <c r="S622" s="932"/>
      <c r="T622" s="932"/>
      <c r="U622" s="374" t="str">
        <f>IF(LEN($S622)=1,VLOOKUP(LEFT($S622,1),B615:I622,5,FALSE),IF(LEN($S622)=2,VLOOKUP(LEFT($S622,1),B615:I622,7,FALSE),""))</f>
        <v/>
      </c>
      <c r="V622" s="411" t="str">
        <f>IF(LEN($S622)=1,VLOOKUP(LEFT($S622,1),B615:I622,6,FALSE),IF(LEN($S622)=2,VLOOKUP(LEFT($S622,1),B615:I622,8,FALSE),""))</f>
        <v/>
      </c>
      <c r="W622" s="418">
        <f t="shared" si="552"/>
        <v>1</v>
      </c>
      <c r="Y622" s="25">
        <v>42</v>
      </c>
      <c r="Z622" s="25">
        <f t="shared" si="546"/>
        <v>0</v>
      </c>
      <c r="AA622" s="523">
        <f t="shared" si="547"/>
        <v>0</v>
      </c>
      <c r="AC622" s="25" t="str">
        <f t="shared" si="548"/>
        <v>Y</v>
      </c>
      <c r="AD622" s="624" t="str">
        <f t="shared" si="548"/>
        <v>Worcester</v>
      </c>
      <c r="AE622" s="624">
        <f>IF(ISNA(MATCH(AC622,N614:N623,0)),0,VLOOKUP(AC622,N614:S623,5,FALSE))</f>
        <v>0</v>
      </c>
      <c r="AF622" s="624" t="str">
        <f t="shared" ref="AF622" si="553">IF(ISNA(MATCH(AC622,T614:T623,0))," ",VLOOKUP(AC622,T614:Y623,5,FALSE))</f>
        <v xml:space="preserve"> </v>
      </c>
      <c r="AG622" s="624" t="str">
        <f>IF(ISNA(MATCH(AC622,L615:L622,0)),0,VLOOKUP(AC622,L615:N622,3,FALSE))</f>
        <v>5.16.2</v>
      </c>
      <c r="AH622" s="624" t="str">
        <f>IF(ISNA(MATCH(AC622,R615:R622,0)),0,VLOOKUP(AC622,R615:T622,3,FALSE))</f>
        <v>5.18.8</v>
      </c>
      <c r="AI622" s="624" t="str">
        <f>IF(ISNA(MATCH(AC622,L615:L622,0)),0,VLOOKUP(AC622,L615:P622,4,FALSE))</f>
        <v>Y</v>
      </c>
      <c r="AJ622" s="624" t="str">
        <f>IF(ISNA(MATCH(AC622,R615:R622,0)),0,VLOOKUP(AC622,R615:U622,4,FALSE))</f>
        <v>YY</v>
      </c>
      <c r="AK622" s="116">
        <f t="shared" si="549"/>
        <v>6</v>
      </c>
      <c r="AL622" s="116">
        <f t="shared" si="550"/>
        <v>4</v>
      </c>
      <c r="AM622" s="116">
        <f>IF(ISNA(MATCH(AC622,L615:L622,0)),0,VLOOKUP(AC622,L615:W622,AM$1,FALSE))</f>
        <v>3</v>
      </c>
      <c r="AN622" s="523">
        <f>IF(ISNA(MATCH(AC622,R615:R622,0)),0,VLOOKUP(AC622,R615:W622,AN$1,FALSE))</f>
        <v>5</v>
      </c>
      <c r="AP622" s="932"/>
      <c r="AQ622" s="932"/>
    </row>
    <row r="623" spans="1:47" ht="15" thickBot="1" x14ac:dyDescent="0.35">
      <c r="K623" s="1207" t="s">
        <v>279</v>
      </c>
      <c r="L623" s="1011"/>
      <c r="M623" s="276"/>
      <c r="N623" s="307"/>
      <c r="R623" s="1011"/>
      <c r="S623" s="276"/>
      <c r="T623" s="276"/>
      <c r="AP623" s="276"/>
      <c r="AQ623" s="276"/>
    </row>
    <row r="624" spans="1:47" x14ac:dyDescent="0.3">
      <c r="B624" s="400" t="s">
        <v>258</v>
      </c>
      <c r="C624" s="398"/>
      <c r="D624" s="401" t="s">
        <v>165</v>
      </c>
      <c r="E624" s="398"/>
      <c r="F624" s="398"/>
      <c r="G624" s="402" t="s">
        <v>259</v>
      </c>
      <c r="H624" s="403" t="s">
        <v>249</v>
      </c>
      <c r="I624" s="404" t="s">
        <v>168</v>
      </c>
      <c r="K624" s="360"/>
      <c r="L624" s="661"/>
      <c r="M624" s="387" t="s">
        <v>260</v>
      </c>
      <c r="N624" s="387" t="s">
        <v>261</v>
      </c>
      <c r="O624" s="387" t="s">
        <v>262</v>
      </c>
      <c r="P624" s="388" t="s">
        <v>75</v>
      </c>
      <c r="Q624" s="389"/>
      <c r="R624" s="657"/>
      <c r="S624" s="387" t="s">
        <v>260</v>
      </c>
      <c r="T624" s="387" t="s">
        <v>261</v>
      </c>
      <c r="U624" s="387" t="s">
        <v>262</v>
      </c>
      <c r="V624" s="388" t="s">
        <v>75</v>
      </c>
      <c r="W624" s="672" t="s">
        <v>76</v>
      </c>
      <c r="Y624" s="414" t="s">
        <v>263</v>
      </c>
      <c r="Z624" s="656" t="s">
        <v>74</v>
      </c>
      <c r="AA624" s="657" t="s">
        <v>75</v>
      </c>
      <c r="AC624" s="665" t="s">
        <v>71</v>
      </c>
      <c r="AD624" s="657" t="s">
        <v>86</v>
      </c>
      <c r="AE624" s="661" t="s">
        <v>149</v>
      </c>
      <c r="AF624" s="661" t="s">
        <v>94</v>
      </c>
      <c r="AG624" s="661" t="s">
        <v>149</v>
      </c>
      <c r="AH624" s="661" t="s">
        <v>94</v>
      </c>
      <c r="AI624" s="661" t="s">
        <v>149</v>
      </c>
      <c r="AJ624" s="661" t="s">
        <v>94</v>
      </c>
      <c r="AK624" s="1332" t="s">
        <v>149</v>
      </c>
      <c r="AL624" s="661" t="s">
        <v>94</v>
      </c>
      <c r="AM624" s="1406" t="s">
        <v>76</v>
      </c>
      <c r="AN624" s="1407"/>
      <c r="AP624" s="387" t="s">
        <v>260</v>
      </c>
      <c r="AQ624" s="387" t="s">
        <v>261</v>
      </c>
      <c r="AS624" s="1218" t="s">
        <v>165</v>
      </c>
      <c r="AT624" s="1219" t="s">
        <v>79</v>
      </c>
      <c r="AU624" s="1220" t="s">
        <v>80</v>
      </c>
    </row>
    <row r="625" spans="1:47" ht="15" thickBot="1" x14ac:dyDescent="0.35">
      <c r="B625" s="405">
        <v>56</v>
      </c>
      <c r="C625" s="399"/>
      <c r="D625" s="385" t="str">
        <f>VLOOKUP($B625,EventOrder,6,FALSE)</f>
        <v xml:space="preserve">1500m </v>
      </c>
      <c r="E625" s="399"/>
      <c r="F625" s="385"/>
      <c r="G625" s="386" t="str">
        <f>VLOOKUP($B625,EventOrder,4,FALSE)</f>
        <v>U16 Male</v>
      </c>
      <c r="H625" s="396" t="str">
        <f>IF(MID(G625,5,1)="F","F","M")</f>
        <v>M</v>
      </c>
      <c r="I625" s="397">
        <f>VLOOKUP($B625,EventOrder,2,FALSE)</f>
        <v>3.2</v>
      </c>
      <c r="K625" s="377"/>
      <c r="L625" s="667" t="s">
        <v>149</v>
      </c>
      <c r="M625" s="409" t="s">
        <v>264</v>
      </c>
      <c r="N625" s="409" t="s">
        <v>265</v>
      </c>
      <c r="O625" s="390" t="s">
        <v>266</v>
      </c>
      <c r="P625" s="391"/>
      <c r="Q625" s="392"/>
      <c r="R625" s="659" t="s">
        <v>94</v>
      </c>
      <c r="S625" s="409" t="s">
        <v>264</v>
      </c>
      <c r="T625" s="409" t="s">
        <v>265</v>
      </c>
      <c r="U625" s="390" t="s">
        <v>266</v>
      </c>
      <c r="V625" s="391"/>
      <c r="W625" s="671"/>
      <c r="Y625" s="415" t="s">
        <v>167</v>
      </c>
      <c r="Z625" s="658" t="s">
        <v>149</v>
      </c>
      <c r="AA625" s="659" t="s">
        <v>94</v>
      </c>
      <c r="AC625" s="666"/>
      <c r="AD625" s="668"/>
      <c r="AE625" s="768" t="s">
        <v>75</v>
      </c>
      <c r="AF625" s="768" t="s">
        <v>75</v>
      </c>
      <c r="AG625" s="768" t="s">
        <v>267</v>
      </c>
      <c r="AH625" s="768" t="s">
        <v>267</v>
      </c>
      <c r="AI625" s="768" t="s">
        <v>268</v>
      </c>
      <c r="AJ625" s="768" t="s">
        <v>268</v>
      </c>
      <c r="AK625" s="770" t="s">
        <v>269</v>
      </c>
      <c r="AL625" s="768" t="s">
        <v>269</v>
      </c>
      <c r="AM625" s="667" t="s">
        <v>149</v>
      </c>
      <c r="AN625" s="659" t="s">
        <v>94</v>
      </c>
      <c r="AP625" s="409" t="s">
        <v>264</v>
      </c>
      <c r="AQ625" s="409" t="s">
        <v>265</v>
      </c>
      <c r="AS625" s="1221" t="s">
        <v>270</v>
      </c>
      <c r="AT625" s="1222" t="s">
        <v>270</v>
      </c>
      <c r="AU625" s="1223" t="s">
        <v>270</v>
      </c>
    </row>
    <row r="626" spans="1:47" ht="15.6" x14ac:dyDescent="0.3">
      <c r="A626" s="416">
        <f>(B625*10)+1</f>
        <v>561</v>
      </c>
      <c r="B626" s="362" t="str">
        <f>'Event Details'!D$22</f>
        <v>S</v>
      </c>
      <c r="C626" s="381" t="str">
        <f>'Event Details'!E$22</f>
        <v>BRAT</v>
      </c>
      <c r="D626" s="379"/>
      <c r="E626" s="378"/>
      <c r="F626" s="363" t="str">
        <f>VLOOKUP($B625,IF($H625="F",TeamSheetFemale,TeamSheetMale),$Y626-1,FALSE)</f>
        <v>S</v>
      </c>
      <c r="G626" s="380" t="str">
        <f>VLOOKUP($B625,IF($H625="F",TeamSheetFemale,TeamSheetMale),$Y626,FALSE)</f>
        <v>Toby Sykes</v>
      </c>
      <c r="H626" s="363" t="str">
        <f>VLOOKUP($B625,IF($H625="F",TeamSheetFemale,TeamSheetMale),$Y626+1,FALSE)</f>
        <v>SS</v>
      </c>
      <c r="I626" s="364" t="str">
        <f>VLOOKUP($B625,IF($H625="F",TeamSheetFemale,TeamSheetMale),$Y626+2,FALSE)</f>
        <v>Joseph Baker</v>
      </c>
      <c r="K626" s="393" t="s">
        <v>271</v>
      </c>
      <c r="L626" s="16" t="str">
        <f t="shared" ref="L626:L633" si="554">LEFT(M626,1)</f>
        <v>S</v>
      </c>
      <c r="M626" s="926" t="s">
        <v>100</v>
      </c>
      <c r="N626" s="926" t="s">
        <v>1079</v>
      </c>
      <c r="O626" s="394" t="str">
        <f>IF(LEN($M626)=1,VLOOKUP(LEFT($M626,1),B626:I633,5,FALSE),IF(LEN($M626)=2,VLOOKUP(LEFT($M626,1),B626:I633,7,FALSE),""))</f>
        <v>S</v>
      </c>
      <c r="P626" s="395" t="str">
        <f>IF(LEN($M626)=1,VLOOKUP(LEFT($M626,1),B626:I633,6,FALSE),IF(LEN($M626)=2,VLOOKUP(LEFT($M626,1),B626:I633,8,FALSE),""))</f>
        <v>Toby Sykes</v>
      </c>
      <c r="Q626" s="393" t="s">
        <v>271</v>
      </c>
      <c r="R626" s="146" t="str">
        <f t="shared" ref="R626:R633" si="555">LEFT(S626,1)</f>
        <v>S</v>
      </c>
      <c r="S626" s="926" t="s">
        <v>818</v>
      </c>
      <c r="T626" s="926" t="s">
        <v>1083</v>
      </c>
      <c r="U626" s="394" t="str">
        <f>IF(LEN($S626)=1,VLOOKUP(LEFT($S626,1),B626:I633,5,FALSE),IF(LEN($S626)=2,VLOOKUP(LEFT($S626,1),B626:I633,7,FALSE),""))</f>
        <v>SS</v>
      </c>
      <c r="V626" s="395" t="str">
        <f>IF(LEN($S626)=1,VLOOKUP(LEFT($S626,1),B626:I633,6,FALSE),IF(LEN($S626)=2,VLOOKUP(LEFT($S626,1),B626:I633,8,FALSE),""))</f>
        <v>Joseph Baker</v>
      </c>
      <c r="W626" s="417">
        <f>AN$6</f>
        <v>8</v>
      </c>
      <c r="Y626" s="416">
        <v>7</v>
      </c>
      <c r="Z626" s="653" t="str">
        <f t="shared" ref="Z626:Z633" si="556">IF(LEN(M626)&gt;0,VLOOKUP(LEFT(M626,1),ShortName,5,FALSE),0)</f>
        <v>BRAT</v>
      </c>
      <c r="AA626" s="138" t="str">
        <f t="shared" ref="AA626:AA633" si="557">IF(LEN(S626)&gt;0,VLOOKUP(LEFT(S626,1),ShortName,5,FALSE),0)</f>
        <v>BRAT</v>
      </c>
      <c r="AC626" s="16" t="str">
        <f t="shared" ref="AC626:AD633" si="558">B626</f>
        <v>S</v>
      </c>
      <c r="AD626" s="419" t="str">
        <f t="shared" si="558"/>
        <v>BRAT</v>
      </c>
      <c r="AE626" s="635">
        <f>IF(ISNA(MATCH(AC626,N626:N635,0)),0,VLOOKUP(AC626,N626:S635,5,FALSE))</f>
        <v>0</v>
      </c>
      <c r="AF626" s="635" t="str">
        <f>IF(ISNA(MATCH(AC626,T626:T635,0))," ",VLOOKUP(AC626,T626:Y635,5,FALSE))</f>
        <v xml:space="preserve"> </v>
      </c>
      <c r="AG626" s="635" t="str">
        <f>IF(ISNA(MATCH(AC626,L626:L633,0)),0,VLOOKUP(AC626,L626:N633,3,FALSE))</f>
        <v>4.43.5</v>
      </c>
      <c r="AH626" s="635" t="str">
        <f>IF(ISNA(MATCH(AC626,R626:R633,0)),0,VLOOKUP(AC626,R626:T633,3,FALSE))</f>
        <v>5.04.6</v>
      </c>
      <c r="AI626" s="635" t="str">
        <f>IF(ISNA(MATCH(AC626,L626:L633,0)),0,VLOOKUP(AC626,L626:P633,4,FALSE))</f>
        <v>S</v>
      </c>
      <c r="AJ626" s="635" t="str">
        <f>IF(ISNA(MATCH(AC626,R626:R633,0)),0,VLOOKUP(AC626,R626:U633,4,FALSE))</f>
        <v>SS</v>
      </c>
      <c r="AK626" s="49">
        <f t="shared" ref="AK626:AK633" si="559">IF(AM626=0,0,AN$6-(AM626-1))</f>
        <v>1</v>
      </c>
      <c r="AL626" s="49">
        <f t="shared" ref="AL626:AL633" si="560">IF(AN626=0,0,AN$6-(AN626-1))</f>
        <v>1</v>
      </c>
      <c r="AM626" s="49">
        <f>IF(ISNA(MATCH(AC626,L626:L633,0)),0,VLOOKUP(AC626,L626:W633,AM$1,FALSE))</f>
        <v>8</v>
      </c>
      <c r="AN626" s="138">
        <f>IF(ISNA(MATCH(AC626,R626:R633,0)),0,VLOOKUP(AC626,R626:W633,AN$1,FALSE))</f>
        <v>8</v>
      </c>
      <c r="AP626" s="926"/>
      <c r="AQ626" s="926"/>
      <c r="AS626" s="32">
        <f>IF(LEN(N626)&gt;0,1,0)</f>
        <v>1</v>
      </c>
      <c r="AT626" s="32">
        <f>IF(AND(AS626=1,H625="M"),1,0)</f>
        <v>1</v>
      </c>
      <c r="AU626" s="32">
        <f>IF(AND(AS626=1,H625="F"),1,0)</f>
        <v>0</v>
      </c>
    </row>
    <row r="627" spans="1:47" ht="15.6" x14ac:dyDescent="0.3">
      <c r="A627" s="417">
        <f>A626+1</f>
        <v>562</v>
      </c>
      <c r="B627" s="362" t="str">
        <f>'Event Details'!D$23</f>
        <v>U</v>
      </c>
      <c r="C627" s="381" t="str">
        <f>'Event Details'!E$23</f>
        <v>Kidder &amp; Stourport</v>
      </c>
      <c r="D627" s="379"/>
      <c r="E627" s="378"/>
      <c r="F627" s="363" t="str">
        <f>VLOOKUP($B625,IF($H625="F",TeamSheetFemale,TeamSheetMale),$Y627-1,FALSE)</f>
        <v>U</v>
      </c>
      <c r="G627" s="380" t="str">
        <f>VLOOKUP($B625,IF($H625="F",TeamSheetFemale,TeamSheetMale),$Y627,FALSE)</f>
        <v>Ryan Morgan</v>
      </c>
      <c r="H627" s="363">
        <f>VLOOKUP($B625,IF($H625="F",TeamSheetFemale,TeamSheetMale),$Y627+1,FALSE)</f>
        <v>0</v>
      </c>
      <c r="I627" s="364">
        <f>VLOOKUP($B625,IF($H625="F",TeamSheetFemale,TeamSheetMale),$Y627+2,FALSE)</f>
        <v>0</v>
      </c>
      <c r="K627" s="341" t="s">
        <v>272</v>
      </c>
      <c r="L627" s="16" t="str">
        <f t="shared" si="554"/>
        <v>R</v>
      </c>
      <c r="M627" s="927" t="s">
        <v>118</v>
      </c>
      <c r="N627" s="927" t="s">
        <v>1080</v>
      </c>
      <c r="O627" s="353" t="str">
        <f>IF(LEN($M627)=1,VLOOKUP(LEFT($M627,1),B626:I633,5,FALSE),IF(LEN($M627)=2,VLOOKUP(LEFT($M627,1),B626:I633,7,FALSE),""))</f>
        <v>R</v>
      </c>
      <c r="P627" s="373" t="str">
        <f>IF(LEN($M627)=1,VLOOKUP(LEFT($M627,1),B626:I633,6,FALSE),IF(LEN($M627)=2,VLOOKUP(LEFT($M627,1),B626:I633,8,FALSE),""))</f>
        <v>Miles Taylor</v>
      </c>
      <c r="Q627" s="341" t="s">
        <v>272</v>
      </c>
      <c r="R627" s="146" t="str">
        <f t="shared" si="555"/>
        <v>R</v>
      </c>
      <c r="S627" s="927" t="s">
        <v>819</v>
      </c>
      <c r="T627" s="927" t="s">
        <v>1084</v>
      </c>
      <c r="U627" s="353" t="str">
        <f>IF(LEN($S627)=1,VLOOKUP(LEFT($S627,1),B626:I633,5,FALSE),IF(LEN($S627)=2,VLOOKUP(LEFT($S627,1),B626:I633,7,FALSE),""))</f>
        <v>RR</v>
      </c>
      <c r="V627" s="373" t="str">
        <f>IF(LEN($S627)=1,VLOOKUP(LEFT($S627,1),B626:I633,6,FALSE),IF(LEN($S627)=2,VLOOKUP(LEFT($S627,1),B626:I633,8,FALSE),""))</f>
        <v>Ryan Jennings</v>
      </c>
      <c r="W627" s="417">
        <f>W626-1</f>
        <v>7</v>
      </c>
      <c r="Y627" s="417">
        <v>12</v>
      </c>
      <c r="Z627" s="16" t="str">
        <f t="shared" si="556"/>
        <v>Rugby</v>
      </c>
      <c r="AA627" s="146" t="str">
        <f t="shared" si="557"/>
        <v>Rugby</v>
      </c>
      <c r="AC627" s="16" t="str">
        <f t="shared" si="558"/>
        <v>U</v>
      </c>
      <c r="AD627" s="419" t="str">
        <f t="shared" si="558"/>
        <v>Kidder &amp; Stourport</v>
      </c>
      <c r="AE627" s="419">
        <f>IF(ISNA(MATCH(AC627,N626:N635,0)),0,VLOOKUP(AC627,N626:S635,5,FALSE))</f>
        <v>0</v>
      </c>
      <c r="AF627" s="419" t="str">
        <f>IF(ISNA(MATCH(AC627,T626:T635,0))," ",VLOOKUP(AC627,T626:Y635,5,FALSE))</f>
        <v xml:space="preserve"> </v>
      </c>
      <c r="AG627" s="419" t="str">
        <f>IF(ISNA(MATCH(AC627,L626:L633,0)),0,VLOOKUP(AC627,L626:N633,3,FALSE))</f>
        <v>5.24.5</v>
      </c>
      <c r="AH627" s="419">
        <f>IF(ISNA(MATCH(AC627,R626:R633,0)),0,VLOOKUP(AC627,R626:T633,3,FALSE))</f>
        <v>0</v>
      </c>
      <c r="AI627" s="419" t="str">
        <f>IF(ISNA(MATCH(AC627,L626:L633,0)),0,VLOOKUP(AC627,L626:P633,4,FALSE))</f>
        <v>U</v>
      </c>
      <c r="AJ627" s="419">
        <f>IF(ISNA(MATCH(AC627,R626:R633,0)),0,VLOOKUP(AC627,R626:U633,4,FALSE))</f>
        <v>0</v>
      </c>
      <c r="AK627" s="32">
        <f t="shared" si="559"/>
        <v>4</v>
      </c>
      <c r="AL627" s="32">
        <f t="shared" si="560"/>
        <v>0</v>
      </c>
      <c r="AM627" s="32">
        <f>IF(ISNA(MATCH(AC627,L626:L633,0)),0,VLOOKUP(AC627,L626:W633,AM$1,FALSE))</f>
        <v>5</v>
      </c>
      <c r="AN627" s="146">
        <f>IF(ISNA(MATCH(AC627,R626:R633,0)),0,VLOOKUP(AC627,R626:W633,AN$1,FALSE))</f>
        <v>0</v>
      </c>
      <c r="AP627" s="927"/>
      <c r="AQ627" s="927"/>
    </row>
    <row r="628" spans="1:47" ht="15.6" x14ac:dyDescent="0.3">
      <c r="A628" s="417">
        <f t="shared" ref="A628:A633" si="561">A627+1</f>
        <v>563</v>
      </c>
      <c r="B628" s="362" t="str">
        <f>'Event Details'!D$24</f>
        <v>G</v>
      </c>
      <c r="C628" s="381" t="str">
        <f>'Event Details'!E$24</f>
        <v>Royal Sutton</v>
      </c>
      <c r="D628" s="379"/>
      <c r="E628" s="378"/>
      <c r="F628" s="363" t="str">
        <f>VLOOKUP($B625,IF($H625="F",TeamSheetFemale,TeamSheetMale),$Y628-1,FALSE)</f>
        <v>G</v>
      </c>
      <c r="G628" s="380" t="str">
        <f>VLOOKUP($B625,IF($H625="F",TeamSheetFemale,TeamSheetMale),$Y628,FALSE)</f>
        <v>Jack Radnor</v>
      </c>
      <c r="H628" s="363" t="str">
        <f>VLOOKUP($B625,IF($H625="F",TeamSheetFemale,TeamSheetMale),$Y628+1,FALSE)</f>
        <v>GG</v>
      </c>
      <c r="I628" s="364">
        <f>VLOOKUP($B625,IF($H625="F",TeamSheetFemale,TeamSheetMale),$Y628+2,FALSE)</f>
        <v>0</v>
      </c>
      <c r="K628" s="341" t="s">
        <v>273</v>
      </c>
      <c r="L628" s="16" t="str">
        <f t="shared" si="554"/>
        <v>D</v>
      </c>
      <c r="M628" s="927" t="s">
        <v>136</v>
      </c>
      <c r="N628" s="927" t="s">
        <v>956</v>
      </c>
      <c r="O628" s="353" t="str">
        <f>IF(LEN($M628)=1,VLOOKUP(LEFT($M628,1),B626:I633,5,FALSE),IF(LEN($M628)=2,VLOOKUP(LEFT($M628,1),B626:I633,7,FALSE),""))</f>
        <v>D</v>
      </c>
      <c r="P628" s="373" t="str">
        <f>IF(LEN($M628)=1,VLOOKUP(LEFT($M628,1),B626:I633,6,FALSE),IF(LEN($M628)=2,VLOOKUP(LEFT($M628,1),B626:I633,8,FALSE),""))</f>
        <v>Toby Wilkinson</v>
      </c>
      <c r="Q628" s="341" t="s">
        <v>273</v>
      </c>
      <c r="R628" s="146" t="str">
        <f t="shared" si="555"/>
        <v>Y</v>
      </c>
      <c r="S628" s="927" t="s">
        <v>822</v>
      </c>
      <c r="T628" s="927" t="s">
        <v>1085</v>
      </c>
      <c r="U628" s="353" t="str">
        <f>IF(LEN($S628)=1,VLOOKUP(LEFT($S628,1),B626:I633,5,FALSE),IF(LEN($S628)=2,VLOOKUP(LEFT($S628,1),B626:I633,7,FALSE),""))</f>
        <v>YY</v>
      </c>
      <c r="V628" s="373" t="str">
        <f>IF(LEN($S628)=1,VLOOKUP(LEFT($S628,1),B626:I633,6,FALSE),IF(LEN($S628)=2,VLOOKUP(LEFT($S628,1),B626:I633,8,FALSE),""))</f>
        <v>Harry Groves</v>
      </c>
      <c r="W628" s="417">
        <f t="shared" ref="W628:W633" si="562">W627-1</f>
        <v>6</v>
      </c>
      <c r="Y628" s="417">
        <v>17</v>
      </c>
      <c r="Z628" s="16" t="str">
        <f t="shared" si="556"/>
        <v>Strat</v>
      </c>
      <c r="AA628" s="146" t="str">
        <f t="shared" si="557"/>
        <v>Worc</v>
      </c>
      <c r="AB628" s="32"/>
      <c r="AC628" s="16" t="str">
        <f t="shared" si="558"/>
        <v>G</v>
      </c>
      <c r="AD628" s="419" t="str">
        <f t="shared" si="558"/>
        <v>Royal Sutton</v>
      </c>
      <c r="AE628" s="419">
        <f>IF(ISNA(MATCH(AC628,N626:N635,0)),0,VLOOKUP(AC628,N626:S635,5,FALSE))</f>
        <v>0</v>
      </c>
      <c r="AF628" s="419" t="str">
        <f>IF(ISNA(MATCH(AC628,T626:T635,0))," ",VLOOKUP(AC628,T626:Y635,5,FALSE))</f>
        <v xml:space="preserve"> </v>
      </c>
      <c r="AG628" s="419">
        <f>IF(ISNA(MATCH(AC628,L626:L633,0)),0,VLOOKUP(AC628,L626:N633,3,FALSE))</f>
        <v>0</v>
      </c>
      <c r="AH628" s="419">
        <f>IF(ISNA(MATCH(AC628,R626:R633,0)),0,VLOOKUP(AC628,R626:T633,3,FALSE))</f>
        <v>0</v>
      </c>
      <c r="AI628" s="419">
        <f>IF(ISNA(MATCH(AC628,L626:L633,0)),0,VLOOKUP(AC628,L626:P633,4,FALSE))</f>
        <v>0</v>
      </c>
      <c r="AJ628" s="419">
        <f>IF(ISNA(MATCH(AC628,R626:R633,0)),0,VLOOKUP(AC628,R626:U633,4,FALSE))</f>
        <v>0</v>
      </c>
      <c r="AK628" s="32">
        <f t="shared" si="559"/>
        <v>0</v>
      </c>
      <c r="AL628" s="32">
        <f t="shared" si="560"/>
        <v>0</v>
      </c>
      <c r="AM628" s="32">
        <f>IF(ISNA(MATCH(AC628,L626:L633,0)),0,VLOOKUP(AC628,L626:W633,AM$1,FALSE))</f>
        <v>0</v>
      </c>
      <c r="AN628" s="146">
        <f>IF(ISNA(MATCH(AC628,R626:R633,0)),0,VLOOKUP(AC628,R626:W633,AN$1,FALSE))</f>
        <v>0</v>
      </c>
      <c r="AP628" s="927"/>
      <c r="AQ628" s="927"/>
    </row>
    <row r="629" spans="1:47" ht="15.6" x14ac:dyDescent="0.3">
      <c r="A629" s="417">
        <f t="shared" si="561"/>
        <v>564</v>
      </c>
      <c r="B629" s="362" t="str">
        <f>'Event Details'!D$25</f>
        <v>R</v>
      </c>
      <c r="C629" s="381" t="str">
        <f>'Event Details'!E$25</f>
        <v>Rugby &amp; N'hampton</v>
      </c>
      <c r="D629" s="379"/>
      <c r="E629" s="378"/>
      <c r="F629" s="363" t="str">
        <f>VLOOKUP($B625,IF($H625="F",TeamSheetFemale,TeamSheetMale),$Y629-1,FALSE)</f>
        <v>R</v>
      </c>
      <c r="G629" s="380" t="str">
        <f>VLOOKUP($B625,IF($H625="F",TeamSheetFemale,TeamSheetMale),$Y629,FALSE)</f>
        <v>Miles Taylor</v>
      </c>
      <c r="H629" s="363" t="str">
        <f>VLOOKUP($B625,IF($H625="F",TeamSheetFemale,TeamSheetMale),$Y629+1,FALSE)</f>
        <v>RR</v>
      </c>
      <c r="I629" s="364" t="str">
        <f>VLOOKUP($B625,IF($H625="F",TeamSheetFemale,TeamSheetMale),$Y629+2,FALSE)</f>
        <v>Ryan Jennings</v>
      </c>
      <c r="K629" s="341" t="s">
        <v>274</v>
      </c>
      <c r="L629" s="16" t="str">
        <f t="shared" si="554"/>
        <v>U</v>
      </c>
      <c r="M629" s="927" t="s">
        <v>130</v>
      </c>
      <c r="N629" s="927" t="s">
        <v>1081</v>
      </c>
      <c r="O629" s="353" t="str">
        <f>IF(LEN($M629)=1,VLOOKUP(LEFT($M629,1),B626:I633,5,FALSE),IF(LEN($M629)=2,VLOOKUP(LEFT($M629,1),B626:I633,7,FALSE),""))</f>
        <v>U</v>
      </c>
      <c r="P629" s="373" t="str">
        <f>IF(LEN($M629)=1,VLOOKUP(LEFT($M629,1),B626:I633,6,FALSE),IF(LEN($M629)=2,VLOOKUP(LEFT($M629,1),B626:I633,8,FALSE),""))</f>
        <v>Ryan Morgan</v>
      </c>
      <c r="Q629" s="341" t="s">
        <v>274</v>
      </c>
      <c r="R629" s="146" t="str">
        <f t="shared" si="555"/>
        <v/>
      </c>
      <c r="S629" s="927"/>
      <c r="T629" s="927"/>
      <c r="U629" s="353" t="str">
        <f>IF(LEN($S629)=1,VLOOKUP(LEFT($S629,1),B626:I633,5,FALSE),IF(LEN($S629)=2,VLOOKUP(LEFT($S629,1),B626:I633,7,FALSE),""))</f>
        <v/>
      </c>
      <c r="V629" s="373" t="str">
        <f>IF(LEN($S629)=1,VLOOKUP(LEFT($S629,1),B626:I633,6,FALSE),IF(LEN($S629)=2,VLOOKUP(LEFT($S629,1),B626:I633,8,FALSE),""))</f>
        <v/>
      </c>
      <c r="W629" s="417">
        <f t="shared" si="562"/>
        <v>5</v>
      </c>
      <c r="Y629" s="417">
        <v>22</v>
      </c>
      <c r="Z629" s="16" t="str">
        <f t="shared" si="556"/>
        <v>K&amp;S</v>
      </c>
      <c r="AA629" s="146">
        <f t="shared" si="557"/>
        <v>0</v>
      </c>
      <c r="AB629" s="32"/>
      <c r="AC629" s="16" t="str">
        <f t="shared" si="558"/>
        <v>R</v>
      </c>
      <c r="AD629" s="419" t="str">
        <f t="shared" si="558"/>
        <v>Rugby &amp; N'hampton</v>
      </c>
      <c r="AE629" s="419">
        <f>IF(ISNA(MATCH(AC629,N626:N635,0)),0,VLOOKUP(AC629,N626:S635,5,FALSE))</f>
        <v>0</v>
      </c>
      <c r="AF629" s="419" t="str">
        <f>IF(ISNA(MATCH(AC629,T626:T635,0))," ",VLOOKUP(AC629,T626:Y635,5,FALSE))</f>
        <v xml:space="preserve"> </v>
      </c>
      <c r="AG629" s="419" t="str">
        <f>IF(ISNA(MATCH(AC629,L626:L633,0)),0,VLOOKUP(AC629,L626:N633,3,FALSE))</f>
        <v>4.55.9</v>
      </c>
      <c r="AH629" s="419" t="str">
        <f>IF(ISNA(MATCH(AC629,R626:R633,0)),0,VLOOKUP(AC629,R626:T633,3,FALSE))</f>
        <v>5.19.7</v>
      </c>
      <c r="AI629" s="419" t="str">
        <f>IF(ISNA(MATCH(AC629,L626:L633,0)),0,VLOOKUP(AC629,L626:P633,4,FALSE))</f>
        <v>R</v>
      </c>
      <c r="AJ629" s="419" t="str">
        <f>IF(ISNA(MATCH(AC629,R626:R633,0)),0,VLOOKUP(AC629,R626:U633,4,FALSE))</f>
        <v>RR</v>
      </c>
      <c r="AK629" s="32">
        <f t="shared" si="559"/>
        <v>2</v>
      </c>
      <c r="AL629" s="32">
        <f t="shared" si="560"/>
        <v>2</v>
      </c>
      <c r="AM629" s="32">
        <f>IF(ISNA(MATCH(AC629,L626:L633,0)),0,VLOOKUP(AC629,L626:W633,AM$1,FALSE))</f>
        <v>7</v>
      </c>
      <c r="AN629" s="146">
        <f>IF(ISNA(MATCH(AC629,R626:R633,0)),0,VLOOKUP(AC629,R626:W633,AN$1,FALSE))</f>
        <v>7</v>
      </c>
      <c r="AP629" s="927"/>
      <c r="AQ629" s="927"/>
    </row>
    <row r="630" spans="1:47" ht="15.6" x14ac:dyDescent="0.3">
      <c r="A630" s="417">
        <f t="shared" si="561"/>
        <v>565</v>
      </c>
      <c r="B630" s="362" t="str">
        <f>'Event Details'!D$26</f>
        <v>M</v>
      </c>
      <c r="C630" s="381" t="str">
        <f>'Event Details'!E$26</f>
        <v>Solihull &amp; S.Heath</v>
      </c>
      <c r="D630" s="379"/>
      <c r="E630" s="378"/>
      <c r="F630" s="363">
        <f>VLOOKUP($B625,IF($H625="F",TeamSheetFemale,TeamSheetMale),$Y630-1,FALSE)</f>
        <v>0</v>
      </c>
      <c r="G630" s="380">
        <f>VLOOKUP($B625,IF($H625="F",TeamSheetFemale,TeamSheetMale),$Y630,FALSE)</f>
        <v>0</v>
      </c>
      <c r="H630" s="363">
        <f>VLOOKUP($B625,IF($H625="F",TeamSheetFemale,TeamSheetMale),$Y630+1,FALSE)</f>
        <v>0</v>
      </c>
      <c r="I630" s="364">
        <f>VLOOKUP($B625,IF($H625="F",TeamSheetFemale,TeamSheetMale),$Y630+2,FALSE)</f>
        <v>0</v>
      </c>
      <c r="K630" s="341" t="s">
        <v>275</v>
      </c>
      <c r="L630" s="16" t="str">
        <f t="shared" si="554"/>
        <v>Y</v>
      </c>
      <c r="M630" s="927" t="s">
        <v>151</v>
      </c>
      <c r="N630" s="927" t="s">
        <v>1082</v>
      </c>
      <c r="O630" s="353" t="str">
        <f>IF(LEN($M630)=1,VLOOKUP(LEFT($M630,1),B626:I633,5,FALSE),IF(LEN($M630)=2,VLOOKUP(LEFT($M630,1),B626:I633,7,FALSE),""))</f>
        <v>Y</v>
      </c>
      <c r="P630" s="373" t="str">
        <f>IF(LEN($M630)=1,VLOOKUP(LEFT($M630,1),B626:I633,6,FALSE),IF(LEN($M630)=2,VLOOKUP(LEFT($M630,1),B626:I633,8,FALSE),""))</f>
        <v>Tobias Collett</v>
      </c>
      <c r="Q630" s="341" t="s">
        <v>275</v>
      </c>
      <c r="R630" s="146" t="str">
        <f t="shared" si="555"/>
        <v/>
      </c>
      <c r="S630" s="927"/>
      <c r="T630" s="927"/>
      <c r="U630" s="353" t="str">
        <f>IF(LEN($S630)=1,VLOOKUP(LEFT($S630,1),B626:I633,5,FALSE),IF(LEN($S630)=2,VLOOKUP(LEFT($S630,1),B626:I633,7,FALSE),""))</f>
        <v/>
      </c>
      <c r="V630" s="373" t="str">
        <f>IF(LEN($S630)=1,VLOOKUP(LEFT($S630,1),B626:I633,6,FALSE),IF(LEN($S630)=2,VLOOKUP(LEFT($S630,1),B626:I633,8,FALSE),""))</f>
        <v/>
      </c>
      <c r="W630" s="417">
        <f t="shared" si="562"/>
        <v>4</v>
      </c>
      <c r="Y630" s="417">
        <v>27</v>
      </c>
      <c r="Z630" s="16" t="str">
        <f t="shared" si="556"/>
        <v>Worc</v>
      </c>
      <c r="AA630" s="146">
        <f t="shared" si="557"/>
        <v>0</v>
      </c>
      <c r="AB630" s="32"/>
      <c r="AC630" s="16" t="str">
        <f t="shared" si="558"/>
        <v>M</v>
      </c>
      <c r="AD630" s="419" t="str">
        <f t="shared" si="558"/>
        <v>Solihull &amp; S.Heath</v>
      </c>
      <c r="AE630" s="419">
        <f>IF(ISNA(MATCH(AC630,N626:N635,0)),0,VLOOKUP(AC630,N626:S635,5,FALSE))</f>
        <v>0</v>
      </c>
      <c r="AF630" s="419" t="str">
        <f>IF(ISNA(MATCH(AC630,T626:T635,0))," ",VLOOKUP(AC630,T626:Y635,5,FALSE))</f>
        <v xml:space="preserve"> </v>
      </c>
      <c r="AG630" s="419">
        <f>IF(ISNA(MATCH(AC630,L626:L633,0)),0,VLOOKUP(AC630,L626:N633,3,FALSE))</f>
        <v>0</v>
      </c>
      <c r="AH630" s="419">
        <f>IF(ISNA(MATCH(AC630,R626:R633,0)),0,VLOOKUP(AC630,R626:T633,3,FALSE))</f>
        <v>0</v>
      </c>
      <c r="AI630" s="419">
        <f>IF(ISNA(MATCH(AC630,L626:L633,0)),0,VLOOKUP(AC630,L626:P633,4,FALSE))</f>
        <v>0</v>
      </c>
      <c r="AJ630" s="419">
        <f>IF(ISNA(MATCH(AC630,R626:R633,0)),0,VLOOKUP(AC630,R626:U633,4,FALSE))</f>
        <v>0</v>
      </c>
      <c r="AK630" s="32">
        <f t="shared" si="559"/>
        <v>0</v>
      </c>
      <c r="AL630" s="32">
        <f t="shared" si="560"/>
        <v>0</v>
      </c>
      <c r="AM630" s="32">
        <f>IF(ISNA(MATCH(AC630,L626:L633,0)),0,VLOOKUP(AC630,L626:W633,AM$1,FALSE))</f>
        <v>0</v>
      </c>
      <c r="AN630" s="146">
        <f>IF(ISNA(MATCH(AC630,R626:R633,0)),0,VLOOKUP(AC630,R626:W633,AN$1,FALSE))</f>
        <v>0</v>
      </c>
      <c r="AP630" s="927"/>
      <c r="AQ630" s="927"/>
    </row>
    <row r="631" spans="1:47" ht="15.6" x14ac:dyDescent="0.3">
      <c r="A631" s="417">
        <f t="shared" si="561"/>
        <v>566</v>
      </c>
      <c r="B631" s="362" t="str">
        <f>'Event Details'!D$27</f>
        <v>D</v>
      </c>
      <c r="C631" s="381" t="str">
        <f>'Event Details'!E$27</f>
        <v>Stratford</v>
      </c>
      <c r="D631" s="379"/>
      <c r="E631" s="378"/>
      <c r="F631" s="363" t="str">
        <f>VLOOKUP($B625,IF($H625="F",TeamSheetFemale,TeamSheetMale),$Y631-1,FALSE)</f>
        <v>D</v>
      </c>
      <c r="G631" s="380" t="str">
        <f>VLOOKUP($B625,IF($H625="F",TeamSheetFemale,TeamSheetMale),$Y631,FALSE)</f>
        <v>Toby Wilkinson</v>
      </c>
      <c r="H631" s="363">
        <f>VLOOKUP($B625,IF($H625="F",TeamSheetFemale,TeamSheetMale),$Y631+1,FALSE)</f>
        <v>0</v>
      </c>
      <c r="I631" s="364">
        <f>VLOOKUP($B625,IF($H625="F",TeamSheetFemale,TeamSheetMale),$Y631+2,FALSE)</f>
        <v>0</v>
      </c>
      <c r="K631" s="341" t="s">
        <v>276</v>
      </c>
      <c r="L631" s="16" t="str">
        <f t="shared" si="554"/>
        <v/>
      </c>
      <c r="M631" s="927"/>
      <c r="N631" s="927"/>
      <c r="O631" s="353" t="str">
        <f>IF(LEN($M631)=1,VLOOKUP(LEFT($M631,1),B626:I633,5,FALSE),IF(LEN($M631)=2,VLOOKUP(LEFT($M631,1),B626:I633,7,FALSE),""))</f>
        <v/>
      </c>
      <c r="P631" s="373" t="str">
        <f>IF(LEN($M631)=1,VLOOKUP(LEFT($M631,1),B626:I633,6,FALSE),IF(LEN($M631)=2,VLOOKUP(LEFT($M631,1),B626:I633,8,FALSE),""))</f>
        <v/>
      </c>
      <c r="Q631" s="341" t="s">
        <v>276</v>
      </c>
      <c r="R631" s="146" t="str">
        <f t="shared" si="555"/>
        <v/>
      </c>
      <c r="S631" s="927"/>
      <c r="T631" s="927"/>
      <c r="U631" s="353" t="str">
        <f>IF(LEN($S631)=1,VLOOKUP(LEFT($S631,1),B626:I633,5,FALSE),IF(LEN($S631)=2,VLOOKUP(LEFT($S631,1),B626:I633,7,FALSE),""))</f>
        <v/>
      </c>
      <c r="V631" s="373" t="str">
        <f>IF(LEN($S631)=1,VLOOKUP(LEFT($S631,1),B626:I633,6,FALSE),IF(LEN($S631)=2,VLOOKUP(LEFT($S631,1),B626:I633,8,FALSE),""))</f>
        <v/>
      </c>
      <c r="W631" s="417">
        <f t="shared" si="562"/>
        <v>3</v>
      </c>
      <c r="Y631" s="417">
        <v>32</v>
      </c>
      <c r="Z631" s="16">
        <f t="shared" si="556"/>
        <v>0</v>
      </c>
      <c r="AA631" s="146">
        <f t="shared" si="557"/>
        <v>0</v>
      </c>
      <c r="AB631" s="32"/>
      <c r="AC631" s="16" t="str">
        <f t="shared" si="558"/>
        <v>D</v>
      </c>
      <c r="AD631" s="419" t="str">
        <f t="shared" si="558"/>
        <v>Stratford</v>
      </c>
      <c r="AE631" s="419">
        <f>IF(ISNA(MATCH(AC631,N626:N635,0)),0,VLOOKUP(AC631,N626:S635,5,FALSE))</f>
        <v>0</v>
      </c>
      <c r="AF631" s="419" t="str">
        <f>IF(ISNA(MATCH(AC631,T626:T635,0))," ",VLOOKUP(AC631,T626:Y635,5,FALSE))</f>
        <v xml:space="preserve"> </v>
      </c>
      <c r="AG631" s="419" t="str">
        <f>IF(ISNA(MATCH(AC631,L626:L633,0)),0,VLOOKUP(AC631,L626:N633,3,FALSE))</f>
        <v>4.59.5</v>
      </c>
      <c r="AH631" s="419">
        <f>IF(ISNA(MATCH(AC631,R626:R633,0)),0,VLOOKUP(AC631,R626:T633,3,FALSE))</f>
        <v>0</v>
      </c>
      <c r="AI631" s="419" t="str">
        <f>IF(ISNA(MATCH(AC631,L626:L633,0)),0,VLOOKUP(AC631,L626:P633,4,FALSE))</f>
        <v>D</v>
      </c>
      <c r="AJ631" s="419">
        <f>IF(ISNA(MATCH(AC631,R626:R633,0)),0,VLOOKUP(AC631,R626:U633,4,FALSE))</f>
        <v>0</v>
      </c>
      <c r="AK631" s="32">
        <f t="shared" si="559"/>
        <v>3</v>
      </c>
      <c r="AL631" s="32">
        <f t="shared" si="560"/>
        <v>0</v>
      </c>
      <c r="AM631" s="32">
        <f>IF(ISNA(MATCH(AC631,L626:L633,0)),0,VLOOKUP(AC631,L626:W633,AM$1,FALSE))</f>
        <v>6</v>
      </c>
      <c r="AN631" s="146">
        <f>IF(ISNA(MATCH(AC631,R626:R633,0)),0,VLOOKUP(AC631,R626:W633,AN$1,FALSE))</f>
        <v>0</v>
      </c>
      <c r="AP631" s="927"/>
      <c r="AQ631" s="927"/>
    </row>
    <row r="632" spans="1:47" ht="15.6" x14ac:dyDescent="0.3">
      <c r="A632" s="417">
        <f t="shared" si="561"/>
        <v>567</v>
      </c>
      <c r="B632" s="362" t="str">
        <f>'Event Details'!D$28</f>
        <v>F</v>
      </c>
      <c r="C632" s="381" t="str">
        <f>'Event Details'!E$28</f>
        <v>Tamworth</v>
      </c>
      <c r="D632" s="379"/>
      <c r="E632" s="378"/>
      <c r="F632" s="363" t="str">
        <f>VLOOKUP($B625,IF($H625="F",TeamSheetFemale,TeamSheetMale),$Y632-1,FALSE)</f>
        <v>F</v>
      </c>
      <c r="G632" s="380">
        <f>VLOOKUP($B625,IF($H625="F",TeamSheetFemale,TeamSheetMale),$Y632,FALSE)</f>
        <v>0</v>
      </c>
      <c r="H632" s="363" t="str">
        <f>VLOOKUP($B625,IF($H625="F",TeamSheetFemale,TeamSheetMale),$Y632+1,FALSE)</f>
        <v>FF</v>
      </c>
      <c r="I632" s="364">
        <f>VLOOKUP($B625,IF($H625="F",TeamSheetFemale,TeamSheetMale),$Y632+2,FALSE)</f>
        <v>0</v>
      </c>
      <c r="K632" s="341" t="s">
        <v>277</v>
      </c>
      <c r="L632" s="16" t="str">
        <f t="shared" si="554"/>
        <v/>
      </c>
      <c r="M632" s="927"/>
      <c r="N632" s="927"/>
      <c r="O632" s="353" t="str">
        <f>IF(LEN($M632)=1,VLOOKUP(LEFT($M632,1),B626:I633,5,FALSE),IF(LEN($M632)=2,VLOOKUP(LEFT($M632,1),B626:I633,7,FALSE),""))</f>
        <v/>
      </c>
      <c r="P632" s="373" t="str">
        <f>IF(LEN($M632)=1,VLOOKUP(LEFT($M632,1),B626:I633,6,FALSE),IF(LEN($M632)=2,VLOOKUP(LEFT($M632,1),B626:I633,8,FALSE),""))</f>
        <v/>
      </c>
      <c r="Q632" s="341" t="s">
        <v>277</v>
      </c>
      <c r="R632" s="146" t="str">
        <f t="shared" si="555"/>
        <v/>
      </c>
      <c r="S632" s="927"/>
      <c r="T632" s="927"/>
      <c r="U632" s="353" t="str">
        <f>IF(LEN($S632)=1,VLOOKUP(LEFT($S632,1),B626:I633,5,FALSE),IF(LEN($S632)=2,VLOOKUP(LEFT($S632,1),B626:I633,7,FALSE),""))</f>
        <v/>
      </c>
      <c r="V632" s="373" t="str">
        <f>IF(LEN($S632)=1,VLOOKUP(LEFT($S632,1),B626:I633,6,FALSE),IF(LEN($S632)=2,VLOOKUP(LEFT($S632,1),B626:I633,8,FALSE),""))</f>
        <v/>
      </c>
      <c r="W632" s="417">
        <f t="shared" si="562"/>
        <v>2</v>
      </c>
      <c r="Y632" s="417">
        <v>37</v>
      </c>
      <c r="Z632" s="16">
        <f t="shared" si="556"/>
        <v>0</v>
      </c>
      <c r="AA632" s="146">
        <f t="shared" si="557"/>
        <v>0</v>
      </c>
      <c r="AB632" s="32"/>
      <c r="AC632" s="16" t="str">
        <f t="shared" si="558"/>
        <v>F</v>
      </c>
      <c r="AD632" s="419" t="str">
        <f t="shared" si="558"/>
        <v>Tamworth</v>
      </c>
      <c r="AE632" s="419">
        <f>IF(ISNA(MATCH(AC632,N624:N633,0)),0,VLOOKUP(AC632,N624:S633,5,FALSE))</f>
        <v>0</v>
      </c>
      <c r="AF632" s="419" t="str">
        <f>IF(ISNA(MATCH(AC632,T624:T633,0))," ",VLOOKUP(AC632,T624:Y633,5,FALSE))</f>
        <v xml:space="preserve"> </v>
      </c>
      <c r="AG632" s="419">
        <f>IF(ISNA(MATCH(AC632,L626:L633,0)),0,VLOOKUP(AC632,L626:N633,3,FALSE))</f>
        <v>0</v>
      </c>
      <c r="AH632" s="419">
        <f>IF(ISNA(MATCH(AC632,R626:R633,0)),0,VLOOKUP(AC632,R626:T633,3,FALSE))</f>
        <v>0</v>
      </c>
      <c r="AI632" s="419">
        <f>IF(ISNA(MATCH(AC632,L626:L633,0)),0,VLOOKUP(AC632,L626:P633,4,FALSE))</f>
        <v>0</v>
      </c>
      <c r="AJ632" s="419">
        <f>IF(ISNA(MATCH(AC632,R626:R633,0)),0,VLOOKUP(AC632,R626:U633,4,FALSE))</f>
        <v>0</v>
      </c>
      <c r="AK632" s="32">
        <f t="shared" si="559"/>
        <v>0</v>
      </c>
      <c r="AL632" s="32">
        <f t="shared" si="560"/>
        <v>0</v>
      </c>
      <c r="AM632" s="32">
        <f>IF(ISNA(MATCH(AC632,L626:L633,0)),0,VLOOKUP(AC632,L626:W633,AM$1,FALSE))</f>
        <v>0</v>
      </c>
      <c r="AN632" s="146">
        <f>IF(ISNA(MATCH(AC632,R626:R633,0)),0,VLOOKUP(AC632,R626:W633,AN$1,FALSE))</f>
        <v>0</v>
      </c>
      <c r="AP632" s="927"/>
      <c r="AQ632" s="927"/>
    </row>
    <row r="633" spans="1:47" ht="16.2" thickBot="1" x14ac:dyDescent="0.35">
      <c r="A633" s="418">
        <f t="shared" si="561"/>
        <v>568</v>
      </c>
      <c r="B633" s="365" t="str">
        <f>'Event Details'!D$29</f>
        <v>Y</v>
      </c>
      <c r="C633" s="366" t="str">
        <f>'Event Details'!E$29</f>
        <v>Worcester</v>
      </c>
      <c r="D633" s="361"/>
      <c r="E633" s="370"/>
      <c r="F633" s="367" t="str">
        <f>VLOOKUP($B625,IF($H625="F",TeamSheetFemale,TeamSheetMale),$Y633-1,FALSE)</f>
        <v>Y</v>
      </c>
      <c r="G633" s="368" t="str">
        <f>VLOOKUP($B625,IF($H625="F",TeamSheetFemale,TeamSheetMale),$Y633,FALSE)</f>
        <v>Tobias Collett</v>
      </c>
      <c r="H633" s="367" t="str">
        <f>VLOOKUP($B625,IF($H625="F",TeamSheetFemale,TeamSheetMale),$Y633+1,FALSE)</f>
        <v>YY</v>
      </c>
      <c r="I633" s="369" t="str">
        <f>VLOOKUP($B625,IF($H625="F",TeamSheetFemale,TeamSheetMale),$Y633+2,FALSE)</f>
        <v>Harry Groves</v>
      </c>
      <c r="K633" s="346" t="s">
        <v>278</v>
      </c>
      <c r="L633" s="25" t="str">
        <f t="shared" si="554"/>
        <v/>
      </c>
      <c r="M633" s="928"/>
      <c r="N633" s="932"/>
      <c r="O633" s="375" t="str">
        <f>IF(LEN($M633)=1,VLOOKUP(LEFT($M633,1),B626:I633,5,FALSE),IF(LEN($M633)=2,VLOOKUP(LEFT($M633,1),B626:I633,7,FALSE),""))</f>
        <v/>
      </c>
      <c r="P633" s="376" t="str">
        <f>IF(LEN($M633)=1,VLOOKUP(LEFT($M633,1),B626:I633,6,FALSE),IF(LEN($M633)=2,VLOOKUP(LEFT($M633,1),B626:I633,8,FALSE),""))</f>
        <v/>
      </c>
      <c r="Q633" s="346" t="s">
        <v>278</v>
      </c>
      <c r="R633" s="523" t="str">
        <f t="shared" si="555"/>
        <v/>
      </c>
      <c r="S633" s="928"/>
      <c r="T633" s="932"/>
      <c r="U633" s="375" t="str">
        <f>IF(LEN($S633)=1,VLOOKUP(LEFT($S633,1),B626:I633,5,FALSE),IF(LEN($S633)=2,VLOOKUP(LEFT($S633,1),B626:I633,7,FALSE),""))</f>
        <v/>
      </c>
      <c r="V633" s="376" t="str">
        <f>IF(LEN($S633)=1,VLOOKUP(LEFT($S633,1),B626:I633,6,FALSE),IF(LEN($S633)=2,VLOOKUP(LEFT($S633,1),B626:I633,8,FALSE),""))</f>
        <v/>
      </c>
      <c r="W633" s="418">
        <f t="shared" si="562"/>
        <v>1</v>
      </c>
      <c r="Y633" s="418">
        <v>42</v>
      </c>
      <c r="Z633" s="25">
        <f t="shared" si="556"/>
        <v>0</v>
      </c>
      <c r="AA633" s="523">
        <f t="shared" si="557"/>
        <v>0</v>
      </c>
      <c r="AB633" s="32"/>
      <c r="AC633" s="25" t="str">
        <f t="shared" si="558"/>
        <v>Y</v>
      </c>
      <c r="AD633" s="624" t="str">
        <f t="shared" si="558"/>
        <v>Worcester</v>
      </c>
      <c r="AE633" s="624">
        <f>IF(ISNA(MATCH(AC633,N625:N634,0)),0,VLOOKUP(AC633,N625:S634,5,FALSE))</f>
        <v>0</v>
      </c>
      <c r="AF633" s="624" t="str">
        <f t="shared" ref="AF633" si="563">IF(ISNA(MATCH(AC633,T625:T634,0))," ",VLOOKUP(AC633,T625:Y634,5,FALSE))</f>
        <v xml:space="preserve"> </v>
      </c>
      <c r="AG633" s="624" t="str">
        <f>IF(ISNA(MATCH(AC633,L626:L633,0)),0,VLOOKUP(AC633,L626:N633,3,FALSE))</f>
        <v>5.28.0</v>
      </c>
      <c r="AH633" s="624" t="str">
        <f>IF(ISNA(MATCH(AC633,R626:R633,0)),0,VLOOKUP(AC633,R626:T633,3,FALSE))</f>
        <v>5.38.6</v>
      </c>
      <c r="AI633" s="624" t="str">
        <f>IF(ISNA(MATCH(AC633,L626:L633,0)),0,VLOOKUP(AC633,L626:P633,4,FALSE))</f>
        <v>Y</v>
      </c>
      <c r="AJ633" s="624" t="str">
        <f>IF(ISNA(MATCH(AC633,R626:R633,0)),0,VLOOKUP(AC633,R626:U633,4,FALSE))</f>
        <v>YY</v>
      </c>
      <c r="AK633" s="116">
        <f t="shared" si="559"/>
        <v>5</v>
      </c>
      <c r="AL633" s="116">
        <f t="shared" si="560"/>
        <v>3</v>
      </c>
      <c r="AM633" s="116">
        <f>IF(ISNA(MATCH(AC633,L626:L633,0)),0,VLOOKUP(AC633,L626:W633,AM$1,FALSE))</f>
        <v>4</v>
      </c>
      <c r="AN633" s="523">
        <f>IF(ISNA(MATCH(AC633,R626:R633,0)),0,VLOOKUP(AC633,R626:W633,AN$1,FALSE))</f>
        <v>6</v>
      </c>
      <c r="AP633" s="928"/>
      <c r="AQ633" s="932"/>
    </row>
    <row r="634" spans="1:47" ht="15" thickBot="1" x14ac:dyDescent="0.35">
      <c r="M634" s="276"/>
      <c r="N634" s="307"/>
      <c r="S634" s="276"/>
      <c r="T634" s="307"/>
      <c r="AP634" s="276"/>
      <c r="AQ634" s="307"/>
    </row>
    <row r="635" spans="1:47" x14ac:dyDescent="0.3">
      <c r="B635" s="400" t="s">
        <v>258</v>
      </c>
      <c r="C635" s="398"/>
      <c r="D635" s="401" t="s">
        <v>165</v>
      </c>
      <c r="E635" s="398"/>
      <c r="F635" s="398"/>
      <c r="G635" s="402" t="s">
        <v>259</v>
      </c>
      <c r="H635" s="403" t="s">
        <v>249</v>
      </c>
      <c r="I635" s="404" t="s">
        <v>168</v>
      </c>
      <c r="K635" s="360"/>
      <c r="L635" s="661"/>
      <c r="M635" s="387" t="s">
        <v>260</v>
      </c>
      <c r="N635" s="387" t="s">
        <v>261</v>
      </c>
      <c r="O635" s="387" t="s">
        <v>262</v>
      </c>
      <c r="P635" s="388" t="s">
        <v>75</v>
      </c>
      <c r="Q635" s="412"/>
      <c r="R635" s="657"/>
      <c r="S635" s="387" t="s">
        <v>260</v>
      </c>
      <c r="T635" s="387" t="s">
        <v>261</v>
      </c>
      <c r="U635" s="387" t="s">
        <v>262</v>
      </c>
      <c r="V635" s="388" t="s">
        <v>75</v>
      </c>
      <c r="W635" s="672" t="s">
        <v>76</v>
      </c>
      <c r="Y635" s="654" t="s">
        <v>263</v>
      </c>
      <c r="Z635" s="656" t="s">
        <v>74</v>
      </c>
      <c r="AA635" s="657" t="s">
        <v>75</v>
      </c>
      <c r="AC635" s="665" t="s">
        <v>71</v>
      </c>
      <c r="AD635" s="657" t="s">
        <v>86</v>
      </c>
      <c r="AE635" s="661" t="s">
        <v>149</v>
      </c>
      <c r="AF635" s="661" t="s">
        <v>94</v>
      </c>
      <c r="AG635" s="661" t="s">
        <v>149</v>
      </c>
      <c r="AH635" s="661" t="s">
        <v>94</v>
      </c>
      <c r="AI635" s="661" t="s">
        <v>149</v>
      </c>
      <c r="AJ635" s="661" t="s">
        <v>94</v>
      </c>
      <c r="AK635" s="1332" t="s">
        <v>149</v>
      </c>
      <c r="AL635" s="661" t="s">
        <v>94</v>
      </c>
      <c r="AM635" s="1406" t="s">
        <v>76</v>
      </c>
      <c r="AN635" s="1407"/>
      <c r="AP635" s="387" t="s">
        <v>260</v>
      </c>
      <c r="AQ635" s="387" t="s">
        <v>261</v>
      </c>
      <c r="AS635" s="1218" t="s">
        <v>165</v>
      </c>
      <c r="AT635" s="1219" t="s">
        <v>79</v>
      </c>
      <c r="AU635" s="1220" t="s">
        <v>80</v>
      </c>
    </row>
    <row r="636" spans="1:47" ht="15" thickBot="1" x14ac:dyDescent="0.35">
      <c r="B636" s="405">
        <v>57</v>
      </c>
      <c r="C636" s="399"/>
      <c r="D636" s="385" t="str">
        <f>VLOOKUP($B636,EventOrder,6,FALSE)</f>
        <v xml:space="preserve">High Jump (U18/U20) </v>
      </c>
      <c r="E636" s="399"/>
      <c r="F636" s="385"/>
      <c r="G636" s="386" t="str">
        <f>VLOOKUP($B636,EventOrder,4,FALSE)</f>
        <v>U18 Female</v>
      </c>
      <c r="H636" s="396" t="str">
        <f>IF(MID(G636,5,1)="F","F","M")</f>
        <v>F</v>
      </c>
      <c r="I636" s="397">
        <f>VLOOKUP($B636,EventOrder,2,FALSE)</f>
        <v>3.2</v>
      </c>
      <c r="K636" s="372"/>
      <c r="L636" s="667" t="s">
        <v>149</v>
      </c>
      <c r="M636" s="409" t="s">
        <v>264</v>
      </c>
      <c r="N636" s="409" t="s">
        <v>265</v>
      </c>
      <c r="O636" s="409" t="s">
        <v>266</v>
      </c>
      <c r="P636" s="408"/>
      <c r="Q636" s="413"/>
      <c r="R636" s="659" t="s">
        <v>94</v>
      </c>
      <c r="S636" s="409" t="s">
        <v>264</v>
      </c>
      <c r="T636" s="409" t="s">
        <v>265</v>
      </c>
      <c r="U636" s="409" t="s">
        <v>266</v>
      </c>
      <c r="V636" s="408"/>
      <c r="W636" s="671"/>
      <c r="Y636" s="655" t="s">
        <v>167</v>
      </c>
      <c r="Z636" s="658" t="s">
        <v>149</v>
      </c>
      <c r="AA636" s="659" t="s">
        <v>94</v>
      </c>
      <c r="AC636" s="666"/>
      <c r="AD636" s="668"/>
      <c r="AE636" s="768" t="s">
        <v>75</v>
      </c>
      <c r="AF636" s="768" t="s">
        <v>75</v>
      </c>
      <c r="AG636" s="768" t="s">
        <v>267</v>
      </c>
      <c r="AH636" s="768" t="s">
        <v>267</v>
      </c>
      <c r="AI636" s="768" t="s">
        <v>268</v>
      </c>
      <c r="AJ636" s="768" t="s">
        <v>268</v>
      </c>
      <c r="AK636" s="770" t="s">
        <v>269</v>
      </c>
      <c r="AL636" s="768" t="s">
        <v>269</v>
      </c>
      <c r="AM636" s="667" t="s">
        <v>149</v>
      </c>
      <c r="AN636" s="659" t="s">
        <v>94</v>
      </c>
      <c r="AP636" s="409" t="s">
        <v>264</v>
      </c>
      <c r="AQ636" s="409" t="s">
        <v>265</v>
      </c>
      <c r="AS636" s="1221" t="s">
        <v>270</v>
      </c>
      <c r="AT636" s="1222" t="s">
        <v>270</v>
      </c>
      <c r="AU636" s="1223" t="s">
        <v>270</v>
      </c>
    </row>
    <row r="637" spans="1:47" ht="15.6" x14ac:dyDescent="0.3">
      <c r="A637" s="416">
        <f>(B636*10)+1</f>
        <v>571</v>
      </c>
      <c r="B637" s="362" t="str">
        <f>'Event Details'!D$22</f>
        <v>S</v>
      </c>
      <c r="C637" s="381" t="str">
        <f>'Event Details'!E$22</f>
        <v>BRAT</v>
      </c>
      <c r="D637" s="379"/>
      <c r="E637" s="378"/>
      <c r="F637" s="363" t="str">
        <f>VLOOKUP($B636,IF($H636="F",TeamSheetFemale,TeamSheetMale),$Y637-1,FALSE)</f>
        <v>S</v>
      </c>
      <c r="G637" s="380" t="str">
        <f>VLOOKUP($B636,IF($H636="F",TeamSheetFemale,TeamSheetMale),$Y637,FALSE)</f>
        <v xml:space="preserve">Hephzibah Emmanuel Kokoh </v>
      </c>
      <c r="H637" s="363">
        <f>VLOOKUP($B636,IF($H636="F",TeamSheetFemale,TeamSheetMale),$Y637+1,FALSE)</f>
        <v>0</v>
      </c>
      <c r="I637" s="364">
        <f>VLOOKUP($B636,IF($H636="F",TeamSheetFemale,TeamSheetMale),$Y637+2,FALSE)</f>
        <v>0</v>
      </c>
      <c r="K637" s="393" t="s">
        <v>271</v>
      </c>
      <c r="L637" s="16" t="str">
        <f t="shared" ref="L637:L644" si="564">LEFT(M637,1)</f>
        <v>M</v>
      </c>
      <c r="M637" s="926" t="s">
        <v>127</v>
      </c>
      <c r="N637" s="926">
        <v>1.45</v>
      </c>
      <c r="O637" s="394" t="str">
        <f>IF(LEN($M637)=1,VLOOKUP(LEFT($M637,1),B637:I644,5,FALSE),IF(LEN($M637)=2,VLOOKUP(LEFT($M637,1),B637:I644,7,FALSE),""))</f>
        <v>M</v>
      </c>
      <c r="P637" s="395" t="str">
        <f>IF(LEN($M637)=1,VLOOKUP(LEFT($M637,1),B637:I644,6,FALSE),IF(LEN($M637)=2,VLOOKUP(LEFT($M637,1),B637:I644,8,FALSE),""))</f>
        <v>Jess Pym</v>
      </c>
      <c r="Q637" s="406" t="s">
        <v>271</v>
      </c>
      <c r="R637" s="146" t="str">
        <f t="shared" ref="R637:R644" si="565">LEFT(S637,1)</f>
        <v/>
      </c>
      <c r="S637" s="926"/>
      <c r="T637" s="926"/>
      <c r="U637" s="394" t="str">
        <f>IF(LEN($S637)=1,VLOOKUP(LEFT($S637,1),B637:I644,5,FALSE),IF(LEN($S637)=2,VLOOKUP(LEFT($S637,1),B637:I644,7,FALSE),""))</f>
        <v/>
      </c>
      <c r="V637" s="395" t="str">
        <f>IF(LEN($S637)=1,VLOOKUP(LEFT($S637,1),B637:I644,6,FALSE),IF(LEN($S637)=2,VLOOKUP(LEFT($S637,1),B637:I644,8,FALSE),""))</f>
        <v/>
      </c>
      <c r="W637" s="417">
        <f>AN$6</f>
        <v>8</v>
      </c>
      <c r="Y637" s="653">
        <v>7</v>
      </c>
      <c r="Z637" s="653" t="str">
        <f t="shared" ref="Z637:Z644" si="566">IF(LEN(M637)&gt;0,VLOOKUP(LEFT(M637,1),ShortName,5,FALSE),0)</f>
        <v>Sol</v>
      </c>
      <c r="AA637" s="138">
        <f t="shared" ref="AA637:AA644" si="567">IF(LEN(S637)&gt;0,VLOOKUP(LEFT(S637,1),ShortName,5,FALSE),0)</f>
        <v>0</v>
      </c>
      <c r="AC637" s="16" t="str">
        <f t="shared" ref="AC637:AD644" si="568">B637</f>
        <v>S</v>
      </c>
      <c r="AD637" s="419" t="str">
        <f t="shared" si="568"/>
        <v>BRAT</v>
      </c>
      <c r="AE637" s="635">
        <f>IF(ISNA(MATCH(AC637,N637:N646,0)),0,VLOOKUP(AC637,N637:S646,5,FALSE))</f>
        <v>0</v>
      </c>
      <c r="AF637" s="635" t="str">
        <f>IF(ISNA(MATCH(AC637,T637:T646,0))," ",VLOOKUP(AC637,T637:Y646,5,FALSE))</f>
        <v xml:space="preserve"> </v>
      </c>
      <c r="AG637" s="635">
        <f>IF(ISNA(MATCH(AC637,L637:L644,0)),0,VLOOKUP(AC637,L637:N644,3,FALSE))</f>
        <v>0</v>
      </c>
      <c r="AH637" s="635">
        <f>IF(ISNA(MATCH(AC637,R637:R644,0)),0,VLOOKUP(AC637,R637:T644,3,FALSE))</f>
        <v>0</v>
      </c>
      <c r="AI637" s="635">
        <f>IF(ISNA(MATCH(AC637,L637:L644,0)),0,VLOOKUP(AC637,L637:P644,4,FALSE))</f>
        <v>0</v>
      </c>
      <c r="AJ637" s="635">
        <f>IF(ISNA(MATCH(AC637,R637:R644,0)),0,VLOOKUP(AC637,R637:U644,4,FALSE))</f>
        <v>0</v>
      </c>
      <c r="AK637" s="49">
        <f t="shared" ref="AK637:AK644" si="569">IF(AM637=0,0,AN$6-(AM637-1))</f>
        <v>0</v>
      </c>
      <c r="AL637" s="49">
        <f t="shared" ref="AL637:AL644" si="570">IF(AN637=0,0,AN$6-(AN637-1))</f>
        <v>0</v>
      </c>
      <c r="AM637" s="49">
        <f>IF(ISNA(MATCH(AC637,L637:L644,0)),0,VLOOKUP(AC637,L637:W644,AM$1,FALSE))</f>
        <v>0</v>
      </c>
      <c r="AN637" s="138">
        <f>IF(ISNA(MATCH(AC637,R637:R644,0)),0,VLOOKUP(AC637,R637:W644,AN$1,FALSE))</f>
        <v>0</v>
      </c>
      <c r="AP637" s="926"/>
      <c r="AQ637" s="926"/>
      <c r="AS637" s="32">
        <f>IF(LEN(N637)&gt;0,1,0)</f>
        <v>1</v>
      </c>
      <c r="AT637" s="32">
        <f>IF(AND(AS637=1,H636="M"),1,0)</f>
        <v>0</v>
      </c>
      <c r="AU637" s="32">
        <f>IF(AND(AS637=1,H636="F"),1,0)</f>
        <v>1</v>
      </c>
    </row>
    <row r="638" spans="1:47" ht="15.6" x14ac:dyDescent="0.3">
      <c r="A638" s="417">
        <f>A637+1</f>
        <v>572</v>
      </c>
      <c r="B638" s="362" t="str">
        <f>'Event Details'!D$23</f>
        <v>U</v>
      </c>
      <c r="C638" s="381" t="str">
        <f>'Event Details'!E$23</f>
        <v>Kidder &amp; Stourport</v>
      </c>
      <c r="D638" s="379"/>
      <c r="E638" s="378"/>
      <c r="F638" s="363">
        <f>VLOOKUP($B636,IF($H636="F",TeamSheetFemale,TeamSheetMale),$Y638-1,FALSE)</f>
        <v>0</v>
      </c>
      <c r="G638" s="380">
        <f>VLOOKUP($B636,IF($H636="F",TeamSheetFemale,TeamSheetMale),$Y638,FALSE)</f>
        <v>0</v>
      </c>
      <c r="H638" s="363">
        <f>VLOOKUP($B636,IF($H636="F",TeamSheetFemale,TeamSheetMale),$Y638+1,FALSE)</f>
        <v>0</v>
      </c>
      <c r="I638" s="364">
        <f>VLOOKUP($B636,IF($H636="F",TeamSheetFemale,TeamSheetMale),$Y638+2,FALSE)</f>
        <v>0</v>
      </c>
      <c r="K638" s="341" t="s">
        <v>272</v>
      </c>
      <c r="L638" s="16" t="str">
        <f t="shared" si="564"/>
        <v>D</v>
      </c>
      <c r="M638" s="927" t="s">
        <v>136</v>
      </c>
      <c r="N638" s="927">
        <v>1.4</v>
      </c>
      <c r="O638" s="354" t="str">
        <f>IF(LEN($M638)=1,VLOOKUP(LEFT($M638,1),B637:I644,5,FALSE),IF(LEN($M638)=2,VLOOKUP(LEFT($M638,1),B637:I644,7,FALSE),""))</f>
        <v>D</v>
      </c>
      <c r="P638" s="410" t="str">
        <f>IF(LEN($M638)=1,VLOOKUP(LEFT($M638,1),B637:I644,6,FALSE),IF(LEN($M638)=2,VLOOKUP(LEFT($M638,1),B637:I644,8,FALSE),""))</f>
        <v>Darcie Nicholls</v>
      </c>
      <c r="Q638" s="371" t="s">
        <v>272</v>
      </c>
      <c r="R638" s="146" t="str">
        <f t="shared" si="565"/>
        <v/>
      </c>
      <c r="S638" s="927"/>
      <c r="T638" s="927"/>
      <c r="U638" s="354" t="str">
        <f>IF(LEN($S638)=1,VLOOKUP(LEFT($S638,1),B637:I644,5,FALSE),IF(LEN($S638)=2,VLOOKUP(LEFT($S638,1),B637:I644,7,FALSE),""))</f>
        <v/>
      </c>
      <c r="V638" s="410" t="str">
        <f>IF(LEN($S638)=1,VLOOKUP(LEFT($S638,1),B637:I644,6,FALSE),IF(LEN($S638)=2,VLOOKUP(LEFT($S638,1),B637:I644,8,FALSE),""))</f>
        <v/>
      </c>
      <c r="W638" s="417">
        <f>W637-1</f>
        <v>7</v>
      </c>
      <c r="Y638" s="16">
        <v>12</v>
      </c>
      <c r="Z638" s="16" t="str">
        <f t="shared" si="566"/>
        <v>Strat</v>
      </c>
      <c r="AA638" s="146">
        <f t="shared" si="567"/>
        <v>0</v>
      </c>
      <c r="AC638" s="16" t="str">
        <f t="shared" si="568"/>
        <v>U</v>
      </c>
      <c r="AD638" s="419" t="str">
        <f t="shared" si="568"/>
        <v>Kidder &amp; Stourport</v>
      </c>
      <c r="AE638" s="419">
        <f>IF(ISNA(MATCH(AC638,N637:N646,0)),0,VLOOKUP(AC638,N637:S646,5,FALSE))</f>
        <v>0</v>
      </c>
      <c r="AF638" s="419" t="str">
        <f>IF(ISNA(MATCH(AC638,T637:T646,0))," ",VLOOKUP(AC638,T637:Y646,5,FALSE))</f>
        <v xml:space="preserve"> </v>
      </c>
      <c r="AG638" s="419">
        <f>IF(ISNA(MATCH(AC638,L637:L644,0)),0,VLOOKUP(AC638,L637:N644,3,FALSE))</f>
        <v>0</v>
      </c>
      <c r="AH638" s="419">
        <f>IF(ISNA(MATCH(AC638,R637:R644,0)),0,VLOOKUP(AC638,R637:T644,3,FALSE))</f>
        <v>0</v>
      </c>
      <c r="AI638" s="419">
        <f>IF(ISNA(MATCH(AC638,L637:L644,0)),0,VLOOKUP(AC638,L637:P644,4,FALSE))</f>
        <v>0</v>
      </c>
      <c r="AJ638" s="419">
        <f>IF(ISNA(MATCH(AC638,R637:R644,0)),0,VLOOKUP(AC638,R637:U644,4,FALSE))</f>
        <v>0</v>
      </c>
      <c r="AK638" s="32">
        <f t="shared" si="569"/>
        <v>0</v>
      </c>
      <c r="AL638" s="32">
        <f t="shared" si="570"/>
        <v>0</v>
      </c>
      <c r="AM638" s="32">
        <f>IF(ISNA(MATCH(AC638,L637:L644,0)),0,VLOOKUP(AC638,L637:W644,AM$1,FALSE))</f>
        <v>0</v>
      </c>
      <c r="AN638" s="146">
        <f>IF(ISNA(MATCH(AC638,R637:R644,0)),0,VLOOKUP(AC638,R637:W644,AN$1,FALSE))</f>
        <v>0</v>
      </c>
      <c r="AP638" s="927"/>
      <c r="AQ638" s="927"/>
    </row>
    <row r="639" spans="1:47" ht="15.6" x14ac:dyDescent="0.3">
      <c r="A639" s="417">
        <f t="shared" ref="A639:A644" si="571">A638+1</f>
        <v>573</v>
      </c>
      <c r="B639" s="362" t="str">
        <f>'Event Details'!D$24</f>
        <v>G</v>
      </c>
      <c r="C639" s="381" t="str">
        <f>'Event Details'!E$24</f>
        <v>Royal Sutton</v>
      </c>
      <c r="D639" s="379"/>
      <c r="E639" s="378"/>
      <c r="F639" s="363" t="str">
        <f>VLOOKUP($B636,IF($H636="F",TeamSheetFemale,TeamSheetMale),$Y639-1,FALSE)</f>
        <v>G</v>
      </c>
      <c r="G639" s="380">
        <f>VLOOKUP($B636,IF($H636="F",TeamSheetFemale,TeamSheetMale),$Y639,FALSE)</f>
        <v>0</v>
      </c>
      <c r="H639" s="363" t="str">
        <f>VLOOKUP($B636,IF($H636="F",TeamSheetFemale,TeamSheetMale),$Y639+1,FALSE)</f>
        <v>GG</v>
      </c>
      <c r="I639" s="364">
        <f>VLOOKUP($B636,IF($H636="F",TeamSheetFemale,TeamSheetMale),$Y639+2,FALSE)</f>
        <v>0</v>
      </c>
      <c r="K639" s="341" t="s">
        <v>273</v>
      </c>
      <c r="L639" s="16" t="str">
        <f t="shared" si="564"/>
        <v>R</v>
      </c>
      <c r="M639" s="927" t="s">
        <v>118</v>
      </c>
      <c r="N639" s="927">
        <v>1.4</v>
      </c>
      <c r="O639" s="354" t="str">
        <f>IF(LEN($M639)=1,VLOOKUP(LEFT($M639,1),B637:I644,5,FALSE),IF(LEN($M639)=2,VLOOKUP(LEFT($M639,1),B637:I644,7,FALSE),""))</f>
        <v>R</v>
      </c>
      <c r="P639" s="410" t="str">
        <f>IF(LEN($M639)=1,VLOOKUP(LEFT($M639,1),B637:I644,6,FALSE),IF(LEN($M639)=2,VLOOKUP(LEFT($M639,1),B637:I644,8,FALSE),""))</f>
        <v>Emily Kendrick</v>
      </c>
      <c r="Q639" s="371" t="s">
        <v>273</v>
      </c>
      <c r="R639" s="146" t="str">
        <f t="shared" si="565"/>
        <v/>
      </c>
      <c r="S639" s="927"/>
      <c r="T639" s="927"/>
      <c r="U639" s="354" t="str">
        <f>IF(LEN($S639)=1,VLOOKUP(LEFT($S639,1),B637:I644,5,FALSE),IF(LEN($S639)=2,VLOOKUP(LEFT($S639,1),B637:I644,7,FALSE),""))</f>
        <v/>
      </c>
      <c r="V639" s="410" t="str">
        <f>IF(LEN($S639)=1,VLOOKUP(LEFT($S639,1),B637:I644,6,FALSE),IF(LEN($S639)=2,VLOOKUP(LEFT($S639,1),B637:I644,8,FALSE),""))</f>
        <v/>
      </c>
      <c r="W639" s="417">
        <f t="shared" ref="W639:W644" si="572">W638-1</f>
        <v>6</v>
      </c>
      <c r="Y639" s="16">
        <v>17</v>
      </c>
      <c r="Z639" s="16" t="str">
        <f t="shared" si="566"/>
        <v>Rugby</v>
      </c>
      <c r="AA639" s="146">
        <f t="shared" si="567"/>
        <v>0</v>
      </c>
      <c r="AC639" s="16" t="str">
        <f t="shared" si="568"/>
        <v>G</v>
      </c>
      <c r="AD639" s="419" t="str">
        <f t="shared" si="568"/>
        <v>Royal Sutton</v>
      </c>
      <c r="AE639" s="419">
        <f>IF(ISNA(MATCH(AC639,N637:N646,0)),0,VLOOKUP(AC639,N637:S646,5,FALSE))</f>
        <v>0</v>
      </c>
      <c r="AF639" s="419" t="str">
        <f>IF(ISNA(MATCH(AC639,T637:T646,0))," ",VLOOKUP(AC639,T637:Y646,5,FALSE))</f>
        <v xml:space="preserve"> </v>
      </c>
      <c r="AG639" s="419">
        <f>IF(ISNA(MATCH(AC639,L637:L644,0)),0,VLOOKUP(AC639,L637:N644,3,FALSE))</f>
        <v>0</v>
      </c>
      <c r="AH639" s="419">
        <f>IF(ISNA(MATCH(AC639,R637:R644,0)),0,VLOOKUP(AC639,R637:T644,3,FALSE))</f>
        <v>0</v>
      </c>
      <c r="AI639" s="419">
        <f>IF(ISNA(MATCH(AC639,L637:L644,0)),0,VLOOKUP(AC639,L637:P644,4,FALSE))</f>
        <v>0</v>
      </c>
      <c r="AJ639" s="419">
        <f>IF(ISNA(MATCH(AC639,R637:R644,0)),0,VLOOKUP(AC639,R637:U644,4,FALSE))</f>
        <v>0</v>
      </c>
      <c r="AK639" s="32">
        <f t="shared" si="569"/>
        <v>0</v>
      </c>
      <c r="AL639" s="32">
        <f t="shared" si="570"/>
        <v>0</v>
      </c>
      <c r="AM639" s="32">
        <f>IF(ISNA(MATCH(AC639,L637:L644,0)),0,VLOOKUP(AC639,L637:W644,AM$1,FALSE))</f>
        <v>0</v>
      </c>
      <c r="AN639" s="146">
        <f>IF(ISNA(MATCH(AC639,R637:R644,0)),0,VLOOKUP(AC639,R637:W644,AN$1,FALSE))</f>
        <v>0</v>
      </c>
      <c r="AP639" s="927"/>
      <c r="AQ639" s="927"/>
    </row>
    <row r="640" spans="1:47" ht="15.6" x14ac:dyDescent="0.3">
      <c r="A640" s="417">
        <f t="shared" si="571"/>
        <v>574</v>
      </c>
      <c r="B640" s="362" t="str">
        <f>'Event Details'!D$25</f>
        <v>R</v>
      </c>
      <c r="C640" s="381" t="str">
        <f>'Event Details'!E$25</f>
        <v>Rugby &amp; N'hampton</v>
      </c>
      <c r="D640" s="379"/>
      <c r="E640" s="378"/>
      <c r="F640" s="363" t="str">
        <f>VLOOKUP($B636,IF($H636="F",TeamSheetFemale,TeamSheetMale),$Y640-1,FALSE)</f>
        <v>R</v>
      </c>
      <c r="G640" s="380" t="str">
        <f>VLOOKUP($B636,IF($H636="F",TeamSheetFemale,TeamSheetMale),$Y640,FALSE)</f>
        <v>Emily Kendrick</v>
      </c>
      <c r="H640" s="363" t="str">
        <f>VLOOKUP($B636,IF($H636="F",TeamSheetFemale,TeamSheetMale),$Y640+1,FALSE)</f>
        <v>RR</v>
      </c>
      <c r="I640" s="364">
        <f>VLOOKUP($B636,IF($H636="F",TeamSheetFemale,TeamSheetMale),$Y640+2,FALSE)</f>
        <v>0</v>
      </c>
      <c r="K640" s="341" t="s">
        <v>274</v>
      </c>
      <c r="L640" s="16" t="str">
        <f t="shared" si="564"/>
        <v>F</v>
      </c>
      <c r="M640" s="927" t="s">
        <v>142</v>
      </c>
      <c r="N640" s="927">
        <v>1.3</v>
      </c>
      <c r="O640" s="354" t="str">
        <f>IF(LEN($M640)=1,VLOOKUP(LEFT($M640,1),B637:I644,5,FALSE),IF(LEN($M640)=2,VLOOKUP(LEFT($M640,1),B637:I644,7,FALSE),""))</f>
        <v>F</v>
      </c>
      <c r="P640" s="410" t="str">
        <f>IF(LEN($M640)=1,VLOOKUP(LEFT($M640,1),B637:I644,6,FALSE),IF(LEN($M640)=2,VLOOKUP(LEFT($M640,1),B637:I644,8,FALSE),""))</f>
        <v>Chloe Massey</v>
      </c>
      <c r="Q640" s="371" t="s">
        <v>274</v>
      </c>
      <c r="R640" s="146" t="str">
        <f t="shared" si="565"/>
        <v/>
      </c>
      <c r="S640" s="927"/>
      <c r="T640" s="927"/>
      <c r="U640" s="354" t="str">
        <f>IF(LEN($S640)=1,VLOOKUP(LEFT($S640,1),B637:I644,5,FALSE),IF(LEN($S640)=2,VLOOKUP(LEFT($S640,1),B637:I644,7,FALSE),""))</f>
        <v/>
      </c>
      <c r="V640" s="410" t="str">
        <f>IF(LEN($S640)=1,VLOOKUP(LEFT($S640,1),B637:I644,6,FALSE),IF(LEN($S640)=2,VLOOKUP(LEFT($S640,1),B637:I644,8,FALSE),""))</f>
        <v/>
      </c>
      <c r="W640" s="417">
        <f t="shared" si="572"/>
        <v>5</v>
      </c>
      <c r="Y640" s="16">
        <v>22</v>
      </c>
      <c r="Z640" s="16" t="str">
        <f t="shared" si="566"/>
        <v>Tam</v>
      </c>
      <c r="AA640" s="146">
        <f t="shared" si="567"/>
        <v>0</v>
      </c>
      <c r="AC640" s="16" t="str">
        <f t="shared" si="568"/>
        <v>R</v>
      </c>
      <c r="AD640" s="419" t="str">
        <f t="shared" si="568"/>
        <v>Rugby &amp; N'hampton</v>
      </c>
      <c r="AE640" s="419">
        <f>IF(ISNA(MATCH(AC640,N637:N646,0)),0,VLOOKUP(AC640,N637:S646,5,FALSE))</f>
        <v>0</v>
      </c>
      <c r="AF640" s="419" t="str">
        <f>IF(ISNA(MATCH(AC640,T637:T646,0))," ",VLOOKUP(AC640,T637:Y646,5,FALSE))</f>
        <v xml:space="preserve"> </v>
      </c>
      <c r="AG640" s="419">
        <f>IF(ISNA(MATCH(AC640,L637:L644,0)),0,VLOOKUP(AC640,L637:N644,3,FALSE))</f>
        <v>1.4</v>
      </c>
      <c r="AH640" s="419">
        <f>IF(ISNA(MATCH(AC640,R637:R644,0)),0,VLOOKUP(AC640,R637:T644,3,FALSE))</f>
        <v>0</v>
      </c>
      <c r="AI640" s="419" t="str">
        <f>IF(ISNA(MATCH(AC640,L637:L644,0)),0,VLOOKUP(AC640,L637:P644,4,FALSE))</f>
        <v>R</v>
      </c>
      <c r="AJ640" s="419">
        <f>IF(ISNA(MATCH(AC640,R637:R644,0)),0,VLOOKUP(AC640,R637:U644,4,FALSE))</f>
        <v>0</v>
      </c>
      <c r="AK640" s="32">
        <f t="shared" si="569"/>
        <v>2.5</v>
      </c>
      <c r="AL640" s="32">
        <f t="shared" si="570"/>
        <v>0</v>
      </c>
      <c r="AM640" s="32">
        <v>6.5</v>
      </c>
      <c r="AN640" s="146">
        <f>IF(ISNA(MATCH(AC640,R637:R644,0)),0,VLOOKUP(AC640,R637:W644,AN$1,FALSE))</f>
        <v>0</v>
      </c>
      <c r="AP640" s="927"/>
      <c r="AQ640" s="927"/>
    </row>
    <row r="641" spans="1:47" ht="15.6" x14ac:dyDescent="0.3">
      <c r="A641" s="417">
        <f t="shared" si="571"/>
        <v>575</v>
      </c>
      <c r="B641" s="362" t="str">
        <f>'Event Details'!D$26</f>
        <v>M</v>
      </c>
      <c r="C641" s="381" t="str">
        <f>'Event Details'!E$26</f>
        <v>Solihull &amp; S.Heath</v>
      </c>
      <c r="D641" s="379"/>
      <c r="E641" s="378"/>
      <c r="F641" s="363" t="str">
        <f>VLOOKUP($B636,IF($H636="F",TeamSheetFemale,TeamSheetMale),$Y641-1,FALSE)</f>
        <v>M</v>
      </c>
      <c r="G641" s="380" t="str">
        <f>VLOOKUP($B636,IF($H636="F",TeamSheetFemale,TeamSheetMale),$Y641,FALSE)</f>
        <v>Jess Pym</v>
      </c>
      <c r="H641" s="363">
        <f>VLOOKUP($B636,IF($H636="F",TeamSheetFemale,TeamSheetMale),$Y641+1,FALSE)</f>
        <v>0</v>
      </c>
      <c r="I641" s="364">
        <f>VLOOKUP($B636,IF($H636="F",TeamSheetFemale,TeamSheetMale),$Y641+2,FALSE)</f>
        <v>0</v>
      </c>
      <c r="K641" s="341" t="s">
        <v>275</v>
      </c>
      <c r="L641" s="16" t="str">
        <f t="shared" si="564"/>
        <v/>
      </c>
      <c r="M641" s="927"/>
      <c r="N641" s="927"/>
      <c r="O641" s="354" t="str">
        <f>IF(LEN($M641)=1,VLOOKUP(LEFT($M641,1),B637:I644,5,FALSE),IF(LEN($M641)=2,VLOOKUP(LEFT($M641,1),B637:I644,7,FALSE),""))</f>
        <v/>
      </c>
      <c r="P641" s="410" t="str">
        <f>IF(LEN($M641)=1,VLOOKUP(LEFT($M641,1),B637:I644,6,FALSE),IF(LEN($M641)=2,VLOOKUP(LEFT($M641,1),B637:I644,8,FALSE),""))</f>
        <v/>
      </c>
      <c r="Q641" s="371" t="s">
        <v>275</v>
      </c>
      <c r="R641" s="146" t="str">
        <f t="shared" si="565"/>
        <v/>
      </c>
      <c r="S641" s="927"/>
      <c r="T641" s="927"/>
      <c r="U641" s="354" t="str">
        <f>IF(LEN($S641)=1,VLOOKUP(LEFT($S641,1),B637:I644,5,FALSE),IF(LEN($S641)=2,VLOOKUP(LEFT($S641,1),B637:I644,7,FALSE),""))</f>
        <v/>
      </c>
      <c r="V641" s="410" t="str">
        <f>IF(LEN($S641)=1,VLOOKUP(LEFT($S641,1),B637:I644,6,FALSE),IF(LEN($S641)=2,VLOOKUP(LEFT($S641,1),B637:I644,8,FALSE),""))</f>
        <v/>
      </c>
      <c r="W641" s="417">
        <f t="shared" si="572"/>
        <v>4</v>
      </c>
      <c r="Y641" s="16">
        <v>27</v>
      </c>
      <c r="Z641" s="16">
        <f t="shared" si="566"/>
        <v>0</v>
      </c>
      <c r="AA641" s="146">
        <f t="shared" si="567"/>
        <v>0</v>
      </c>
      <c r="AC641" s="16" t="str">
        <f t="shared" si="568"/>
        <v>M</v>
      </c>
      <c r="AD641" s="419" t="str">
        <f t="shared" si="568"/>
        <v>Solihull &amp; S.Heath</v>
      </c>
      <c r="AE641" s="419">
        <f>IF(ISNA(MATCH(AC641,N637:N646,0)),0,VLOOKUP(AC641,N637:S646,5,FALSE))</f>
        <v>0</v>
      </c>
      <c r="AF641" s="419" t="str">
        <f>IF(ISNA(MATCH(AC641,T637:T646,0))," ",VLOOKUP(AC641,T637:Y646,5,FALSE))</f>
        <v xml:space="preserve"> </v>
      </c>
      <c r="AG641" s="419">
        <f>IF(ISNA(MATCH(AC641,L637:L644,0)),0,VLOOKUP(AC641,L637:N644,3,FALSE))</f>
        <v>1.45</v>
      </c>
      <c r="AH641" s="419">
        <f>IF(ISNA(MATCH(AC641,R637:R644,0)),0,VLOOKUP(AC641,R637:T644,3,FALSE))</f>
        <v>0</v>
      </c>
      <c r="AI641" s="419" t="str">
        <f>IF(ISNA(MATCH(AC641,L637:L644,0)),0,VLOOKUP(AC641,L637:P644,4,FALSE))</f>
        <v>M</v>
      </c>
      <c r="AJ641" s="419">
        <f>IF(ISNA(MATCH(AC641,R637:R644,0)),0,VLOOKUP(AC641,R637:U644,4,FALSE))</f>
        <v>0</v>
      </c>
      <c r="AK641" s="32">
        <f t="shared" si="569"/>
        <v>1</v>
      </c>
      <c r="AL641" s="32">
        <f t="shared" si="570"/>
        <v>0</v>
      </c>
      <c r="AM641" s="32">
        <f>IF(ISNA(MATCH(AC641,L637:L644,0)),0,VLOOKUP(AC641,L637:W644,AM$1,FALSE))</f>
        <v>8</v>
      </c>
      <c r="AN641" s="146">
        <f>IF(ISNA(MATCH(AC641,R637:R644,0)),0,VLOOKUP(AC641,R637:W644,AN$1,FALSE))</f>
        <v>0</v>
      </c>
      <c r="AP641" s="927"/>
      <c r="AQ641" s="927"/>
    </row>
    <row r="642" spans="1:47" ht="15.6" x14ac:dyDescent="0.3">
      <c r="A642" s="417">
        <f t="shared" si="571"/>
        <v>576</v>
      </c>
      <c r="B642" s="362" t="str">
        <f>'Event Details'!D$27</f>
        <v>D</v>
      </c>
      <c r="C642" s="381" t="str">
        <f>'Event Details'!E$27</f>
        <v>Stratford</v>
      </c>
      <c r="D642" s="379"/>
      <c r="E642" s="378"/>
      <c r="F642" s="363" t="str">
        <f>VLOOKUP($B636,IF($H636="F",TeamSheetFemale,TeamSheetMale),$Y642-1,FALSE)</f>
        <v>D</v>
      </c>
      <c r="G642" s="380" t="str">
        <f>VLOOKUP($B636,IF($H636="F",TeamSheetFemale,TeamSheetMale),$Y642,FALSE)</f>
        <v>Darcie Nicholls</v>
      </c>
      <c r="H642" s="363" t="str">
        <f>VLOOKUP($B636,IF($H636="F",TeamSheetFemale,TeamSheetMale),$Y642+1,FALSE)</f>
        <v>DD</v>
      </c>
      <c r="I642" s="364" t="str">
        <f>VLOOKUP($B636,IF($H636="F",TeamSheetFemale,TeamSheetMale),$Y642+2,FALSE)</f>
        <v>Ava Sheppard</v>
      </c>
      <c r="K642" s="341" t="s">
        <v>276</v>
      </c>
      <c r="L642" s="16" t="str">
        <f t="shared" si="564"/>
        <v/>
      </c>
      <c r="M642" s="927"/>
      <c r="N642" s="927"/>
      <c r="O642" s="354" t="str">
        <f>IF(LEN($M642)=1,VLOOKUP(LEFT($M642,1),B637:I644,5,FALSE),IF(LEN($M642)=2,VLOOKUP(LEFT($M642,1),B637:I644,7,FALSE),""))</f>
        <v/>
      </c>
      <c r="P642" s="410" t="str">
        <f>IF(LEN($M642)=1,VLOOKUP(LEFT($M642,1),B637:I644,6,FALSE),IF(LEN($M642)=2,VLOOKUP(LEFT($M642,1),B637:I644,8,FALSE),""))</f>
        <v/>
      </c>
      <c r="Q642" s="371" t="s">
        <v>276</v>
      </c>
      <c r="R642" s="146" t="str">
        <f t="shared" si="565"/>
        <v/>
      </c>
      <c r="S642" s="927"/>
      <c r="T642" s="927"/>
      <c r="U642" s="354" t="str">
        <f>IF(LEN($S642)=1,VLOOKUP(LEFT($S642,1),B637:I644,5,FALSE),IF(LEN($S642)=2,VLOOKUP(LEFT($S642,1),B637:I644,7,FALSE),""))</f>
        <v/>
      </c>
      <c r="V642" s="410" t="str">
        <f>IF(LEN($S642)=1,VLOOKUP(LEFT($S642,1),B637:I644,6,FALSE),IF(LEN($S642)=2,VLOOKUP(LEFT($S642,1),B637:I644,8,FALSE),""))</f>
        <v/>
      </c>
      <c r="W642" s="417">
        <f t="shared" si="572"/>
        <v>3</v>
      </c>
      <c r="Y642" s="16">
        <v>32</v>
      </c>
      <c r="Z642" s="16">
        <f t="shared" si="566"/>
        <v>0</v>
      </c>
      <c r="AA642" s="146">
        <f t="shared" si="567"/>
        <v>0</v>
      </c>
      <c r="AC642" s="16" t="str">
        <f t="shared" si="568"/>
        <v>D</v>
      </c>
      <c r="AD642" s="419" t="str">
        <f t="shared" si="568"/>
        <v>Stratford</v>
      </c>
      <c r="AE642" s="419">
        <f>IF(ISNA(MATCH(AC642,N637:N646,0)),0,VLOOKUP(AC642,N637:S646,5,FALSE))</f>
        <v>0</v>
      </c>
      <c r="AF642" s="419" t="str">
        <f>IF(ISNA(MATCH(AC642,T637:T646,0))," ",VLOOKUP(AC642,T637:Y646,5,FALSE))</f>
        <v xml:space="preserve"> </v>
      </c>
      <c r="AG642" s="419">
        <f>IF(ISNA(MATCH(AC642,L637:L644,0)),0,VLOOKUP(AC642,L637:N644,3,FALSE))</f>
        <v>1.4</v>
      </c>
      <c r="AH642" s="419">
        <f>IF(ISNA(MATCH(AC642,R637:R644,0)),0,VLOOKUP(AC642,R637:T644,3,FALSE))</f>
        <v>0</v>
      </c>
      <c r="AI642" s="419" t="str">
        <f>IF(ISNA(MATCH(AC642,L637:L644,0)),0,VLOOKUP(AC642,L637:P644,4,FALSE))</f>
        <v>D</v>
      </c>
      <c r="AJ642" s="419">
        <f>IF(ISNA(MATCH(AC642,R637:R644,0)),0,VLOOKUP(AC642,R637:U644,4,FALSE))</f>
        <v>0</v>
      </c>
      <c r="AK642" s="32">
        <f t="shared" si="569"/>
        <v>2.5</v>
      </c>
      <c r="AL642" s="32">
        <f t="shared" si="570"/>
        <v>0</v>
      </c>
      <c r="AM642" s="32">
        <v>6.5</v>
      </c>
      <c r="AN642" s="146">
        <f>IF(ISNA(MATCH(AC642,R637:R644,0)),0,VLOOKUP(AC642,R637:W644,AN$1,FALSE))</f>
        <v>0</v>
      </c>
      <c r="AP642" s="927"/>
      <c r="AQ642" s="927"/>
    </row>
    <row r="643" spans="1:47" ht="15.6" x14ac:dyDescent="0.3">
      <c r="A643" s="417">
        <f t="shared" si="571"/>
        <v>577</v>
      </c>
      <c r="B643" s="362" t="str">
        <f>'Event Details'!D$28</f>
        <v>F</v>
      </c>
      <c r="C643" s="381" t="str">
        <f>'Event Details'!E$28</f>
        <v>Tamworth</v>
      </c>
      <c r="D643" s="379"/>
      <c r="E643" s="378"/>
      <c r="F643" s="363" t="str">
        <f>VLOOKUP($B636,IF($H636="F",TeamSheetFemale,TeamSheetMale),$Y643-1,FALSE)</f>
        <v>F</v>
      </c>
      <c r="G643" s="380" t="str">
        <f>VLOOKUP($B636,IF($H636="F",TeamSheetFemale,TeamSheetMale),$Y643,FALSE)</f>
        <v>Chloe Massey</v>
      </c>
      <c r="H643" s="363">
        <f>VLOOKUP($B636,IF($H636="F",TeamSheetFemale,TeamSheetMale),$Y643+1,FALSE)</f>
        <v>0</v>
      </c>
      <c r="I643" s="364">
        <f>VLOOKUP($B636,IF($H636="F",TeamSheetFemale,TeamSheetMale),$Y643+2,FALSE)</f>
        <v>0</v>
      </c>
      <c r="K643" s="341" t="s">
        <v>277</v>
      </c>
      <c r="L643" s="16" t="str">
        <f t="shared" si="564"/>
        <v/>
      </c>
      <c r="M643" s="931"/>
      <c r="N643" s="927"/>
      <c r="O643" s="354" t="str">
        <f>IF(LEN($M643)=1,VLOOKUP(LEFT($M643,1),B637:I644,5,FALSE),IF(LEN($M643)=2,VLOOKUP(LEFT($M643,1),B637:I644,7,FALSE),""))</f>
        <v/>
      </c>
      <c r="P643" s="410" t="str">
        <f>IF(LEN($M643)=1,VLOOKUP(LEFT($M643,1),B637:I644,6,FALSE),IF(LEN($M643)=2,VLOOKUP(LEFT($M643,1),B637:I644,8,FALSE),""))</f>
        <v/>
      </c>
      <c r="Q643" s="371" t="s">
        <v>277</v>
      </c>
      <c r="R643" s="146" t="str">
        <f t="shared" si="565"/>
        <v/>
      </c>
      <c r="S643" s="931"/>
      <c r="T643" s="927"/>
      <c r="U643" s="354" t="str">
        <f>IF(LEN($S643)=1,VLOOKUP(LEFT($S643,1),B637:I644,5,FALSE),IF(LEN($S643)=2,VLOOKUP(LEFT($S643,1),B637:I644,7,FALSE),""))</f>
        <v/>
      </c>
      <c r="V643" s="410" t="str">
        <f>IF(LEN($S643)=1,VLOOKUP(LEFT($S643,1),B637:I644,6,FALSE),IF(LEN($S643)=2,VLOOKUP(LEFT($S643,1),B637:I644,8,FALSE),""))</f>
        <v/>
      </c>
      <c r="W643" s="417">
        <f t="shared" si="572"/>
        <v>2</v>
      </c>
      <c r="Y643" s="16">
        <v>37</v>
      </c>
      <c r="Z643" s="16">
        <f t="shared" si="566"/>
        <v>0</v>
      </c>
      <c r="AA643" s="146">
        <f t="shared" si="567"/>
        <v>0</v>
      </c>
      <c r="AC643" s="16" t="str">
        <f t="shared" si="568"/>
        <v>F</v>
      </c>
      <c r="AD643" s="419" t="str">
        <f t="shared" si="568"/>
        <v>Tamworth</v>
      </c>
      <c r="AE643" s="419">
        <f>IF(ISNA(MATCH(AC643,N635:N644,0)),0,VLOOKUP(AC643,N635:S644,5,FALSE))</f>
        <v>0</v>
      </c>
      <c r="AF643" s="419" t="str">
        <f>IF(ISNA(MATCH(AC643,T635:T644,0))," ",VLOOKUP(AC643,T635:Y644,5,FALSE))</f>
        <v xml:space="preserve"> </v>
      </c>
      <c r="AG643" s="419">
        <f>IF(ISNA(MATCH(AC643,L637:L644,0)),0,VLOOKUP(AC643,L637:N644,3,FALSE))</f>
        <v>1.3</v>
      </c>
      <c r="AH643" s="419">
        <f>IF(ISNA(MATCH(AC643,R637:R644,0)),0,VLOOKUP(AC643,R637:T644,3,FALSE))</f>
        <v>0</v>
      </c>
      <c r="AI643" s="419" t="str">
        <f>IF(ISNA(MATCH(AC643,L637:L644,0)),0,VLOOKUP(AC643,L637:P644,4,FALSE))</f>
        <v>F</v>
      </c>
      <c r="AJ643" s="419">
        <f>IF(ISNA(MATCH(AC643,R637:R644,0)),0,VLOOKUP(AC643,R637:U644,4,FALSE))</f>
        <v>0</v>
      </c>
      <c r="AK643" s="32">
        <f t="shared" si="569"/>
        <v>4</v>
      </c>
      <c r="AL643" s="32">
        <f t="shared" si="570"/>
        <v>0</v>
      </c>
      <c r="AM643" s="32">
        <f>IF(ISNA(MATCH(AC643,L637:L644,0)),0,VLOOKUP(AC643,L637:W644,AM$1,FALSE))</f>
        <v>5</v>
      </c>
      <c r="AN643" s="146">
        <f>IF(ISNA(MATCH(AC643,R637:R644,0)),0,VLOOKUP(AC643,R637:W644,AN$1,FALSE))</f>
        <v>0</v>
      </c>
      <c r="AP643" s="931"/>
      <c r="AQ643" s="927"/>
    </row>
    <row r="644" spans="1:47" ht="16.2" thickBot="1" x14ac:dyDescent="0.35">
      <c r="A644" s="418">
        <f t="shared" si="571"/>
        <v>578</v>
      </c>
      <c r="B644" s="365" t="str">
        <f>'Event Details'!D$29</f>
        <v>Y</v>
      </c>
      <c r="C644" s="366" t="str">
        <f>'Event Details'!E$29</f>
        <v>Worcester</v>
      </c>
      <c r="D644" s="361"/>
      <c r="E644" s="370"/>
      <c r="F644" s="367">
        <f>VLOOKUP($B636,IF($H636="F",TeamSheetFemale,TeamSheetMale),$Y644-1,FALSE)</f>
        <v>0</v>
      </c>
      <c r="G644" s="368">
        <f>VLOOKUP($B636,IF($H636="F",TeamSheetFemale,TeamSheetMale),$Y644,FALSE)</f>
        <v>0</v>
      </c>
      <c r="H644" s="367">
        <f>VLOOKUP($B636,IF($H636="F",TeamSheetFemale,TeamSheetMale),$Y644+1,FALSE)</f>
        <v>0</v>
      </c>
      <c r="I644" s="369">
        <f>VLOOKUP($B636,IF($H636="F",TeamSheetFemale,TeamSheetMale),$Y644+2,FALSE)</f>
        <v>0</v>
      </c>
      <c r="K644" s="346" t="s">
        <v>278</v>
      </c>
      <c r="L644" s="25" t="str">
        <f t="shared" si="564"/>
        <v/>
      </c>
      <c r="M644" s="928" t="s">
        <v>148</v>
      </c>
      <c r="N644" s="932"/>
      <c r="O644" s="374" t="str">
        <f>IF(LEN($M644)=1,VLOOKUP(LEFT($M644,1),B637:I644,5,FALSE),IF(LEN($M644)=2,VLOOKUP(LEFT($M644,1),B637:I644,7,FALSE),""))</f>
        <v/>
      </c>
      <c r="P644" s="411" t="str">
        <f>IF(LEN($M644)=1,VLOOKUP(LEFT($M644,1),B637:I644,6,FALSE),IF(LEN($M644)=2,VLOOKUP(LEFT($M644,1),B637:I644,8,FALSE),""))</f>
        <v/>
      </c>
      <c r="Q644" s="407" t="s">
        <v>278</v>
      </c>
      <c r="R644" s="523" t="str">
        <f t="shared" si="565"/>
        <v/>
      </c>
      <c r="S644" s="928" t="s">
        <v>148</v>
      </c>
      <c r="T644" s="932"/>
      <c r="U644" s="374" t="str">
        <f>IF(LEN($S644)=1,VLOOKUP(LEFT($S644,1),B637:I644,5,FALSE),IF(LEN($S644)=2,VLOOKUP(LEFT($S644,1),B637:I644,7,FALSE),""))</f>
        <v/>
      </c>
      <c r="V644" s="411" t="str">
        <f>IF(LEN($S644)=1,VLOOKUP(LEFT($S644,1),B637:I644,6,FALSE),IF(LEN($S644)=2,VLOOKUP(LEFT($S644,1),B637:I644,8,FALSE),""))</f>
        <v/>
      </c>
      <c r="W644" s="418">
        <f t="shared" si="572"/>
        <v>1</v>
      </c>
      <c r="Y644" s="25">
        <v>42</v>
      </c>
      <c r="Z644" s="25">
        <f t="shared" si="566"/>
        <v>0</v>
      </c>
      <c r="AA644" s="523">
        <f t="shared" si="567"/>
        <v>0</v>
      </c>
      <c r="AC644" s="25" t="str">
        <f t="shared" si="568"/>
        <v>Y</v>
      </c>
      <c r="AD644" s="624" t="str">
        <f t="shared" si="568"/>
        <v>Worcester</v>
      </c>
      <c r="AE644" s="624">
        <f>IF(ISNA(MATCH(AC644,N636:N645,0)),0,VLOOKUP(AC644,N636:S645,5,FALSE))</f>
        <v>0</v>
      </c>
      <c r="AF644" s="624" t="str">
        <f t="shared" ref="AF644" si="573">IF(ISNA(MATCH(AC644,T636:T645,0))," ",VLOOKUP(AC644,T636:Y645,5,FALSE))</f>
        <v xml:space="preserve"> </v>
      </c>
      <c r="AG644" s="624">
        <f>IF(ISNA(MATCH(AC644,L637:L644,0)),0,VLOOKUP(AC644,L637:N644,3,FALSE))</f>
        <v>0</v>
      </c>
      <c r="AH644" s="624">
        <f>IF(ISNA(MATCH(AC644,R637:R644,0)),0,VLOOKUP(AC644,R637:T644,3,FALSE))</f>
        <v>0</v>
      </c>
      <c r="AI644" s="624">
        <f>IF(ISNA(MATCH(AC644,L637:L644,0)),0,VLOOKUP(AC644,L637:P644,4,FALSE))</f>
        <v>0</v>
      </c>
      <c r="AJ644" s="624">
        <f>IF(ISNA(MATCH(AC644,R637:R644,0)),0,VLOOKUP(AC644,R637:U644,4,FALSE))</f>
        <v>0</v>
      </c>
      <c r="AK644" s="116">
        <f t="shared" si="569"/>
        <v>0</v>
      </c>
      <c r="AL644" s="116">
        <f t="shared" si="570"/>
        <v>0</v>
      </c>
      <c r="AM644" s="116">
        <f>IF(ISNA(MATCH(AC644,L637:L644,0)),0,VLOOKUP(AC644,L637:W644,AM$1,FALSE))</f>
        <v>0</v>
      </c>
      <c r="AN644" s="523">
        <f>IF(ISNA(MATCH(AC644,R637:R644,0)),0,VLOOKUP(AC644,R637:W644,AN$1,FALSE))</f>
        <v>0</v>
      </c>
      <c r="AP644" s="928" t="s">
        <v>148</v>
      </c>
      <c r="AQ644" s="932"/>
    </row>
    <row r="645" spans="1:47" ht="15" thickBot="1" x14ac:dyDescent="0.35">
      <c r="M645" s="276"/>
      <c r="N645" s="307"/>
      <c r="S645" s="276"/>
      <c r="T645" s="307"/>
      <c r="AP645" s="276"/>
      <c r="AQ645" s="307"/>
    </row>
    <row r="646" spans="1:47" x14ac:dyDescent="0.3">
      <c r="B646" s="400" t="s">
        <v>258</v>
      </c>
      <c r="C646" s="398"/>
      <c r="D646" s="401" t="s">
        <v>165</v>
      </c>
      <c r="E646" s="398"/>
      <c r="F646" s="398"/>
      <c r="G646" s="402" t="s">
        <v>259</v>
      </c>
      <c r="H646" s="403" t="s">
        <v>249</v>
      </c>
      <c r="I646" s="404" t="s">
        <v>168</v>
      </c>
      <c r="K646" s="360"/>
      <c r="L646" s="661"/>
      <c r="M646" s="387" t="s">
        <v>260</v>
      </c>
      <c r="N646" s="387" t="s">
        <v>261</v>
      </c>
      <c r="O646" s="387" t="s">
        <v>262</v>
      </c>
      <c r="P646" s="388" t="s">
        <v>75</v>
      </c>
      <c r="Q646" s="389"/>
      <c r="R646" s="657"/>
      <c r="S646" s="387" t="s">
        <v>260</v>
      </c>
      <c r="T646" s="387" t="s">
        <v>261</v>
      </c>
      <c r="U646" s="387" t="s">
        <v>262</v>
      </c>
      <c r="V646" s="388" t="s">
        <v>75</v>
      </c>
      <c r="W646" s="672" t="s">
        <v>76</v>
      </c>
      <c r="Y646" s="414" t="s">
        <v>263</v>
      </c>
      <c r="Z646" s="656" t="s">
        <v>74</v>
      </c>
      <c r="AA646" s="657" t="s">
        <v>75</v>
      </c>
      <c r="AC646" s="665" t="s">
        <v>71</v>
      </c>
      <c r="AD646" s="657" t="s">
        <v>86</v>
      </c>
      <c r="AE646" s="661" t="s">
        <v>149</v>
      </c>
      <c r="AF646" s="661" t="s">
        <v>94</v>
      </c>
      <c r="AG646" s="661" t="s">
        <v>149</v>
      </c>
      <c r="AH646" s="661" t="s">
        <v>94</v>
      </c>
      <c r="AI646" s="661" t="s">
        <v>149</v>
      </c>
      <c r="AJ646" s="661" t="s">
        <v>94</v>
      </c>
      <c r="AK646" s="1332" t="s">
        <v>149</v>
      </c>
      <c r="AL646" s="661" t="s">
        <v>94</v>
      </c>
      <c r="AM646" s="1406" t="s">
        <v>76</v>
      </c>
      <c r="AN646" s="1407"/>
      <c r="AP646" s="387" t="s">
        <v>260</v>
      </c>
      <c r="AQ646" s="387" t="s">
        <v>261</v>
      </c>
      <c r="AS646" s="1218" t="s">
        <v>165</v>
      </c>
      <c r="AT646" s="1219" t="s">
        <v>79</v>
      </c>
      <c r="AU646" s="1220" t="s">
        <v>80</v>
      </c>
    </row>
    <row r="647" spans="1:47" ht="15" thickBot="1" x14ac:dyDescent="0.35">
      <c r="B647" s="405">
        <v>58</v>
      </c>
      <c r="C647" s="399"/>
      <c r="D647" s="385" t="str">
        <f>VLOOKUP($B647,EventOrder,6,FALSE)</f>
        <v>Long Jump Pit 2</v>
      </c>
      <c r="E647" s="399"/>
      <c r="F647" s="385"/>
      <c r="G647" s="386" t="str">
        <f>VLOOKUP($B647,EventOrder,4,FALSE)</f>
        <v>U14 Male</v>
      </c>
      <c r="H647" s="396" t="str">
        <f>IF(MID(G647,5,1)="F","F","M")</f>
        <v>M</v>
      </c>
      <c r="I647" s="397">
        <f>VLOOKUP($B647,EventOrder,2,FALSE)</f>
        <v>3.2</v>
      </c>
      <c r="K647" s="377"/>
      <c r="L647" s="667" t="s">
        <v>149</v>
      </c>
      <c r="M647" s="409" t="s">
        <v>264</v>
      </c>
      <c r="N647" s="409" t="s">
        <v>265</v>
      </c>
      <c r="O647" s="390" t="s">
        <v>266</v>
      </c>
      <c r="P647" s="391"/>
      <c r="Q647" s="392"/>
      <c r="R647" s="659" t="s">
        <v>94</v>
      </c>
      <c r="S647" s="409" t="s">
        <v>264</v>
      </c>
      <c r="T647" s="409" t="s">
        <v>265</v>
      </c>
      <c r="U647" s="390" t="s">
        <v>266</v>
      </c>
      <c r="V647" s="391"/>
      <c r="W647" s="671"/>
      <c r="Y647" s="415" t="s">
        <v>167</v>
      </c>
      <c r="Z647" s="658" t="s">
        <v>149</v>
      </c>
      <c r="AA647" s="659" t="s">
        <v>94</v>
      </c>
      <c r="AC647" s="666"/>
      <c r="AD647" s="668"/>
      <c r="AE647" s="768" t="s">
        <v>75</v>
      </c>
      <c r="AF647" s="768" t="s">
        <v>75</v>
      </c>
      <c r="AG647" s="768" t="s">
        <v>267</v>
      </c>
      <c r="AH647" s="768" t="s">
        <v>267</v>
      </c>
      <c r="AI647" s="768" t="s">
        <v>268</v>
      </c>
      <c r="AJ647" s="768" t="s">
        <v>268</v>
      </c>
      <c r="AK647" s="770" t="s">
        <v>269</v>
      </c>
      <c r="AL647" s="768" t="s">
        <v>269</v>
      </c>
      <c r="AM647" s="667" t="s">
        <v>149</v>
      </c>
      <c r="AN647" s="659" t="s">
        <v>94</v>
      </c>
      <c r="AP647" s="409" t="s">
        <v>264</v>
      </c>
      <c r="AQ647" s="409" t="s">
        <v>265</v>
      </c>
      <c r="AS647" s="1221" t="s">
        <v>270</v>
      </c>
      <c r="AT647" s="1222" t="s">
        <v>270</v>
      </c>
      <c r="AU647" s="1223" t="s">
        <v>270</v>
      </c>
    </row>
    <row r="648" spans="1:47" ht="15.6" x14ac:dyDescent="0.3">
      <c r="A648" s="416">
        <f>(B647*10)+1</f>
        <v>581</v>
      </c>
      <c r="B648" s="362" t="str">
        <f>'Event Details'!D$22</f>
        <v>S</v>
      </c>
      <c r="C648" s="381" t="str">
        <f>'Event Details'!E$22</f>
        <v>BRAT</v>
      </c>
      <c r="D648" s="379"/>
      <c r="E648" s="378"/>
      <c r="F648" s="363" t="str">
        <f>VLOOKUP($B647,IF($H647="F",TeamSheetFemale,TeamSheetMale),$Y648-1,FALSE)</f>
        <v>S</v>
      </c>
      <c r="G648" s="380" t="str">
        <f>VLOOKUP($B647,IF($H647="F",TeamSheetFemale,TeamSheetMale),$Y648,FALSE)</f>
        <v>Elliot Jones</v>
      </c>
      <c r="H648" s="363" t="str">
        <f>VLOOKUP($B647,IF($H647="F",TeamSheetFemale,TeamSheetMale),$Y648+1,FALSE)</f>
        <v>SS</v>
      </c>
      <c r="I648" s="364" t="str">
        <f>VLOOKUP($B647,IF($H647="F",TeamSheetFemale,TeamSheetMale),$Y648+2,FALSE)</f>
        <v xml:space="preserve">Harvey Harris </v>
      </c>
      <c r="K648" s="393" t="s">
        <v>271</v>
      </c>
      <c r="L648" s="16" t="str">
        <f t="shared" ref="L648:L655" si="574">LEFT(M648,1)</f>
        <v>S</v>
      </c>
      <c r="M648" s="926" t="s">
        <v>100</v>
      </c>
      <c r="N648" s="926">
        <v>4.4800000000000004</v>
      </c>
      <c r="O648" s="394" t="str">
        <f>IF(LEN($M648)=1,VLOOKUP(LEFT($M648,1),B648:I655,5,FALSE),IF(LEN($M648)=2,VLOOKUP(LEFT($M648,1),B648:I655,7,FALSE),""))</f>
        <v>S</v>
      </c>
      <c r="P648" s="395" t="str">
        <f>IF(LEN($M648)=1,VLOOKUP(LEFT($M648,1),B648:I655,6,FALSE),IF(LEN($M648)=2,VLOOKUP(LEFT($M648,1),B648:I655,8,FALSE),""))</f>
        <v>Elliot Jones</v>
      </c>
      <c r="Q648" s="393" t="s">
        <v>271</v>
      </c>
      <c r="R648" s="146" t="str">
        <f t="shared" ref="R648:R655" si="575">LEFT(S648,1)</f>
        <v>R</v>
      </c>
      <c r="S648" s="926" t="s">
        <v>819</v>
      </c>
      <c r="T648" s="926">
        <v>3.88</v>
      </c>
      <c r="U648" s="394" t="str">
        <f>IF(LEN($S648)=1,VLOOKUP(LEFT($S648,1),B648:I655,5,FALSE),IF(LEN($S648)=2,VLOOKUP(LEFT($S648,1),B648:I655,7,FALSE),""))</f>
        <v>RR</v>
      </c>
      <c r="V648" s="395" t="str">
        <f>IF(LEN($S648)=1,VLOOKUP(LEFT($S648,1),B648:I655,6,FALSE),IF(LEN($S648)=2,VLOOKUP(LEFT($S648,1),B648:I655,8,FALSE),""))</f>
        <v>Hugo Fernandez</v>
      </c>
      <c r="W648" s="417">
        <f>AN$6</f>
        <v>8</v>
      </c>
      <c r="Y648" s="416">
        <v>7</v>
      </c>
      <c r="Z648" s="653" t="str">
        <f t="shared" ref="Z648:Z655" si="576">IF(LEN(M648)&gt;0,VLOOKUP(LEFT(M648,1),ShortName,5,FALSE),0)</f>
        <v>BRAT</v>
      </c>
      <c r="AA648" s="138" t="str">
        <f t="shared" ref="AA648:AA655" si="577">IF(LEN(S648)&gt;0,VLOOKUP(LEFT(S648,1),ShortName,5,FALSE),0)</f>
        <v>Rugby</v>
      </c>
      <c r="AC648" s="16" t="str">
        <f t="shared" ref="AC648:AD655" si="578">B648</f>
        <v>S</v>
      </c>
      <c r="AD648" s="419" t="str">
        <f t="shared" si="578"/>
        <v>BRAT</v>
      </c>
      <c r="AE648" s="635">
        <f>IF(ISNA(MATCH(AC648,N648:N657,0)),0,VLOOKUP(AC648,N648:S657,5,FALSE))</f>
        <v>0</v>
      </c>
      <c r="AF648" s="635" t="str">
        <f>IF(ISNA(MATCH(AC648,T648:T657,0))," ",VLOOKUP(AC648,T648:Y657,5,FALSE))</f>
        <v xml:space="preserve"> </v>
      </c>
      <c r="AG648" s="635">
        <f>IF(ISNA(MATCH(AC648,L648:L655,0)),0,VLOOKUP(AC648,L648:N655,3,FALSE))</f>
        <v>4.4800000000000004</v>
      </c>
      <c r="AH648" s="635">
        <f>IF(ISNA(MATCH(AC648,R648:R655,0)),0,VLOOKUP(AC648,R648:T655,3,FALSE))</f>
        <v>3.58</v>
      </c>
      <c r="AI648" s="635" t="str">
        <f>IF(ISNA(MATCH(AC648,L648:L655,0)),0,VLOOKUP(AC648,L648:P655,4,FALSE))</f>
        <v>S</v>
      </c>
      <c r="AJ648" s="635" t="str">
        <f>IF(ISNA(MATCH(AC648,R648:R655,0)),0,VLOOKUP(AC648,R648:U655,4,FALSE))</f>
        <v>SS</v>
      </c>
      <c r="AK648" s="49">
        <f t="shared" ref="AK648:AK655" si="579">IF(AM648=0,0,AN$6-(AM648-1))</f>
        <v>1</v>
      </c>
      <c r="AL648" s="49">
        <f t="shared" ref="AL648:AL655" si="580">IF(AN648=0,0,AN$6-(AN648-1))</f>
        <v>4</v>
      </c>
      <c r="AM648" s="49">
        <f>IF(ISNA(MATCH(AC648,L648:L655,0)),0,VLOOKUP(AC648,L648:W655,AM$1,FALSE))</f>
        <v>8</v>
      </c>
      <c r="AN648" s="138">
        <f>IF(ISNA(MATCH(AC648,R648:R655,0)),0,VLOOKUP(AC648,R648:W655,AN$1,FALSE))</f>
        <v>5</v>
      </c>
      <c r="AP648" s="926"/>
      <c r="AQ648" s="926"/>
      <c r="AS648" s="32">
        <f>IF(LEN(N648)&gt;0,1,0)</f>
        <v>1</v>
      </c>
      <c r="AT648" s="32">
        <f>IF(AND(AS648=1,H647="M"),1,0)</f>
        <v>1</v>
      </c>
      <c r="AU648" s="32">
        <f>IF(AND(AS648=1,H647="F"),1,0)</f>
        <v>0</v>
      </c>
    </row>
    <row r="649" spans="1:47" ht="15.6" x14ac:dyDescent="0.3">
      <c r="A649" s="417">
        <f>A648+1</f>
        <v>582</v>
      </c>
      <c r="B649" s="362" t="str">
        <f>'Event Details'!D$23</f>
        <v>U</v>
      </c>
      <c r="C649" s="381" t="str">
        <f>'Event Details'!E$23</f>
        <v>Kidder &amp; Stourport</v>
      </c>
      <c r="D649" s="379"/>
      <c r="E649" s="378"/>
      <c r="F649" s="363" t="str">
        <f>VLOOKUP($B647,IF($H647="F",TeamSheetFemale,TeamSheetMale),$Y649-1,FALSE)</f>
        <v>U</v>
      </c>
      <c r="G649" s="380" t="str">
        <f>VLOOKUP($B647,IF($H647="F",TeamSheetFemale,TeamSheetMale),$Y649,FALSE)</f>
        <v>Will Freeman</v>
      </c>
      <c r="H649" s="363" t="str">
        <f>VLOOKUP($B647,IF($H647="F",TeamSheetFemale,TeamSheetMale),$Y649+1,FALSE)</f>
        <v>UU</v>
      </c>
      <c r="I649" s="364" t="str">
        <f>VLOOKUP($B647,IF($H647="F",TeamSheetFemale,TeamSheetMale),$Y649+2,FALSE)</f>
        <v>Benjamin Askey</v>
      </c>
      <c r="K649" s="341" t="s">
        <v>272</v>
      </c>
      <c r="L649" s="16" t="str">
        <f t="shared" si="574"/>
        <v>R</v>
      </c>
      <c r="M649" s="927" t="s">
        <v>118</v>
      </c>
      <c r="N649" s="927">
        <v>4.45</v>
      </c>
      <c r="O649" s="353" t="str">
        <f>IF(LEN($M649)=1,VLOOKUP(LEFT($M649,1),B648:I655,5,FALSE),IF(LEN($M649)=2,VLOOKUP(LEFT($M649,1),B648:I655,7,FALSE),""))</f>
        <v>R</v>
      </c>
      <c r="P649" s="373" t="str">
        <f>IF(LEN($M649)=1,VLOOKUP(LEFT($M649,1),B648:I655,6,FALSE),IF(LEN($M649)=2,VLOOKUP(LEFT($M649,1),B648:I655,8,FALSE),""))</f>
        <v>Robert Copeland</v>
      </c>
      <c r="Q649" s="341" t="s">
        <v>272</v>
      </c>
      <c r="R649" s="146" t="str">
        <f t="shared" si="575"/>
        <v>G</v>
      </c>
      <c r="S649" s="927" t="s">
        <v>820</v>
      </c>
      <c r="T649" s="927">
        <v>3.72</v>
      </c>
      <c r="U649" s="353" t="str">
        <f>IF(LEN($S649)=1,VLOOKUP(LEFT($S649,1),B648:I655,5,FALSE),IF(LEN($S649)=2,VLOOKUP(LEFT($S649,1),B648:I655,7,FALSE),""))</f>
        <v>GG</v>
      </c>
      <c r="V649" s="373" t="str">
        <f>IF(LEN($S649)=1,VLOOKUP(LEFT($S649,1),B648:I655,6,FALSE),IF(LEN($S649)=2,VLOOKUP(LEFT($S649,1),B648:I655,8,FALSE),""))</f>
        <v>Joshua Smith</v>
      </c>
      <c r="W649" s="417">
        <f>W648-1</f>
        <v>7</v>
      </c>
      <c r="Y649" s="417">
        <v>12</v>
      </c>
      <c r="Z649" s="16" t="str">
        <f t="shared" si="576"/>
        <v>Rugby</v>
      </c>
      <c r="AA649" s="146" t="str">
        <f t="shared" si="577"/>
        <v>Royal</v>
      </c>
      <c r="AC649" s="16" t="str">
        <f t="shared" si="578"/>
        <v>U</v>
      </c>
      <c r="AD649" s="419" t="str">
        <f t="shared" si="578"/>
        <v>Kidder &amp; Stourport</v>
      </c>
      <c r="AE649" s="419">
        <f>IF(ISNA(MATCH(AC649,N648:N657,0)),0,VLOOKUP(AC649,N648:S657,5,FALSE))</f>
        <v>0</v>
      </c>
      <c r="AF649" s="419" t="str">
        <f>IF(ISNA(MATCH(AC649,T648:T657,0))," ",VLOOKUP(AC649,T648:Y657,5,FALSE))</f>
        <v xml:space="preserve"> </v>
      </c>
      <c r="AG649" s="419">
        <f>IF(ISNA(MATCH(AC649,L648:L655,0)),0,VLOOKUP(AC649,L648:N655,3,FALSE))</f>
        <v>3.81</v>
      </c>
      <c r="AH649" s="419">
        <f>IF(ISNA(MATCH(AC649,R648:R655,0)),0,VLOOKUP(AC649,R648:T655,3,FALSE))</f>
        <v>2.8</v>
      </c>
      <c r="AI649" s="419" t="str">
        <f>IF(ISNA(MATCH(AC649,L648:L655,0)),0,VLOOKUP(AC649,L648:P655,4,FALSE))</f>
        <v>U</v>
      </c>
      <c r="AJ649" s="419" t="str">
        <f>IF(ISNA(MATCH(AC649,R648:R655,0)),0,VLOOKUP(AC649,R648:U655,4,FALSE))</f>
        <v>UU</v>
      </c>
      <c r="AK649" s="32">
        <f t="shared" si="579"/>
        <v>5</v>
      </c>
      <c r="AL649" s="32">
        <f t="shared" si="580"/>
        <v>5</v>
      </c>
      <c r="AM649" s="32">
        <f>IF(ISNA(MATCH(AC649,L648:L655,0)),0,VLOOKUP(AC649,L648:W655,AM$1,FALSE))</f>
        <v>4</v>
      </c>
      <c r="AN649" s="146">
        <f>IF(ISNA(MATCH(AC649,R648:R655,0)),0,VLOOKUP(AC649,R648:W655,AN$1,FALSE))</f>
        <v>4</v>
      </c>
      <c r="AP649" s="927"/>
      <c r="AQ649" s="927"/>
    </row>
    <row r="650" spans="1:47" ht="15.6" x14ac:dyDescent="0.3">
      <c r="A650" s="417">
        <f t="shared" ref="A650:A655" si="581">A649+1</f>
        <v>583</v>
      </c>
      <c r="B650" s="362" t="str">
        <f>'Event Details'!D$24</f>
        <v>G</v>
      </c>
      <c r="C650" s="381" t="str">
        <f>'Event Details'!E$24</f>
        <v>Royal Sutton</v>
      </c>
      <c r="D650" s="379"/>
      <c r="E650" s="378"/>
      <c r="F650" s="363" t="str">
        <f>VLOOKUP($B647,IF($H647="F",TeamSheetFemale,TeamSheetMale),$Y650-1,FALSE)</f>
        <v>G</v>
      </c>
      <c r="G650" s="380" t="str">
        <f>VLOOKUP($B647,IF($H647="F",TeamSheetFemale,TeamSheetMale),$Y650,FALSE)</f>
        <v>Finley Aldridge-Cox</v>
      </c>
      <c r="H650" s="363" t="str">
        <f>VLOOKUP($B647,IF($H647="F",TeamSheetFemale,TeamSheetMale),$Y650+1,FALSE)</f>
        <v>GG</v>
      </c>
      <c r="I650" s="364" t="str">
        <f>VLOOKUP($B647,IF($H647="F",TeamSheetFemale,TeamSheetMale),$Y650+2,FALSE)</f>
        <v>Joshua Smith</v>
      </c>
      <c r="K650" s="341" t="s">
        <v>273</v>
      </c>
      <c r="L650" s="16" t="str">
        <f t="shared" si="574"/>
        <v>G</v>
      </c>
      <c r="M650" s="927" t="s">
        <v>110</v>
      </c>
      <c r="N650" s="927">
        <v>4.26</v>
      </c>
      <c r="O650" s="353" t="str">
        <f>IF(LEN($M650)=1,VLOOKUP(LEFT($M650,1),B648:I655,5,FALSE),IF(LEN($M650)=2,VLOOKUP(LEFT($M650,1),B648:I655,7,FALSE),""))</f>
        <v>G</v>
      </c>
      <c r="P650" s="373" t="str">
        <f>IF(LEN($M650)=1,VLOOKUP(LEFT($M650,1),B648:I655,6,FALSE),IF(LEN($M650)=2,VLOOKUP(LEFT($M650,1),B648:I655,8,FALSE),""))</f>
        <v>Finley Aldridge-Cox</v>
      </c>
      <c r="Q650" s="341" t="s">
        <v>273</v>
      </c>
      <c r="R650" s="146" t="str">
        <f t="shared" si="575"/>
        <v>D</v>
      </c>
      <c r="S650" s="927" t="s">
        <v>513</v>
      </c>
      <c r="T650" s="927">
        <v>3.63</v>
      </c>
      <c r="U650" s="353" t="str">
        <f>IF(LEN($S650)=1,VLOOKUP(LEFT($S650,1),B648:I655,5,FALSE),IF(LEN($S650)=2,VLOOKUP(LEFT($S650,1),B648:I655,7,FALSE),""))</f>
        <v>DD</v>
      </c>
      <c r="V650" s="373" t="str">
        <f>IF(LEN($S650)=1,VLOOKUP(LEFT($S650,1),B648:I655,6,FALSE),IF(LEN($S650)=2,VLOOKUP(LEFT($S650,1),B648:I655,8,FALSE),""))</f>
        <v xml:space="preserve">Henry Stacey Harper </v>
      </c>
      <c r="W650" s="417">
        <f t="shared" ref="W650:W655" si="582">W649-1</f>
        <v>6</v>
      </c>
      <c r="Y650" s="417">
        <v>17</v>
      </c>
      <c r="Z650" s="16" t="str">
        <f t="shared" si="576"/>
        <v>Royal</v>
      </c>
      <c r="AA650" s="146" t="str">
        <f t="shared" si="577"/>
        <v>Strat</v>
      </c>
      <c r="AB650" s="32"/>
      <c r="AC650" s="16" t="str">
        <f t="shared" si="578"/>
        <v>G</v>
      </c>
      <c r="AD650" s="419" t="str">
        <f t="shared" si="578"/>
        <v>Royal Sutton</v>
      </c>
      <c r="AE650" s="419">
        <f>IF(ISNA(MATCH(AC650,N648:N657,0)),0,VLOOKUP(AC650,N648:S657,5,FALSE))</f>
        <v>0</v>
      </c>
      <c r="AF650" s="419" t="str">
        <f>IF(ISNA(MATCH(AC650,T648:T657,0))," ",VLOOKUP(AC650,T648:Y657,5,FALSE))</f>
        <v xml:space="preserve"> </v>
      </c>
      <c r="AG650" s="419">
        <f>IF(ISNA(MATCH(AC650,L648:L655,0)),0,VLOOKUP(AC650,L648:N655,3,FALSE))</f>
        <v>4.26</v>
      </c>
      <c r="AH650" s="419">
        <f>IF(ISNA(MATCH(AC650,R648:R655,0)),0,VLOOKUP(AC650,R648:T655,3,FALSE))</f>
        <v>3.72</v>
      </c>
      <c r="AI650" s="419" t="str">
        <f>IF(ISNA(MATCH(AC650,L648:L655,0)),0,VLOOKUP(AC650,L648:P655,4,FALSE))</f>
        <v>G</v>
      </c>
      <c r="AJ650" s="419" t="str">
        <f>IF(ISNA(MATCH(AC650,R648:R655,0)),0,VLOOKUP(AC650,R648:U655,4,FALSE))</f>
        <v>GG</v>
      </c>
      <c r="AK650" s="32">
        <f t="shared" si="579"/>
        <v>3</v>
      </c>
      <c r="AL650" s="32">
        <f t="shared" si="580"/>
        <v>2</v>
      </c>
      <c r="AM650" s="32">
        <f>IF(ISNA(MATCH(AC650,L648:L655,0)),0,VLOOKUP(AC650,L648:W655,AM$1,FALSE))</f>
        <v>6</v>
      </c>
      <c r="AN650" s="146">
        <f>IF(ISNA(MATCH(AC650,R648:R655,0)),0,VLOOKUP(AC650,R648:W655,AN$1,FALSE))</f>
        <v>7</v>
      </c>
      <c r="AP650" s="927"/>
      <c r="AQ650" s="927"/>
    </row>
    <row r="651" spans="1:47" ht="15.6" x14ac:dyDescent="0.3">
      <c r="A651" s="417">
        <f t="shared" si="581"/>
        <v>584</v>
      </c>
      <c r="B651" s="362" t="str">
        <f>'Event Details'!D$25</f>
        <v>R</v>
      </c>
      <c r="C651" s="381" t="str">
        <f>'Event Details'!E$25</f>
        <v>Rugby &amp; N'hampton</v>
      </c>
      <c r="D651" s="379"/>
      <c r="E651" s="378"/>
      <c r="F651" s="363" t="str">
        <f>VLOOKUP($B647,IF($H647="F",TeamSheetFemale,TeamSheetMale),$Y651-1,FALSE)</f>
        <v>R</v>
      </c>
      <c r="G651" s="380" t="str">
        <f>VLOOKUP($B647,IF($H647="F",TeamSheetFemale,TeamSheetMale),$Y651,FALSE)</f>
        <v>Robert Copeland</v>
      </c>
      <c r="H651" s="363" t="str">
        <f>VLOOKUP($B647,IF($H647="F",TeamSheetFemale,TeamSheetMale),$Y651+1,FALSE)</f>
        <v>RR</v>
      </c>
      <c r="I651" s="364" t="str">
        <f>VLOOKUP($B647,IF($H647="F",TeamSheetFemale,TeamSheetMale),$Y651+2,FALSE)</f>
        <v>Hugo Fernandez</v>
      </c>
      <c r="K651" s="341" t="s">
        <v>274</v>
      </c>
      <c r="L651" s="16" t="str">
        <f t="shared" si="574"/>
        <v>D</v>
      </c>
      <c r="M651" s="927" t="s">
        <v>136</v>
      </c>
      <c r="N651" s="927">
        <v>4.05</v>
      </c>
      <c r="O651" s="353" t="str">
        <f>IF(LEN($M651)=1,VLOOKUP(LEFT($M651,1),B648:I655,5,FALSE),IF(LEN($M651)=2,VLOOKUP(LEFT($M651,1),B648:I655,7,FALSE),""))</f>
        <v>D</v>
      </c>
      <c r="P651" s="373" t="str">
        <f>IF(LEN($M651)=1,VLOOKUP(LEFT($M651,1),B648:I655,6,FALSE),IF(LEN($M651)=2,VLOOKUP(LEFT($M651,1),B648:I655,8,FALSE),""))</f>
        <v>Casper Willis</v>
      </c>
      <c r="Q651" s="341" t="s">
        <v>274</v>
      </c>
      <c r="R651" s="146" t="str">
        <f t="shared" si="575"/>
        <v>S</v>
      </c>
      <c r="S651" s="927" t="s">
        <v>818</v>
      </c>
      <c r="T651" s="927">
        <v>3.58</v>
      </c>
      <c r="U651" s="353" t="str">
        <f>IF(LEN($S651)=1,VLOOKUP(LEFT($S651,1),B648:I655,5,FALSE),IF(LEN($S651)=2,VLOOKUP(LEFT($S651,1),B648:I655,7,FALSE),""))</f>
        <v>SS</v>
      </c>
      <c r="V651" s="373" t="str">
        <f>IF(LEN($S651)=1,VLOOKUP(LEFT($S651,1),B648:I655,6,FALSE),IF(LEN($S651)=2,VLOOKUP(LEFT($S651,1),B648:I655,8,FALSE),""))</f>
        <v xml:space="preserve">Harvey Harris </v>
      </c>
      <c r="W651" s="417">
        <f t="shared" si="582"/>
        <v>5</v>
      </c>
      <c r="Y651" s="417">
        <v>22</v>
      </c>
      <c r="Z651" s="16" t="str">
        <f t="shared" si="576"/>
        <v>Strat</v>
      </c>
      <c r="AA651" s="146" t="str">
        <f t="shared" si="577"/>
        <v>BRAT</v>
      </c>
      <c r="AB651" s="32"/>
      <c r="AC651" s="16" t="str">
        <f t="shared" si="578"/>
        <v>R</v>
      </c>
      <c r="AD651" s="419" t="str">
        <f t="shared" si="578"/>
        <v>Rugby &amp; N'hampton</v>
      </c>
      <c r="AE651" s="419">
        <f>IF(ISNA(MATCH(AC651,N648:N657,0)),0,VLOOKUP(AC651,N648:S657,5,FALSE))</f>
        <v>0</v>
      </c>
      <c r="AF651" s="419" t="str">
        <f>IF(ISNA(MATCH(AC651,T648:T657,0))," ",VLOOKUP(AC651,T648:Y657,5,FALSE))</f>
        <v xml:space="preserve"> </v>
      </c>
      <c r="AG651" s="419">
        <f>IF(ISNA(MATCH(AC651,L648:L655,0)),0,VLOOKUP(AC651,L648:N655,3,FALSE))</f>
        <v>4.45</v>
      </c>
      <c r="AH651" s="419">
        <f>IF(ISNA(MATCH(AC651,R648:R655,0)),0,VLOOKUP(AC651,R648:T655,3,FALSE))</f>
        <v>3.88</v>
      </c>
      <c r="AI651" s="419" t="str">
        <f>IF(ISNA(MATCH(AC651,L648:L655,0)),0,VLOOKUP(AC651,L648:P655,4,FALSE))</f>
        <v>R</v>
      </c>
      <c r="AJ651" s="419" t="str">
        <f>IF(ISNA(MATCH(AC651,R648:R655,0)),0,VLOOKUP(AC651,R648:U655,4,FALSE))</f>
        <v>RR</v>
      </c>
      <c r="AK651" s="32">
        <f t="shared" si="579"/>
        <v>2</v>
      </c>
      <c r="AL651" s="32">
        <f t="shared" si="580"/>
        <v>1</v>
      </c>
      <c r="AM651" s="32">
        <f>IF(ISNA(MATCH(AC651,L648:L655,0)),0,VLOOKUP(AC651,L648:W655,AM$1,FALSE))</f>
        <v>7</v>
      </c>
      <c r="AN651" s="146">
        <f>IF(ISNA(MATCH(AC651,R648:R655,0)),0,VLOOKUP(AC651,R648:W655,AN$1,FALSE))</f>
        <v>8</v>
      </c>
      <c r="AP651" s="927"/>
      <c r="AQ651" s="927"/>
    </row>
    <row r="652" spans="1:47" ht="15.6" x14ac:dyDescent="0.3">
      <c r="A652" s="417">
        <f t="shared" si="581"/>
        <v>585</v>
      </c>
      <c r="B652" s="362" t="str">
        <f>'Event Details'!D$26</f>
        <v>M</v>
      </c>
      <c r="C652" s="381" t="str">
        <f>'Event Details'!E$26</f>
        <v>Solihull &amp; S.Heath</v>
      </c>
      <c r="D652" s="379"/>
      <c r="E652" s="378"/>
      <c r="F652" s="363" t="str">
        <f>VLOOKUP($B647,IF($H647="F",TeamSheetFemale,TeamSheetMale),$Y652-1,FALSE)</f>
        <v>M</v>
      </c>
      <c r="G652" s="380" t="str">
        <f>VLOOKUP($B647,IF($H647="F",TeamSheetFemale,TeamSheetMale),$Y652,FALSE)</f>
        <v>Andre Albarel</v>
      </c>
      <c r="H652" s="363">
        <f>VLOOKUP($B647,IF($H647="F",TeamSheetFemale,TeamSheetMale),$Y652+1,FALSE)</f>
        <v>0</v>
      </c>
      <c r="I652" s="364">
        <f>VLOOKUP($B647,IF($H647="F",TeamSheetFemale,TeamSheetMale),$Y652+2,FALSE)</f>
        <v>0</v>
      </c>
      <c r="K652" s="341" t="s">
        <v>275</v>
      </c>
      <c r="L652" s="16" t="str">
        <f t="shared" si="574"/>
        <v>U</v>
      </c>
      <c r="M652" s="927" t="s">
        <v>130</v>
      </c>
      <c r="N652" s="927">
        <v>3.81</v>
      </c>
      <c r="O652" s="353" t="str">
        <f>IF(LEN($M652)=1,VLOOKUP(LEFT($M652,1),B648:I655,5,FALSE),IF(LEN($M652)=2,VLOOKUP(LEFT($M652,1),B648:I655,7,FALSE),""))</f>
        <v>U</v>
      </c>
      <c r="P652" s="373" t="str">
        <f>IF(LEN($M652)=1,VLOOKUP(LEFT($M652,1),B648:I655,6,FALSE),IF(LEN($M652)=2,VLOOKUP(LEFT($M652,1),B648:I655,8,FALSE),""))</f>
        <v>Will Freeman</v>
      </c>
      <c r="Q652" s="341" t="s">
        <v>275</v>
      </c>
      <c r="R652" s="146" t="str">
        <f t="shared" si="575"/>
        <v>U</v>
      </c>
      <c r="S652" s="927" t="s">
        <v>726</v>
      </c>
      <c r="T652" s="927">
        <v>2.8</v>
      </c>
      <c r="U652" s="353" t="str">
        <f>IF(LEN($S652)=1,VLOOKUP(LEFT($S652,1),B648:I655,5,FALSE),IF(LEN($S652)=2,VLOOKUP(LEFT($S652,1),B648:I655,7,FALSE),""))</f>
        <v>UU</v>
      </c>
      <c r="V652" s="373" t="str">
        <f>IF(LEN($S652)=1,VLOOKUP(LEFT($S652,1),B648:I655,6,FALSE),IF(LEN($S652)=2,VLOOKUP(LEFT($S652,1),B648:I655,8,FALSE),""))</f>
        <v>Benjamin Askey</v>
      </c>
      <c r="W652" s="417">
        <f t="shared" si="582"/>
        <v>4</v>
      </c>
      <c r="Y652" s="417">
        <v>27</v>
      </c>
      <c r="Z652" s="16" t="str">
        <f t="shared" si="576"/>
        <v>K&amp;S</v>
      </c>
      <c r="AA652" s="146" t="str">
        <f t="shared" si="577"/>
        <v>K&amp;S</v>
      </c>
      <c r="AB652" s="32"/>
      <c r="AC652" s="16" t="str">
        <f t="shared" si="578"/>
        <v>M</v>
      </c>
      <c r="AD652" s="419" t="str">
        <f t="shared" si="578"/>
        <v>Solihull &amp; S.Heath</v>
      </c>
      <c r="AE652" s="419">
        <f>IF(ISNA(MATCH(AC652,N648:N657,0)),0,VLOOKUP(AC652,N648:S657,5,FALSE))</f>
        <v>0</v>
      </c>
      <c r="AF652" s="419" t="str">
        <f>IF(ISNA(MATCH(AC652,T648:T657,0))," ",VLOOKUP(AC652,T648:Y657,5,FALSE))</f>
        <v xml:space="preserve"> </v>
      </c>
      <c r="AG652" s="419">
        <f>IF(ISNA(MATCH(AC652,L648:L655,0)),0,VLOOKUP(AC652,L648:N655,3,FALSE))</f>
        <v>3.6</v>
      </c>
      <c r="AH652" s="419">
        <f>IF(ISNA(MATCH(AC652,R648:R655,0)),0,VLOOKUP(AC652,R648:T655,3,FALSE))</f>
        <v>0</v>
      </c>
      <c r="AI652" s="419" t="str">
        <f>IF(ISNA(MATCH(AC652,L648:L655,0)),0,VLOOKUP(AC652,L648:P655,4,FALSE))</f>
        <v>M</v>
      </c>
      <c r="AJ652" s="419">
        <f>IF(ISNA(MATCH(AC652,R648:R655,0)),0,VLOOKUP(AC652,R648:U655,4,FALSE))</f>
        <v>0</v>
      </c>
      <c r="AK652" s="32">
        <f t="shared" si="579"/>
        <v>6</v>
      </c>
      <c r="AL652" s="32">
        <f t="shared" si="580"/>
        <v>0</v>
      </c>
      <c r="AM652" s="32">
        <f>IF(ISNA(MATCH(AC652,L648:L655,0)),0,VLOOKUP(AC652,L648:W655,AM$1,FALSE))</f>
        <v>3</v>
      </c>
      <c r="AN652" s="146">
        <f>IF(ISNA(MATCH(AC652,R648:R655,0)),0,VLOOKUP(AC652,R648:W655,AN$1,FALSE))</f>
        <v>0</v>
      </c>
      <c r="AP652" s="927"/>
      <c r="AQ652" s="927"/>
    </row>
    <row r="653" spans="1:47" ht="15.6" x14ac:dyDescent="0.3">
      <c r="A653" s="417">
        <f t="shared" si="581"/>
        <v>586</v>
      </c>
      <c r="B653" s="362" t="str">
        <f>'Event Details'!D$27</f>
        <v>D</v>
      </c>
      <c r="C653" s="381" t="str">
        <f>'Event Details'!E$27</f>
        <v>Stratford</v>
      </c>
      <c r="D653" s="379"/>
      <c r="E653" s="378"/>
      <c r="F653" s="363" t="str">
        <f>VLOOKUP($B647,IF($H647="F",TeamSheetFemale,TeamSheetMale),$Y653-1,FALSE)</f>
        <v>D</v>
      </c>
      <c r="G653" s="380" t="str">
        <f>VLOOKUP($B647,IF($H647="F",TeamSheetFemale,TeamSheetMale),$Y653,FALSE)</f>
        <v>Casper Willis</v>
      </c>
      <c r="H653" s="363" t="str">
        <f>VLOOKUP($B647,IF($H647="F",TeamSheetFemale,TeamSheetMale),$Y653+1,FALSE)</f>
        <v>DD</v>
      </c>
      <c r="I653" s="364" t="str">
        <f>VLOOKUP($B647,IF($H647="F",TeamSheetFemale,TeamSheetMale),$Y653+2,FALSE)</f>
        <v xml:space="preserve">Henry Stacey Harper </v>
      </c>
      <c r="K653" s="341" t="s">
        <v>276</v>
      </c>
      <c r="L653" s="16" t="str">
        <f t="shared" si="574"/>
        <v>M</v>
      </c>
      <c r="M653" s="927" t="s">
        <v>127</v>
      </c>
      <c r="N653" s="927">
        <v>3.6</v>
      </c>
      <c r="O653" s="353" t="str">
        <f>IF(LEN($M653)=1,VLOOKUP(LEFT($M653,1),B648:I655,5,FALSE),IF(LEN($M653)=2,VLOOKUP(LEFT($M653,1),B648:I655,7,FALSE),""))</f>
        <v>M</v>
      </c>
      <c r="P653" s="373" t="str">
        <f>IF(LEN($M653)=1,VLOOKUP(LEFT($M653,1),B648:I655,6,FALSE),IF(LEN($M653)=2,VLOOKUP(LEFT($M653,1),B648:I655,8,FALSE),""))</f>
        <v>Andre Albarel</v>
      </c>
      <c r="Q653" s="341" t="s">
        <v>276</v>
      </c>
      <c r="R653" s="146" t="str">
        <f t="shared" si="575"/>
        <v/>
      </c>
      <c r="S653" s="927"/>
      <c r="T653" s="927"/>
      <c r="U653" s="353" t="str">
        <f>IF(LEN($S653)=1,VLOOKUP(LEFT($S653,1),B648:I655,5,FALSE),IF(LEN($S653)=2,VLOOKUP(LEFT($S653,1),B648:I655,7,FALSE),""))</f>
        <v/>
      </c>
      <c r="V653" s="373" t="str">
        <f>IF(LEN($S653)=1,VLOOKUP(LEFT($S653,1),B648:I655,6,FALSE),IF(LEN($S653)=2,VLOOKUP(LEFT($S653,1),B648:I655,8,FALSE),""))</f>
        <v/>
      </c>
      <c r="W653" s="417">
        <f t="shared" si="582"/>
        <v>3</v>
      </c>
      <c r="Y653" s="417">
        <v>32</v>
      </c>
      <c r="Z653" s="16" t="str">
        <f t="shared" si="576"/>
        <v>Sol</v>
      </c>
      <c r="AA653" s="146">
        <f t="shared" si="577"/>
        <v>0</v>
      </c>
      <c r="AB653" s="32"/>
      <c r="AC653" s="16" t="str">
        <f t="shared" si="578"/>
        <v>D</v>
      </c>
      <c r="AD653" s="419" t="str">
        <f t="shared" si="578"/>
        <v>Stratford</v>
      </c>
      <c r="AE653" s="419">
        <f>IF(ISNA(MATCH(AC653,N648:N657,0)),0,VLOOKUP(AC653,N648:S657,5,FALSE))</f>
        <v>0</v>
      </c>
      <c r="AF653" s="419" t="str">
        <f>IF(ISNA(MATCH(AC653,T648:T657,0))," ",VLOOKUP(AC653,T648:Y657,5,FALSE))</f>
        <v xml:space="preserve"> </v>
      </c>
      <c r="AG653" s="419">
        <f>IF(ISNA(MATCH(AC653,L648:L655,0)),0,VLOOKUP(AC653,L648:N655,3,FALSE))</f>
        <v>4.05</v>
      </c>
      <c r="AH653" s="419">
        <f>IF(ISNA(MATCH(AC653,R648:R655,0)),0,VLOOKUP(AC653,R648:T655,3,FALSE))</f>
        <v>3.63</v>
      </c>
      <c r="AI653" s="419" t="str">
        <f>IF(ISNA(MATCH(AC653,L648:L655,0)),0,VLOOKUP(AC653,L648:P655,4,FALSE))</f>
        <v>D</v>
      </c>
      <c r="AJ653" s="419" t="str">
        <f>IF(ISNA(MATCH(AC653,R648:R655,0)),0,VLOOKUP(AC653,R648:U655,4,FALSE))</f>
        <v>DD</v>
      </c>
      <c r="AK653" s="32">
        <f t="shared" si="579"/>
        <v>4</v>
      </c>
      <c r="AL653" s="32">
        <f t="shared" si="580"/>
        <v>3</v>
      </c>
      <c r="AM653" s="32">
        <f>IF(ISNA(MATCH(AC653,L648:L655,0)),0,VLOOKUP(AC653,L648:W655,AM$1,FALSE))</f>
        <v>5</v>
      </c>
      <c r="AN653" s="146">
        <f>IF(ISNA(MATCH(AC653,R648:R655,0)),0,VLOOKUP(AC653,R648:W655,AN$1,FALSE))</f>
        <v>6</v>
      </c>
      <c r="AP653" s="927"/>
      <c r="AQ653" s="927"/>
    </row>
    <row r="654" spans="1:47" ht="15.6" x14ac:dyDescent="0.3">
      <c r="A654" s="417">
        <f t="shared" si="581"/>
        <v>587</v>
      </c>
      <c r="B654" s="362" t="str">
        <f>'Event Details'!D$28</f>
        <v>F</v>
      </c>
      <c r="C654" s="381" t="str">
        <f>'Event Details'!E$28</f>
        <v>Tamworth</v>
      </c>
      <c r="D654" s="379"/>
      <c r="E654" s="378"/>
      <c r="F654" s="363" t="str">
        <f>VLOOKUP($B647,IF($H647="F",TeamSheetFemale,TeamSheetMale),$Y654-1,FALSE)</f>
        <v>F</v>
      </c>
      <c r="G654" s="380" t="str">
        <f>VLOOKUP($B647,IF($H647="F",TeamSheetFemale,TeamSheetMale),$Y654,FALSE)</f>
        <v>Alfie Kemp</v>
      </c>
      <c r="H654" s="363" t="str">
        <f>VLOOKUP($B647,IF($H647="F",TeamSheetFemale,TeamSheetMale),$Y654+1,FALSE)</f>
        <v>FF</v>
      </c>
      <c r="I654" s="364" t="str">
        <f>VLOOKUP($B647,IF($H647="F",TeamSheetFemale,TeamSheetMale),$Y654+2,FALSE)</f>
        <v>Elijah Brockway</v>
      </c>
      <c r="K654" s="341" t="s">
        <v>277</v>
      </c>
      <c r="L654" s="16" t="str">
        <f t="shared" si="574"/>
        <v>Y</v>
      </c>
      <c r="M654" s="931" t="s">
        <v>151</v>
      </c>
      <c r="N654" s="927">
        <v>3.43</v>
      </c>
      <c r="O654" s="353" t="str">
        <f>IF(LEN($M654)=1,VLOOKUP(LEFT($M654,1),B648:I655,5,FALSE),IF(LEN($M654)=2,VLOOKUP(LEFT($M654,1),B648:I655,7,FALSE),""))</f>
        <v>Y</v>
      </c>
      <c r="P654" s="373" t="str">
        <f>IF(LEN($M654)=1,VLOOKUP(LEFT($M654,1),B648:I655,6,FALSE),IF(LEN($M654)=2,VLOOKUP(LEFT($M654,1),B648:I655,8,FALSE),""))</f>
        <v>Sam Gromski</v>
      </c>
      <c r="Q654" s="341" t="s">
        <v>277</v>
      </c>
      <c r="R654" s="146" t="str">
        <f t="shared" si="575"/>
        <v/>
      </c>
      <c r="S654" s="931"/>
      <c r="T654" s="927"/>
      <c r="U654" s="353" t="str">
        <f>IF(LEN($S654)=1,VLOOKUP(LEFT($S654,1),B648:I655,5,FALSE),IF(LEN($S654)=2,VLOOKUP(LEFT($S654,1),B648:I655,7,FALSE),""))</f>
        <v/>
      </c>
      <c r="V654" s="373" t="str">
        <f>IF(LEN($S654)=1,VLOOKUP(LEFT($S654,1),B648:I655,6,FALSE),IF(LEN($S654)=2,VLOOKUP(LEFT($S654,1),B648:I655,8,FALSE),""))</f>
        <v/>
      </c>
      <c r="W654" s="417">
        <f t="shared" si="582"/>
        <v>2</v>
      </c>
      <c r="Y654" s="417">
        <v>37</v>
      </c>
      <c r="Z654" s="16" t="str">
        <f t="shared" si="576"/>
        <v>Worc</v>
      </c>
      <c r="AA654" s="146">
        <f t="shared" si="577"/>
        <v>0</v>
      </c>
      <c r="AB654" s="32"/>
      <c r="AC654" s="16" t="str">
        <f t="shared" si="578"/>
        <v>F</v>
      </c>
      <c r="AD654" s="419" t="str">
        <f t="shared" si="578"/>
        <v>Tamworth</v>
      </c>
      <c r="AE654" s="419">
        <f>IF(ISNA(MATCH(AC654,N646:N655,0)),0,VLOOKUP(AC654,N646:S655,5,FALSE))</f>
        <v>0</v>
      </c>
      <c r="AF654" s="419" t="str">
        <f>IF(ISNA(MATCH(AC654,T646:T655,0))," ",VLOOKUP(AC654,T646:Y655,5,FALSE))</f>
        <v xml:space="preserve"> </v>
      </c>
      <c r="AG654" s="419">
        <f>IF(ISNA(MATCH(AC654,L648:L655,0)),0,VLOOKUP(AC654,L648:N655,3,FALSE))</f>
        <v>3.05</v>
      </c>
      <c r="AH654" s="419">
        <f>IF(ISNA(MATCH(AC654,R648:R655,0)),0,VLOOKUP(AC654,R648:T655,3,FALSE))</f>
        <v>0</v>
      </c>
      <c r="AI654" s="419" t="str">
        <f>IF(ISNA(MATCH(AC654,L648:L655,0)),0,VLOOKUP(AC654,L648:P655,4,FALSE))</f>
        <v>F</v>
      </c>
      <c r="AJ654" s="419">
        <f>IF(ISNA(MATCH(AC654,R648:R655,0)),0,VLOOKUP(AC654,R648:U655,4,FALSE))</f>
        <v>0</v>
      </c>
      <c r="AK654" s="32">
        <f t="shared" si="579"/>
        <v>8</v>
      </c>
      <c r="AL654" s="32">
        <f t="shared" si="580"/>
        <v>0</v>
      </c>
      <c r="AM654" s="32">
        <f>IF(ISNA(MATCH(AC654,L648:L655,0)),0,VLOOKUP(AC654,L648:W655,AM$1,FALSE))</f>
        <v>1</v>
      </c>
      <c r="AN654" s="146">
        <f>IF(ISNA(MATCH(AC654,R648:R655,0)),0,VLOOKUP(AC654,R648:W655,AN$1,FALSE))</f>
        <v>0</v>
      </c>
      <c r="AP654" s="931"/>
      <c r="AQ654" s="927"/>
    </row>
    <row r="655" spans="1:47" ht="16.2" thickBot="1" x14ac:dyDescent="0.35">
      <c r="A655" s="418">
        <f t="shared" si="581"/>
        <v>588</v>
      </c>
      <c r="B655" s="365" t="str">
        <f>'Event Details'!D$29</f>
        <v>Y</v>
      </c>
      <c r="C655" s="366" t="str">
        <f>'Event Details'!E$29</f>
        <v>Worcester</v>
      </c>
      <c r="D655" s="361"/>
      <c r="E655" s="370"/>
      <c r="F655" s="367" t="str">
        <f>VLOOKUP($B647,IF($H647="F",TeamSheetFemale,TeamSheetMale),$Y655-1,FALSE)</f>
        <v>Y</v>
      </c>
      <c r="G655" s="368" t="str">
        <f>VLOOKUP($B647,IF($H647="F",TeamSheetFemale,TeamSheetMale),$Y655,FALSE)</f>
        <v>Sam Gromski</v>
      </c>
      <c r="H655" s="367">
        <f>VLOOKUP($B647,IF($H647="F",TeamSheetFemale,TeamSheetMale),$Y655+1,FALSE)</f>
        <v>0</v>
      </c>
      <c r="I655" s="369">
        <f>VLOOKUP($B647,IF($H647="F",TeamSheetFemale,TeamSheetMale),$Y655+2,FALSE)</f>
        <v>0</v>
      </c>
      <c r="K655" s="346" t="s">
        <v>278</v>
      </c>
      <c r="L655" s="25" t="str">
        <f t="shared" si="574"/>
        <v>F</v>
      </c>
      <c r="M655" s="928" t="s">
        <v>142</v>
      </c>
      <c r="N655" s="932">
        <v>3.05</v>
      </c>
      <c r="O655" s="375" t="str">
        <f>IF(LEN($M655)=1,VLOOKUP(LEFT($M655,1),B648:I655,5,FALSE),IF(LEN($M655)=2,VLOOKUP(LEFT($M655,1),B648:I655,7,FALSE),""))</f>
        <v>F</v>
      </c>
      <c r="P655" s="376" t="str">
        <f>IF(LEN($M655)=1,VLOOKUP(LEFT($M655,1),B648:I655,6,FALSE),IF(LEN($M655)=2,VLOOKUP(LEFT($M655,1),B648:I655,8,FALSE),""))</f>
        <v>Alfie Kemp</v>
      </c>
      <c r="Q655" s="346" t="s">
        <v>278</v>
      </c>
      <c r="R655" s="523" t="str">
        <f t="shared" si="575"/>
        <v/>
      </c>
      <c r="S655" s="928"/>
      <c r="T655" s="932"/>
      <c r="U655" s="375" t="str">
        <f>IF(LEN($S655)=1,VLOOKUP(LEFT($S655,1),B648:I655,5,FALSE),IF(LEN($S655)=2,VLOOKUP(LEFT($S655,1),B648:I655,7,FALSE),""))</f>
        <v/>
      </c>
      <c r="V655" s="376" t="str">
        <f>IF(LEN($S655)=1,VLOOKUP(LEFT($S655,1),B648:I655,6,FALSE),IF(LEN($S655)=2,VLOOKUP(LEFT($S655,1),B648:I655,8,FALSE),""))</f>
        <v/>
      </c>
      <c r="W655" s="418">
        <f t="shared" si="582"/>
        <v>1</v>
      </c>
      <c r="Y655" s="418">
        <v>42</v>
      </c>
      <c r="Z655" s="25" t="str">
        <f t="shared" si="576"/>
        <v>Tam</v>
      </c>
      <c r="AA655" s="523">
        <f t="shared" si="577"/>
        <v>0</v>
      </c>
      <c r="AB655" s="32"/>
      <c r="AC655" s="25" t="str">
        <f t="shared" si="578"/>
        <v>Y</v>
      </c>
      <c r="AD655" s="624" t="str">
        <f t="shared" si="578"/>
        <v>Worcester</v>
      </c>
      <c r="AE655" s="624">
        <f>IF(ISNA(MATCH(AC655,N647:N656,0)),0,VLOOKUP(AC655,N647:S656,5,FALSE))</f>
        <v>0</v>
      </c>
      <c r="AF655" s="624" t="str">
        <f t="shared" ref="AF655" si="583">IF(ISNA(MATCH(AC655,T647:T656,0))," ",VLOOKUP(AC655,T647:Y656,5,FALSE))</f>
        <v xml:space="preserve"> </v>
      </c>
      <c r="AG655" s="624">
        <f>IF(ISNA(MATCH(AC655,L648:L655,0)),0,VLOOKUP(AC655,L648:N655,3,FALSE))</f>
        <v>3.43</v>
      </c>
      <c r="AH655" s="624">
        <f>IF(ISNA(MATCH(AC655,R648:R655,0)),0,VLOOKUP(AC655,R648:T655,3,FALSE))</f>
        <v>0</v>
      </c>
      <c r="AI655" s="624" t="str">
        <f>IF(ISNA(MATCH(AC655,L648:L655,0)),0,VLOOKUP(AC655,L648:P655,4,FALSE))</f>
        <v>Y</v>
      </c>
      <c r="AJ655" s="624">
        <f>IF(ISNA(MATCH(AC655,R648:R655,0)),0,VLOOKUP(AC655,R648:U655,4,FALSE))</f>
        <v>0</v>
      </c>
      <c r="AK655" s="116">
        <f t="shared" si="579"/>
        <v>7</v>
      </c>
      <c r="AL655" s="116">
        <f t="shared" si="580"/>
        <v>0</v>
      </c>
      <c r="AM655" s="116">
        <f>IF(ISNA(MATCH(AC655,L648:L655,0)),0,VLOOKUP(AC655,L648:W655,AM$1,FALSE))</f>
        <v>2</v>
      </c>
      <c r="AN655" s="523">
        <f>IF(ISNA(MATCH(AC655,R648:R655,0)),0,VLOOKUP(AC655,R648:W655,AN$1,FALSE))</f>
        <v>0</v>
      </c>
      <c r="AP655" s="928"/>
      <c r="AQ655" s="932"/>
    </row>
    <row r="656" spans="1:47" ht="15" thickBot="1" x14ac:dyDescent="0.35">
      <c r="M656" s="276"/>
      <c r="N656" s="307"/>
      <c r="S656" s="276"/>
      <c r="T656" s="307"/>
      <c r="AP656" s="276"/>
      <c r="AQ656" s="307"/>
    </row>
    <row r="657" spans="1:47" x14ac:dyDescent="0.3">
      <c r="B657" s="400" t="s">
        <v>258</v>
      </c>
      <c r="C657" s="398"/>
      <c r="D657" s="401" t="s">
        <v>165</v>
      </c>
      <c r="E657" s="398"/>
      <c r="F657" s="398"/>
      <c r="G657" s="402" t="s">
        <v>259</v>
      </c>
      <c r="H657" s="403" t="s">
        <v>249</v>
      </c>
      <c r="I657" s="404" t="s">
        <v>168</v>
      </c>
      <c r="K657" s="360"/>
      <c r="L657" s="661"/>
      <c r="M657" s="387" t="s">
        <v>260</v>
      </c>
      <c r="N657" s="387" t="s">
        <v>261</v>
      </c>
      <c r="O657" s="387" t="s">
        <v>262</v>
      </c>
      <c r="P657" s="388" t="s">
        <v>75</v>
      </c>
      <c r="Q657" s="412"/>
      <c r="R657" s="657"/>
      <c r="S657" s="387" t="s">
        <v>260</v>
      </c>
      <c r="T657" s="387" t="s">
        <v>261</v>
      </c>
      <c r="U657" s="387" t="s">
        <v>262</v>
      </c>
      <c r="V657" s="388" t="s">
        <v>75</v>
      </c>
      <c r="W657" s="672" t="s">
        <v>76</v>
      </c>
      <c r="Y657" s="654" t="s">
        <v>263</v>
      </c>
      <c r="Z657" s="656" t="s">
        <v>74</v>
      </c>
      <c r="AA657" s="657" t="s">
        <v>75</v>
      </c>
      <c r="AC657" s="665" t="s">
        <v>71</v>
      </c>
      <c r="AD657" s="657" t="s">
        <v>86</v>
      </c>
      <c r="AE657" s="661" t="s">
        <v>149</v>
      </c>
      <c r="AF657" s="661" t="s">
        <v>94</v>
      </c>
      <c r="AG657" s="661" t="s">
        <v>149</v>
      </c>
      <c r="AH657" s="661" t="s">
        <v>94</v>
      </c>
      <c r="AI657" s="661" t="s">
        <v>149</v>
      </c>
      <c r="AJ657" s="661" t="s">
        <v>94</v>
      </c>
      <c r="AK657" s="1332" t="s">
        <v>149</v>
      </c>
      <c r="AL657" s="661" t="s">
        <v>94</v>
      </c>
      <c r="AM657" s="1406" t="s">
        <v>76</v>
      </c>
      <c r="AN657" s="1407"/>
      <c r="AP657" s="387" t="s">
        <v>260</v>
      </c>
      <c r="AQ657" s="387" t="s">
        <v>261</v>
      </c>
      <c r="AS657" s="1218" t="s">
        <v>165</v>
      </c>
      <c r="AT657" s="1219" t="s">
        <v>79</v>
      </c>
      <c r="AU657" s="1220" t="s">
        <v>80</v>
      </c>
    </row>
    <row r="658" spans="1:47" ht="15" thickBot="1" x14ac:dyDescent="0.35">
      <c r="B658" s="405">
        <v>59</v>
      </c>
      <c r="C658" s="399"/>
      <c r="D658" s="385" t="str">
        <f>VLOOKUP($B658,EventOrder,6,FALSE)</f>
        <v xml:space="preserve">Shot </v>
      </c>
      <c r="E658" s="399"/>
      <c r="F658" s="385"/>
      <c r="G658" s="386" t="str">
        <f>VLOOKUP($B658,EventOrder,4,FALSE)</f>
        <v>U14 Female</v>
      </c>
      <c r="H658" s="396" t="str">
        <f>IF(MID(G658,5,1)="F","F","M")</f>
        <v>F</v>
      </c>
      <c r="I658" s="397">
        <f>VLOOKUP($B658,EventOrder,2,FALSE)</f>
        <v>3.3</v>
      </c>
      <c r="K658" s="372"/>
      <c r="L658" s="667" t="s">
        <v>149</v>
      </c>
      <c r="M658" s="409" t="s">
        <v>264</v>
      </c>
      <c r="N658" s="409" t="s">
        <v>265</v>
      </c>
      <c r="O658" s="409" t="s">
        <v>266</v>
      </c>
      <c r="P658" s="408"/>
      <c r="Q658" s="413"/>
      <c r="R658" s="659" t="s">
        <v>94</v>
      </c>
      <c r="S658" s="409" t="s">
        <v>264</v>
      </c>
      <c r="T658" s="409" t="s">
        <v>265</v>
      </c>
      <c r="U658" s="409" t="s">
        <v>266</v>
      </c>
      <c r="V658" s="408"/>
      <c r="W658" s="671"/>
      <c r="Y658" s="655" t="s">
        <v>167</v>
      </c>
      <c r="Z658" s="658" t="s">
        <v>149</v>
      </c>
      <c r="AA658" s="659" t="s">
        <v>94</v>
      </c>
      <c r="AC658" s="666"/>
      <c r="AD658" s="668"/>
      <c r="AE658" s="768" t="s">
        <v>75</v>
      </c>
      <c r="AF658" s="768" t="s">
        <v>75</v>
      </c>
      <c r="AG658" s="768" t="s">
        <v>267</v>
      </c>
      <c r="AH658" s="768" t="s">
        <v>267</v>
      </c>
      <c r="AI658" s="768" t="s">
        <v>268</v>
      </c>
      <c r="AJ658" s="768" t="s">
        <v>268</v>
      </c>
      <c r="AK658" s="770" t="s">
        <v>269</v>
      </c>
      <c r="AL658" s="768" t="s">
        <v>269</v>
      </c>
      <c r="AM658" s="667" t="s">
        <v>149</v>
      </c>
      <c r="AN658" s="659" t="s">
        <v>94</v>
      </c>
      <c r="AP658" s="409" t="s">
        <v>264</v>
      </c>
      <c r="AQ658" s="409" t="s">
        <v>265</v>
      </c>
      <c r="AS658" s="1221" t="s">
        <v>270</v>
      </c>
      <c r="AT658" s="1222" t="s">
        <v>270</v>
      </c>
      <c r="AU658" s="1223" t="s">
        <v>270</v>
      </c>
    </row>
    <row r="659" spans="1:47" ht="15.6" x14ac:dyDescent="0.3">
      <c r="A659" s="416">
        <f>(B658*10)+1</f>
        <v>591</v>
      </c>
      <c r="B659" s="362" t="str">
        <f>'Event Details'!D$22</f>
        <v>S</v>
      </c>
      <c r="C659" s="381" t="str">
        <f>'Event Details'!E$22</f>
        <v>BRAT</v>
      </c>
      <c r="D659" s="379"/>
      <c r="E659" s="378"/>
      <c r="F659" s="363" t="str">
        <f>VLOOKUP($B658,IF($H658="F",TeamSheetFemale,TeamSheetMale),$Y659-1,FALSE)</f>
        <v>S</v>
      </c>
      <c r="G659" s="380" t="str">
        <f>VLOOKUP($B658,IF($H658="F",TeamSheetFemale,TeamSheetMale),$Y659,FALSE)</f>
        <v>Rose Ricardo</v>
      </c>
      <c r="H659" s="363" t="str">
        <f>VLOOKUP($B658,IF($H658="F",TeamSheetFemale,TeamSheetMale),$Y659+1,FALSE)</f>
        <v>SS</v>
      </c>
      <c r="I659" s="364" t="str">
        <f>VLOOKUP($B658,IF($H658="F",TeamSheetFemale,TeamSheetMale),$Y659+2,FALSE)</f>
        <v>Hiba Bailey</v>
      </c>
      <c r="K659" s="393" t="s">
        <v>271</v>
      </c>
      <c r="L659" s="16" t="str">
        <f t="shared" ref="L659:L666" si="584">LEFT(M659,1)</f>
        <v>R</v>
      </c>
      <c r="M659" s="926" t="s">
        <v>118</v>
      </c>
      <c r="N659" s="926">
        <v>9.25</v>
      </c>
      <c r="O659" s="394" t="str">
        <f>IF(LEN($M659)=1,VLOOKUP(LEFT($M659,1),B659:I666,5,FALSE),IF(LEN($M659)=2,VLOOKUP(LEFT($M659,1),B659:I666,7,FALSE),""))</f>
        <v>R</v>
      </c>
      <c r="P659" s="395" t="str">
        <f>IF(LEN($M659)=1,VLOOKUP(LEFT($M659,1),B659:I666,6,FALSE),IF(LEN($M659)=2,VLOOKUP(LEFT($M659,1),B659:I666,8,FALSE),""))</f>
        <v>Taya Young</v>
      </c>
      <c r="Q659" s="406" t="s">
        <v>271</v>
      </c>
      <c r="R659" s="146" t="str">
        <f t="shared" ref="R659:R666" si="585">LEFT(S659,1)</f>
        <v>S</v>
      </c>
      <c r="S659" s="926" t="s">
        <v>818</v>
      </c>
      <c r="T659" s="926">
        <v>6.98</v>
      </c>
      <c r="U659" s="394" t="str">
        <f>IF(LEN($S659)=1,VLOOKUP(LEFT($S659,1),B659:I666,5,FALSE),IF(LEN($S659)=2,VLOOKUP(LEFT($S659,1),B659:I666,7,FALSE),""))</f>
        <v>SS</v>
      </c>
      <c r="V659" s="395" t="str">
        <f>IF(LEN($S659)=1,VLOOKUP(LEFT($S659,1),B659:I666,6,FALSE),IF(LEN($S659)=2,VLOOKUP(LEFT($S659,1),B659:I666,8,FALSE),""))</f>
        <v>Hiba Bailey</v>
      </c>
      <c r="W659" s="417">
        <f>AN$6</f>
        <v>8</v>
      </c>
      <c r="Y659" s="653">
        <v>7</v>
      </c>
      <c r="Z659" s="653" t="str">
        <f t="shared" ref="Z659:Z666" si="586">IF(LEN(M659)&gt;0,VLOOKUP(LEFT(M659,1),ShortName,5,FALSE),0)</f>
        <v>Rugby</v>
      </c>
      <c r="AA659" s="138" t="str">
        <f t="shared" ref="AA659:AA666" si="587">IF(LEN(S659)&gt;0,VLOOKUP(LEFT(S659,1),ShortName,5,FALSE),0)</f>
        <v>BRAT</v>
      </c>
      <c r="AC659" s="16" t="str">
        <f t="shared" ref="AC659:AD666" si="588">B659</f>
        <v>S</v>
      </c>
      <c r="AD659" s="419" t="str">
        <f t="shared" si="588"/>
        <v>BRAT</v>
      </c>
      <c r="AE659" s="635">
        <f>IF(ISNA(MATCH(AC659,N659:N668,0)),0,VLOOKUP(AC659,N659:S668,5,FALSE))</f>
        <v>0</v>
      </c>
      <c r="AF659" s="635" t="str">
        <f>IF(ISNA(MATCH(AC659,T659:T668,0))," ",VLOOKUP(AC659,T659:Y668,5,FALSE))</f>
        <v xml:space="preserve"> </v>
      </c>
      <c r="AG659" s="635">
        <f>IF(ISNA(MATCH(AC659,L659:L666,0)),0,VLOOKUP(AC659,L659:N666,3,FALSE))</f>
        <v>8.4499999999999993</v>
      </c>
      <c r="AH659" s="635">
        <f>IF(ISNA(MATCH(AC659,R659:R666,0)),0,VLOOKUP(AC659,R659:T666,3,FALSE))</f>
        <v>6.98</v>
      </c>
      <c r="AI659" s="635" t="str">
        <f>IF(ISNA(MATCH(AC659,L659:L666,0)),0,VLOOKUP(AC659,L659:P666,4,FALSE))</f>
        <v>S</v>
      </c>
      <c r="AJ659" s="635" t="str">
        <f>IF(ISNA(MATCH(AC659,R659:R666,0)),0,VLOOKUP(AC659,R659:U666,4,FALSE))</f>
        <v>SS</v>
      </c>
      <c r="AK659" s="49">
        <f t="shared" ref="AK659:AK666" si="589">IF(AM659=0,0,AN$6-(AM659-1))</f>
        <v>2</v>
      </c>
      <c r="AL659" s="49">
        <f t="shared" ref="AL659:AL666" si="590">IF(AN659=0,0,AN$6-(AN659-1))</f>
        <v>1</v>
      </c>
      <c r="AM659" s="49">
        <f>IF(ISNA(MATCH(AC659,L659:L666,0)),0,VLOOKUP(AC659,L659:W666,AM$1,FALSE))</f>
        <v>7</v>
      </c>
      <c r="AN659" s="138">
        <f>IF(ISNA(MATCH(AC659,R659:R666,0)),0,VLOOKUP(AC659,R659:W666,AN$1,FALSE))</f>
        <v>8</v>
      </c>
      <c r="AP659" s="926"/>
      <c r="AQ659" s="926"/>
      <c r="AS659" s="32">
        <f>IF(LEN(N659)&gt;0,1,0)</f>
        <v>1</v>
      </c>
      <c r="AT659" s="32">
        <f>IF(AND(AS659=1,H658="M"),1,0)</f>
        <v>0</v>
      </c>
      <c r="AU659" s="32">
        <f>IF(AND(AS659=1,H658="F"),1,0)</f>
        <v>1</v>
      </c>
    </row>
    <row r="660" spans="1:47" ht="15.6" x14ac:dyDescent="0.3">
      <c r="A660" s="417">
        <f>A659+1</f>
        <v>592</v>
      </c>
      <c r="B660" s="362" t="str">
        <f>'Event Details'!D$23</f>
        <v>U</v>
      </c>
      <c r="C660" s="381" t="str">
        <f>'Event Details'!E$23</f>
        <v>Kidder &amp; Stourport</v>
      </c>
      <c r="D660" s="379"/>
      <c r="E660" s="378"/>
      <c r="F660" s="363" t="str">
        <f>VLOOKUP($B658,IF($H658="F",TeamSheetFemale,TeamSheetMale),$Y660-1,FALSE)</f>
        <v>U</v>
      </c>
      <c r="G660" s="380" t="str">
        <f>VLOOKUP($B658,IF($H658="F",TeamSheetFemale,TeamSheetMale),$Y660,FALSE)</f>
        <v>Imogen McCann</v>
      </c>
      <c r="H660" s="363" t="str">
        <f>VLOOKUP($B658,IF($H658="F",TeamSheetFemale,TeamSheetMale),$Y660+1,FALSE)</f>
        <v>UU</v>
      </c>
      <c r="I660" s="364" t="str">
        <f>VLOOKUP($B658,IF($H658="F",TeamSheetFemale,TeamSheetMale),$Y660+2,FALSE)</f>
        <v>Isabelle McCann</v>
      </c>
      <c r="K660" s="341" t="s">
        <v>272</v>
      </c>
      <c r="L660" s="16" t="str">
        <f t="shared" si="584"/>
        <v>S</v>
      </c>
      <c r="M660" s="927" t="s">
        <v>100</v>
      </c>
      <c r="N660" s="927">
        <v>8.4499999999999993</v>
      </c>
      <c r="O660" s="354" t="str">
        <f>IF(LEN($M660)=1,VLOOKUP(LEFT($M660,1),B659:I666,5,FALSE),IF(LEN($M660)=2,VLOOKUP(LEFT($M660,1),B659:I666,7,FALSE),""))</f>
        <v>S</v>
      </c>
      <c r="P660" s="410" t="str">
        <f>IF(LEN($M660)=1,VLOOKUP(LEFT($M660,1),B659:I666,6,FALSE),IF(LEN($M660)=2,VLOOKUP(LEFT($M660,1),B659:I666,8,FALSE),""))</f>
        <v>Rose Ricardo</v>
      </c>
      <c r="Q660" s="371" t="s">
        <v>272</v>
      </c>
      <c r="R660" s="146" t="str">
        <f t="shared" si="585"/>
        <v>U</v>
      </c>
      <c r="S660" s="927" t="s">
        <v>726</v>
      </c>
      <c r="T660" s="927">
        <v>6.1</v>
      </c>
      <c r="U660" s="354" t="str">
        <f>IF(LEN($S660)=1,VLOOKUP(LEFT($S660,1),B659:I666,5,FALSE),IF(LEN($S660)=2,VLOOKUP(LEFT($S660,1),B659:I666,7,FALSE),""))</f>
        <v>UU</v>
      </c>
      <c r="V660" s="410" t="str">
        <f>IF(LEN($S660)=1,VLOOKUP(LEFT($S660,1),B659:I666,6,FALSE),IF(LEN($S660)=2,VLOOKUP(LEFT($S660,1),B659:I666,8,FALSE),""))</f>
        <v>Isabelle McCann</v>
      </c>
      <c r="W660" s="417">
        <f>W659-1</f>
        <v>7</v>
      </c>
      <c r="Y660" s="16">
        <v>12</v>
      </c>
      <c r="Z660" s="16" t="str">
        <f t="shared" si="586"/>
        <v>BRAT</v>
      </c>
      <c r="AA660" s="146" t="str">
        <f t="shared" si="587"/>
        <v>K&amp;S</v>
      </c>
      <c r="AC660" s="16" t="str">
        <f t="shared" si="588"/>
        <v>U</v>
      </c>
      <c r="AD660" s="419" t="str">
        <f t="shared" si="588"/>
        <v>Kidder &amp; Stourport</v>
      </c>
      <c r="AE660" s="419">
        <f>IF(ISNA(MATCH(AC660,N659:N668,0)),0,VLOOKUP(AC660,N659:S668,5,FALSE))</f>
        <v>0</v>
      </c>
      <c r="AF660" s="419" t="str">
        <f>IF(ISNA(MATCH(AC660,T659:T668,0))," ",VLOOKUP(AC660,T659:Y668,5,FALSE))</f>
        <v xml:space="preserve"> </v>
      </c>
      <c r="AG660" s="419">
        <f>IF(ISNA(MATCH(AC660,L659:L666,0)),0,VLOOKUP(AC660,L659:N666,3,FALSE))</f>
        <v>6.42</v>
      </c>
      <c r="AH660" s="419">
        <f>IF(ISNA(MATCH(AC660,R659:R666,0)),0,VLOOKUP(AC660,R659:T666,3,FALSE))</f>
        <v>6.1</v>
      </c>
      <c r="AI660" s="419" t="str">
        <f>IF(ISNA(MATCH(AC660,L659:L666,0)),0,VLOOKUP(AC660,L659:P666,4,FALSE))</f>
        <v>U</v>
      </c>
      <c r="AJ660" s="419" t="str">
        <f>IF(ISNA(MATCH(AC660,R659:R666,0)),0,VLOOKUP(AC660,R659:U666,4,FALSE))</f>
        <v>UU</v>
      </c>
      <c r="AK660" s="32">
        <f t="shared" si="589"/>
        <v>7</v>
      </c>
      <c r="AL660" s="32">
        <f t="shared" si="590"/>
        <v>2</v>
      </c>
      <c r="AM660" s="32">
        <f>IF(ISNA(MATCH(AC660,L659:L666,0)),0,VLOOKUP(AC660,L659:W666,AM$1,FALSE))</f>
        <v>2</v>
      </c>
      <c r="AN660" s="146">
        <f>IF(ISNA(MATCH(AC660,R659:R666,0)),0,VLOOKUP(AC660,R659:W666,AN$1,FALSE))</f>
        <v>7</v>
      </c>
      <c r="AP660" s="927"/>
      <c r="AQ660" s="927"/>
    </row>
    <row r="661" spans="1:47" ht="15.6" x14ac:dyDescent="0.3">
      <c r="A661" s="417">
        <f t="shared" ref="A661:A666" si="591">A660+1</f>
        <v>593</v>
      </c>
      <c r="B661" s="362" t="str">
        <f>'Event Details'!D$24</f>
        <v>G</v>
      </c>
      <c r="C661" s="381" t="str">
        <f>'Event Details'!E$24</f>
        <v>Royal Sutton</v>
      </c>
      <c r="D661" s="379"/>
      <c r="E661" s="378"/>
      <c r="F661" s="363" t="str">
        <f>VLOOKUP($B658,IF($H658="F",TeamSheetFemale,TeamSheetMale),$Y661-1,FALSE)</f>
        <v>G</v>
      </c>
      <c r="G661" s="380" t="str">
        <f>VLOOKUP($B658,IF($H658="F",TeamSheetFemale,TeamSheetMale),$Y661,FALSE)</f>
        <v>Abigail Dilworth</v>
      </c>
      <c r="H661" s="363" t="str">
        <f>VLOOKUP($B658,IF($H658="F",TeamSheetFemale,TeamSheetMale),$Y661+1,FALSE)</f>
        <v>GG</v>
      </c>
      <c r="I661" s="364" t="str">
        <f>VLOOKUP($B658,IF($H658="F",TeamSheetFemale,TeamSheetMale),$Y661+2,FALSE)</f>
        <v>Caitlin Hobday</v>
      </c>
      <c r="K661" s="341" t="s">
        <v>273</v>
      </c>
      <c r="L661" s="16" t="str">
        <f t="shared" si="584"/>
        <v>D</v>
      </c>
      <c r="M661" s="927" t="s">
        <v>136</v>
      </c>
      <c r="N661" s="927">
        <v>6.8</v>
      </c>
      <c r="O661" s="354" t="str">
        <f>IF(LEN($M661)=1,VLOOKUP(LEFT($M661,1),B659:I666,5,FALSE),IF(LEN($M661)=2,VLOOKUP(LEFT($M661,1),B659:I666,7,FALSE),""))</f>
        <v>D</v>
      </c>
      <c r="P661" s="410" t="str">
        <f>IF(LEN($M661)=1,VLOOKUP(LEFT($M661,1),B659:I666,6,FALSE),IF(LEN($M661)=2,VLOOKUP(LEFT($M661,1),B659:I666,8,FALSE),""))</f>
        <v>Alice McIntosh</v>
      </c>
      <c r="Q661" s="371" t="s">
        <v>273</v>
      </c>
      <c r="R661" s="146" t="str">
        <f t="shared" si="585"/>
        <v>M</v>
      </c>
      <c r="S661" s="927" t="s">
        <v>821</v>
      </c>
      <c r="T661" s="927">
        <v>5.94</v>
      </c>
      <c r="U661" s="354" t="str">
        <f>IF(LEN($S661)=1,VLOOKUP(LEFT($S661,1),B659:I666,5,FALSE),IF(LEN($S661)=2,VLOOKUP(LEFT($S661,1),B659:I666,7,FALSE),""))</f>
        <v>MM</v>
      </c>
      <c r="V661" s="410" t="str">
        <f>IF(LEN($S661)=1,VLOOKUP(LEFT($S661,1),B659:I666,6,FALSE),IF(LEN($S661)=2,VLOOKUP(LEFT($S661,1),B659:I666,8,FALSE),""))</f>
        <v>Phoebe Ricketts</v>
      </c>
      <c r="W661" s="417">
        <f t="shared" ref="W661:W666" si="592">W660-1</f>
        <v>6</v>
      </c>
      <c r="Y661" s="16">
        <v>17</v>
      </c>
      <c r="Z661" s="16" t="str">
        <f t="shared" si="586"/>
        <v>Strat</v>
      </c>
      <c r="AA661" s="146" t="str">
        <f t="shared" si="587"/>
        <v>Sol</v>
      </c>
      <c r="AC661" s="16" t="str">
        <f t="shared" si="588"/>
        <v>G</v>
      </c>
      <c r="AD661" s="419" t="str">
        <f t="shared" si="588"/>
        <v>Royal Sutton</v>
      </c>
      <c r="AE661" s="419">
        <f>IF(ISNA(MATCH(AC661,N659:N668,0)),0,VLOOKUP(AC661,N659:S668,5,FALSE))</f>
        <v>0</v>
      </c>
      <c r="AF661" s="419" t="str">
        <f>IF(ISNA(MATCH(AC661,T659:T668,0))," ",VLOOKUP(AC661,T659:Y668,5,FALSE))</f>
        <v xml:space="preserve"> </v>
      </c>
      <c r="AG661" s="419">
        <f>IF(ISNA(MATCH(AC661,L659:L666,0)),0,VLOOKUP(AC661,L659:N666,3,FALSE))</f>
        <v>6.56</v>
      </c>
      <c r="AH661" s="419">
        <f>IF(ISNA(MATCH(AC661,R659:R666,0)),0,VLOOKUP(AC661,R659:T666,3,FALSE))</f>
        <v>0</v>
      </c>
      <c r="AI661" s="419" t="str">
        <f>IF(ISNA(MATCH(AC661,L659:L666,0)),0,VLOOKUP(AC661,L659:P666,4,FALSE))</f>
        <v>GG</v>
      </c>
      <c r="AJ661" s="419">
        <f>IF(ISNA(MATCH(AC661,R659:R666,0)),0,VLOOKUP(AC661,R659:U666,4,FALSE))</f>
        <v>0</v>
      </c>
      <c r="AK661" s="32">
        <f t="shared" si="589"/>
        <v>4</v>
      </c>
      <c r="AL661" s="32">
        <f t="shared" si="590"/>
        <v>0</v>
      </c>
      <c r="AM661" s="32">
        <f>IF(ISNA(MATCH(AC661,L659:L666,0)),0,VLOOKUP(AC661,L659:W666,AM$1,FALSE))</f>
        <v>5</v>
      </c>
      <c r="AN661" s="146">
        <f>IF(ISNA(MATCH(AC661,R659:R666,0)),0,VLOOKUP(AC661,R659:W666,AN$1,FALSE))</f>
        <v>0</v>
      </c>
      <c r="AP661" s="927"/>
      <c r="AQ661" s="927"/>
    </row>
    <row r="662" spans="1:47" ht="15.6" x14ac:dyDescent="0.3">
      <c r="A662" s="417">
        <f t="shared" si="591"/>
        <v>594</v>
      </c>
      <c r="B662" s="362" t="str">
        <f>'Event Details'!D$25</f>
        <v>R</v>
      </c>
      <c r="C662" s="381" t="str">
        <f>'Event Details'!E$25</f>
        <v>Rugby &amp; N'hampton</v>
      </c>
      <c r="D662" s="379"/>
      <c r="E662" s="378"/>
      <c r="F662" s="363" t="str">
        <f>VLOOKUP($B658,IF($H658="F",TeamSheetFemale,TeamSheetMale),$Y662-1,FALSE)</f>
        <v>R</v>
      </c>
      <c r="G662" s="380" t="str">
        <f>VLOOKUP($B658,IF($H658="F",TeamSheetFemale,TeamSheetMale),$Y662,FALSE)</f>
        <v>Taya Young</v>
      </c>
      <c r="H662" s="363" t="str">
        <f>VLOOKUP($B658,IF($H658="F",TeamSheetFemale,TeamSheetMale),$Y662+1,FALSE)</f>
        <v>RR</v>
      </c>
      <c r="I662" s="364" t="str">
        <f>VLOOKUP($B658,IF($H658="F",TeamSheetFemale,TeamSheetMale),$Y662+2,FALSE)</f>
        <v>Eleanor Rumbell</v>
      </c>
      <c r="K662" s="341" t="s">
        <v>274</v>
      </c>
      <c r="L662" s="16" t="str">
        <f t="shared" si="584"/>
        <v>G</v>
      </c>
      <c r="M662" s="927" t="s">
        <v>820</v>
      </c>
      <c r="N662" s="927">
        <v>6.56</v>
      </c>
      <c r="O662" s="354" t="str">
        <f>IF(LEN($M662)=1,VLOOKUP(LEFT($M662,1),B659:I666,5,FALSE),IF(LEN($M662)=2,VLOOKUP(LEFT($M662,1),B659:I666,7,FALSE),""))</f>
        <v>GG</v>
      </c>
      <c r="P662" s="410" t="str">
        <f>IF(LEN($M662)=1,VLOOKUP(LEFT($M662,1),B659:I666,6,FALSE),IF(LEN($M662)=2,VLOOKUP(LEFT($M662,1),B659:I666,8,FALSE),""))</f>
        <v>Caitlin Hobday</v>
      </c>
      <c r="Q662" s="371" t="s">
        <v>274</v>
      </c>
      <c r="R662" s="146" t="str">
        <f t="shared" si="585"/>
        <v>D</v>
      </c>
      <c r="S662" s="927" t="s">
        <v>513</v>
      </c>
      <c r="T662" s="927">
        <v>4.6900000000000004</v>
      </c>
      <c r="U662" s="354" t="str">
        <f>IF(LEN($S662)=1,VLOOKUP(LEFT($S662,1),B659:I666,5,FALSE),IF(LEN($S662)=2,VLOOKUP(LEFT($S662,1),B659:I666,7,FALSE),""))</f>
        <v>DD</v>
      </c>
      <c r="V662" s="410" t="str">
        <f>IF(LEN($S662)=1,VLOOKUP(LEFT($S662,1),B659:I666,6,FALSE),IF(LEN($S662)=2,VLOOKUP(LEFT($S662,1),B659:I666,8,FALSE),""))</f>
        <v>Martha Edwards</v>
      </c>
      <c r="W662" s="417">
        <f t="shared" si="592"/>
        <v>5</v>
      </c>
      <c r="Y662" s="16">
        <v>22</v>
      </c>
      <c r="Z662" s="16" t="str">
        <f t="shared" si="586"/>
        <v>Royal</v>
      </c>
      <c r="AA662" s="146" t="str">
        <f t="shared" si="587"/>
        <v>Strat</v>
      </c>
      <c r="AC662" s="16" t="str">
        <f t="shared" si="588"/>
        <v>R</v>
      </c>
      <c r="AD662" s="419" t="str">
        <f t="shared" si="588"/>
        <v>Rugby &amp; N'hampton</v>
      </c>
      <c r="AE662" s="419">
        <f>IF(ISNA(MATCH(AC662,N659:N668,0)),0,VLOOKUP(AC662,N659:S668,5,FALSE))</f>
        <v>0</v>
      </c>
      <c r="AF662" s="419" t="str">
        <f>IF(ISNA(MATCH(AC662,T659:T668,0))," ",VLOOKUP(AC662,T659:Y668,5,FALSE))</f>
        <v xml:space="preserve"> </v>
      </c>
      <c r="AG662" s="419">
        <f>IF(ISNA(MATCH(AC662,L659:L666,0)),0,VLOOKUP(AC662,L659:N666,3,FALSE))</f>
        <v>9.25</v>
      </c>
      <c r="AH662" s="419">
        <f>IF(ISNA(MATCH(AC662,R659:R666,0)),0,VLOOKUP(AC662,R659:T666,3,FALSE))</f>
        <v>0</v>
      </c>
      <c r="AI662" s="419" t="str">
        <f>IF(ISNA(MATCH(AC662,L659:L666,0)),0,VLOOKUP(AC662,L659:P666,4,FALSE))</f>
        <v>R</v>
      </c>
      <c r="AJ662" s="419">
        <f>IF(ISNA(MATCH(AC662,R659:R666,0)),0,VLOOKUP(AC662,R659:U666,4,FALSE))</f>
        <v>0</v>
      </c>
      <c r="AK662" s="32">
        <f t="shared" si="589"/>
        <v>1</v>
      </c>
      <c r="AL662" s="32">
        <f t="shared" si="590"/>
        <v>0</v>
      </c>
      <c r="AM662" s="32">
        <f>IF(ISNA(MATCH(AC662,L659:L666,0)),0,VLOOKUP(AC662,L659:W666,AM$1,FALSE))</f>
        <v>8</v>
      </c>
      <c r="AN662" s="146">
        <f>IF(ISNA(MATCH(AC662,R659:R666,0)),0,VLOOKUP(AC662,R659:W666,AN$1,FALSE))</f>
        <v>0</v>
      </c>
      <c r="AP662" s="927"/>
      <c r="AQ662" s="927"/>
    </row>
    <row r="663" spans="1:47" ht="15.6" x14ac:dyDescent="0.3">
      <c r="A663" s="417">
        <f t="shared" si="591"/>
        <v>595</v>
      </c>
      <c r="B663" s="362" t="str">
        <f>'Event Details'!D$26</f>
        <v>M</v>
      </c>
      <c r="C663" s="381" t="str">
        <f>'Event Details'!E$26</f>
        <v>Solihull &amp; S.Heath</v>
      </c>
      <c r="D663" s="379"/>
      <c r="E663" s="378"/>
      <c r="F663" s="363" t="str">
        <f>VLOOKUP($B658,IF($H658="F",TeamSheetFemale,TeamSheetMale),$Y663-1,FALSE)</f>
        <v>M</v>
      </c>
      <c r="G663" s="380" t="str">
        <f>VLOOKUP($B658,IF($H658="F",TeamSheetFemale,TeamSheetMale),$Y663,FALSE)</f>
        <v>Edith Masson</v>
      </c>
      <c r="H663" s="363" t="str">
        <f>VLOOKUP($B658,IF($H658="F",TeamSheetFemale,TeamSheetMale),$Y663+1,FALSE)</f>
        <v>MM</v>
      </c>
      <c r="I663" s="364" t="str">
        <f>VLOOKUP($B658,IF($H658="F",TeamSheetFemale,TeamSheetMale),$Y663+2,FALSE)</f>
        <v>Phoebe Ricketts</v>
      </c>
      <c r="K663" s="341" t="s">
        <v>275</v>
      </c>
      <c r="L663" s="16" t="str">
        <f t="shared" si="584"/>
        <v>M</v>
      </c>
      <c r="M663" s="927" t="s">
        <v>127</v>
      </c>
      <c r="N663" s="927">
        <v>6.52</v>
      </c>
      <c r="O663" s="354" t="str">
        <f>IF(LEN($M663)=1,VLOOKUP(LEFT($M663,1),B659:I666,5,FALSE),IF(LEN($M663)=2,VLOOKUP(LEFT($M663,1),B659:I666,7,FALSE),""))</f>
        <v>M</v>
      </c>
      <c r="P663" s="410" t="str">
        <f>IF(LEN($M663)=1,VLOOKUP(LEFT($M663,1),B659:I666,6,FALSE),IF(LEN($M663)=2,VLOOKUP(LEFT($M663,1),B659:I666,8,FALSE),""))</f>
        <v>Edith Masson</v>
      </c>
      <c r="Q663" s="371" t="s">
        <v>275</v>
      </c>
      <c r="R663" s="146" t="str">
        <f t="shared" si="585"/>
        <v>F</v>
      </c>
      <c r="S663" s="927" t="s">
        <v>576</v>
      </c>
      <c r="T663" s="927">
        <v>4.66</v>
      </c>
      <c r="U663" s="354" t="str">
        <f>IF(LEN($S663)=1,VLOOKUP(LEFT($S663,1),B659:I666,5,FALSE),IF(LEN($S663)=2,VLOOKUP(LEFT($S663,1),B659:I666,7,FALSE),""))</f>
        <v>FF</v>
      </c>
      <c r="V663" s="410" t="str">
        <f>IF(LEN($S663)=1,VLOOKUP(LEFT($S663,1),B659:I666,6,FALSE),IF(LEN($S663)=2,VLOOKUP(LEFT($S663,1),B659:I666,8,FALSE),""))</f>
        <v>Lacey Eaton</v>
      </c>
      <c r="W663" s="417">
        <f t="shared" si="592"/>
        <v>4</v>
      </c>
      <c r="Y663" s="16">
        <v>27</v>
      </c>
      <c r="Z663" s="16" t="str">
        <f t="shared" si="586"/>
        <v>Sol</v>
      </c>
      <c r="AA663" s="146" t="str">
        <f t="shared" si="587"/>
        <v>Tam</v>
      </c>
      <c r="AC663" s="16" t="str">
        <f t="shared" si="588"/>
        <v>M</v>
      </c>
      <c r="AD663" s="419" t="str">
        <f t="shared" si="588"/>
        <v>Solihull &amp; S.Heath</v>
      </c>
      <c r="AE663" s="419">
        <f>IF(ISNA(MATCH(AC663,N659:N668,0)),0,VLOOKUP(AC663,N659:S668,5,FALSE))</f>
        <v>0</v>
      </c>
      <c r="AF663" s="419" t="str">
        <f>IF(ISNA(MATCH(AC663,T659:T668,0))," ",VLOOKUP(AC663,T659:Y668,5,FALSE))</f>
        <v xml:space="preserve"> </v>
      </c>
      <c r="AG663" s="419">
        <f>IF(ISNA(MATCH(AC663,L659:L666,0)),0,VLOOKUP(AC663,L659:N666,3,FALSE))</f>
        <v>6.52</v>
      </c>
      <c r="AH663" s="419">
        <f>IF(ISNA(MATCH(AC663,R659:R666,0)),0,VLOOKUP(AC663,R659:T666,3,FALSE))</f>
        <v>5.94</v>
      </c>
      <c r="AI663" s="419" t="str">
        <f>IF(ISNA(MATCH(AC663,L659:L666,0)),0,VLOOKUP(AC663,L659:P666,4,FALSE))</f>
        <v>M</v>
      </c>
      <c r="AJ663" s="419" t="str">
        <f>IF(ISNA(MATCH(AC663,R659:R666,0)),0,VLOOKUP(AC663,R659:U666,4,FALSE))</f>
        <v>MM</v>
      </c>
      <c r="AK663" s="32">
        <f t="shared" si="589"/>
        <v>5</v>
      </c>
      <c r="AL663" s="32">
        <f t="shared" si="590"/>
        <v>3</v>
      </c>
      <c r="AM663" s="32">
        <f>IF(ISNA(MATCH(AC663,L659:L666,0)),0,VLOOKUP(AC663,L659:W666,AM$1,FALSE))</f>
        <v>4</v>
      </c>
      <c r="AN663" s="146">
        <f>IF(ISNA(MATCH(AC663,R659:R666,0)),0,VLOOKUP(AC663,R659:W666,AN$1,FALSE))</f>
        <v>6</v>
      </c>
      <c r="AP663" s="927"/>
      <c r="AQ663" s="927"/>
    </row>
    <row r="664" spans="1:47" ht="15.6" x14ac:dyDescent="0.3">
      <c r="A664" s="417">
        <f t="shared" si="591"/>
        <v>596</v>
      </c>
      <c r="B664" s="362" t="str">
        <f>'Event Details'!D$27</f>
        <v>D</v>
      </c>
      <c r="C664" s="381" t="str">
        <f>'Event Details'!E$27</f>
        <v>Stratford</v>
      </c>
      <c r="D664" s="379"/>
      <c r="E664" s="378"/>
      <c r="F664" s="363" t="str">
        <f>VLOOKUP($B658,IF($H658="F",TeamSheetFemale,TeamSheetMale),$Y664-1,FALSE)</f>
        <v>D</v>
      </c>
      <c r="G664" s="380" t="str">
        <f>VLOOKUP($B658,IF($H658="F",TeamSheetFemale,TeamSheetMale),$Y664,FALSE)</f>
        <v>Alice McIntosh</v>
      </c>
      <c r="H664" s="363" t="str">
        <f>VLOOKUP($B658,IF($H658="F",TeamSheetFemale,TeamSheetMale),$Y664+1,FALSE)</f>
        <v>DD</v>
      </c>
      <c r="I664" s="364" t="str">
        <f>VLOOKUP($B658,IF($H658="F",TeamSheetFemale,TeamSheetMale),$Y664+2,FALSE)</f>
        <v>Martha Edwards</v>
      </c>
      <c r="K664" s="341" t="s">
        <v>276</v>
      </c>
      <c r="L664" s="16" t="str">
        <f t="shared" si="584"/>
        <v>Y</v>
      </c>
      <c r="M664" s="927" t="s">
        <v>151</v>
      </c>
      <c r="N664" s="927">
        <v>6.44</v>
      </c>
      <c r="O664" s="354" t="str">
        <f>IF(LEN($M664)=1,VLOOKUP(LEFT($M664,1),B659:I666,5,FALSE),IF(LEN($M664)=2,VLOOKUP(LEFT($M664,1),B659:I666,7,FALSE),""))</f>
        <v>Y</v>
      </c>
      <c r="P664" s="410" t="str">
        <f>IF(LEN($M664)=1,VLOOKUP(LEFT($M664,1),B659:I666,6,FALSE),IF(LEN($M664)=2,VLOOKUP(LEFT($M664,1),B659:I666,8,FALSE),""))</f>
        <v>Gracie Hodgkins</v>
      </c>
      <c r="Q664" s="371" t="s">
        <v>276</v>
      </c>
      <c r="R664" s="146" t="str">
        <f t="shared" si="585"/>
        <v>Y</v>
      </c>
      <c r="S664" s="927" t="s">
        <v>822</v>
      </c>
      <c r="T664" s="927">
        <v>3.67</v>
      </c>
      <c r="U664" s="354" t="str">
        <f>IF(LEN($S664)=1,VLOOKUP(LEFT($S664,1),B659:I666,5,FALSE),IF(LEN($S664)=2,VLOOKUP(LEFT($S664,1),B659:I666,7,FALSE),""))</f>
        <v>YY</v>
      </c>
      <c r="V664" s="410" t="str">
        <f>IF(LEN($S664)=1,VLOOKUP(LEFT($S664,1),B659:I666,6,FALSE),IF(LEN($S664)=2,VLOOKUP(LEFT($S664,1),B659:I666,8,FALSE),""))</f>
        <v>Anastasia Constantinou</v>
      </c>
      <c r="W664" s="417">
        <f t="shared" si="592"/>
        <v>3</v>
      </c>
      <c r="Y664" s="16">
        <v>32</v>
      </c>
      <c r="Z664" s="16" t="str">
        <f t="shared" si="586"/>
        <v>Worc</v>
      </c>
      <c r="AA664" s="146" t="str">
        <f t="shared" si="587"/>
        <v>Worc</v>
      </c>
      <c r="AC664" s="16" t="str">
        <f t="shared" si="588"/>
        <v>D</v>
      </c>
      <c r="AD664" s="419" t="str">
        <f t="shared" si="588"/>
        <v>Stratford</v>
      </c>
      <c r="AE664" s="419">
        <f>IF(ISNA(MATCH(AC664,N659:N668,0)),0,VLOOKUP(AC664,N659:S668,5,FALSE))</f>
        <v>0</v>
      </c>
      <c r="AF664" s="419" t="str">
        <f>IF(ISNA(MATCH(AC664,T659:T668,0))," ",VLOOKUP(AC664,T659:Y668,5,FALSE))</f>
        <v xml:space="preserve"> </v>
      </c>
      <c r="AG664" s="419">
        <f>IF(ISNA(MATCH(AC664,L659:L666,0)),0,VLOOKUP(AC664,L659:N666,3,FALSE))</f>
        <v>6.8</v>
      </c>
      <c r="AH664" s="419">
        <f>IF(ISNA(MATCH(AC664,R659:R666,0)),0,VLOOKUP(AC664,R659:T666,3,FALSE))</f>
        <v>4.6900000000000004</v>
      </c>
      <c r="AI664" s="419" t="str">
        <f>IF(ISNA(MATCH(AC664,L659:L666,0)),0,VLOOKUP(AC664,L659:P666,4,FALSE))</f>
        <v>D</v>
      </c>
      <c r="AJ664" s="419" t="str">
        <f>IF(ISNA(MATCH(AC664,R659:R666,0)),0,VLOOKUP(AC664,R659:U666,4,FALSE))</f>
        <v>DD</v>
      </c>
      <c r="AK664" s="32">
        <f t="shared" si="589"/>
        <v>3</v>
      </c>
      <c r="AL664" s="32">
        <f t="shared" si="590"/>
        <v>4</v>
      </c>
      <c r="AM664" s="32">
        <f>IF(ISNA(MATCH(AC664,L659:L666,0)),0,VLOOKUP(AC664,L659:W666,AM$1,FALSE))</f>
        <v>6</v>
      </c>
      <c r="AN664" s="146">
        <f>IF(ISNA(MATCH(AC664,R659:R666,0)),0,VLOOKUP(AC664,R659:W666,AN$1,FALSE))</f>
        <v>5</v>
      </c>
      <c r="AP664" s="927"/>
      <c r="AQ664" s="927"/>
    </row>
    <row r="665" spans="1:47" ht="15.6" x14ac:dyDescent="0.3">
      <c r="A665" s="417">
        <f t="shared" si="591"/>
        <v>597</v>
      </c>
      <c r="B665" s="362" t="str">
        <f>'Event Details'!D$28</f>
        <v>F</v>
      </c>
      <c r="C665" s="381" t="str">
        <f>'Event Details'!E$28</f>
        <v>Tamworth</v>
      </c>
      <c r="D665" s="379"/>
      <c r="E665" s="378"/>
      <c r="F665" s="363" t="str">
        <f>VLOOKUP($B658,IF($H658="F",TeamSheetFemale,TeamSheetMale),$Y665-1,FALSE)</f>
        <v>F</v>
      </c>
      <c r="G665" s="380" t="str">
        <f>VLOOKUP($B658,IF($H658="F",TeamSheetFemale,TeamSheetMale),$Y665,FALSE)</f>
        <v>Eva Christophorou</v>
      </c>
      <c r="H665" s="363" t="str">
        <f>VLOOKUP($B658,IF($H658="F",TeamSheetFemale,TeamSheetMale),$Y665+1,FALSE)</f>
        <v>FF</v>
      </c>
      <c r="I665" s="364" t="str">
        <f>VLOOKUP($B658,IF($H658="F",TeamSheetFemale,TeamSheetMale),$Y665+2,FALSE)</f>
        <v>Lacey Eaton</v>
      </c>
      <c r="K665" s="341" t="s">
        <v>277</v>
      </c>
      <c r="L665" s="16" t="str">
        <f t="shared" si="584"/>
        <v>U</v>
      </c>
      <c r="M665" s="927" t="s">
        <v>130</v>
      </c>
      <c r="N665" s="927">
        <v>6.42</v>
      </c>
      <c r="O665" s="354" t="str">
        <f>IF(LEN($M665)=1,VLOOKUP(LEFT($M665,1),B659:I666,5,FALSE),IF(LEN($M665)=2,VLOOKUP(LEFT($M665,1),B659:I666,7,FALSE),""))</f>
        <v>U</v>
      </c>
      <c r="P665" s="410" t="str">
        <f>IF(LEN($M665)=1,VLOOKUP(LEFT($M665,1),B659:I666,6,FALSE),IF(LEN($M665)=2,VLOOKUP(LEFT($M665,1),B659:I666,8,FALSE),""))</f>
        <v>Imogen McCann</v>
      </c>
      <c r="Q665" s="371" t="s">
        <v>277</v>
      </c>
      <c r="R665" s="146" t="str">
        <f t="shared" si="585"/>
        <v/>
      </c>
      <c r="S665" s="927"/>
      <c r="T665" s="927">
        <v>5</v>
      </c>
      <c r="U665" s="354" t="str">
        <f>IF(LEN($S665)=1,VLOOKUP(LEFT($S665,1),B659:I666,5,FALSE),IF(LEN($S665)=2,VLOOKUP(LEFT($S665,1),B659:I666,7,FALSE),""))</f>
        <v/>
      </c>
      <c r="V665" s="410" t="str">
        <f>IF(LEN($S665)=1,VLOOKUP(LEFT($S665,1),B659:I666,6,FALSE),IF(LEN($S665)=2,VLOOKUP(LEFT($S665,1),B659:I666,8,FALSE),""))</f>
        <v/>
      </c>
      <c r="W665" s="417">
        <f t="shared" si="592"/>
        <v>2</v>
      </c>
      <c r="Y665" s="16">
        <v>37</v>
      </c>
      <c r="Z665" s="16" t="str">
        <f t="shared" si="586"/>
        <v>K&amp;S</v>
      </c>
      <c r="AA665" s="146">
        <f t="shared" si="587"/>
        <v>0</v>
      </c>
      <c r="AC665" s="16" t="str">
        <f t="shared" si="588"/>
        <v>F</v>
      </c>
      <c r="AD665" s="419" t="str">
        <f t="shared" si="588"/>
        <v>Tamworth</v>
      </c>
      <c r="AE665" s="419">
        <f>IF(ISNA(MATCH(AC665,N657:N666,0)),0,VLOOKUP(AC665,N657:S666,5,FALSE))</f>
        <v>0</v>
      </c>
      <c r="AF665" s="419" t="str">
        <f>IF(ISNA(MATCH(AC665,T657:T666,0))," ",VLOOKUP(AC665,T657:Y666,5,FALSE))</f>
        <v xml:space="preserve"> </v>
      </c>
      <c r="AG665" s="419">
        <f>IF(ISNA(MATCH(AC665,L659:L666,0)),0,VLOOKUP(AC665,L659:N666,3,FALSE))</f>
        <v>6.25</v>
      </c>
      <c r="AH665" s="419">
        <f>IF(ISNA(MATCH(AC665,R659:R666,0)),0,VLOOKUP(AC665,R659:T666,3,FALSE))</f>
        <v>4.66</v>
      </c>
      <c r="AI665" s="419" t="str">
        <f>IF(ISNA(MATCH(AC665,L659:L666,0)),0,VLOOKUP(AC665,L659:P666,4,FALSE))</f>
        <v>F</v>
      </c>
      <c r="AJ665" s="419" t="str">
        <f>IF(ISNA(MATCH(AC665,R659:R666,0)),0,VLOOKUP(AC665,R659:U666,4,FALSE))</f>
        <v>FF</v>
      </c>
      <c r="AK665" s="32">
        <f t="shared" si="589"/>
        <v>8</v>
      </c>
      <c r="AL665" s="32">
        <f t="shared" si="590"/>
        <v>5</v>
      </c>
      <c r="AM665" s="32">
        <f>IF(ISNA(MATCH(AC665,L659:L666,0)),0,VLOOKUP(AC665,L659:W666,AM$1,FALSE))</f>
        <v>1</v>
      </c>
      <c r="AN665" s="146">
        <f>IF(ISNA(MATCH(AC665,R659:R666,0)),0,VLOOKUP(AC665,R659:W666,AN$1,FALSE))</f>
        <v>4</v>
      </c>
      <c r="AP665" s="927"/>
      <c r="AQ665" s="927"/>
    </row>
    <row r="666" spans="1:47" ht="16.2" thickBot="1" x14ac:dyDescent="0.35">
      <c r="A666" s="418">
        <f t="shared" si="591"/>
        <v>598</v>
      </c>
      <c r="B666" s="365" t="str">
        <f>'Event Details'!D$29</f>
        <v>Y</v>
      </c>
      <c r="C666" s="366" t="str">
        <f>'Event Details'!E$29</f>
        <v>Worcester</v>
      </c>
      <c r="D666" s="361"/>
      <c r="E666" s="370"/>
      <c r="F666" s="367" t="str">
        <f>VLOOKUP($B658,IF($H658="F",TeamSheetFemale,TeamSheetMale),$Y666-1,FALSE)</f>
        <v>Y</v>
      </c>
      <c r="G666" s="368" t="str">
        <f>VLOOKUP($B658,IF($H658="F",TeamSheetFemale,TeamSheetMale),$Y666,FALSE)</f>
        <v>Gracie Hodgkins</v>
      </c>
      <c r="H666" s="367" t="str">
        <f>VLOOKUP($B658,IF($H658="F",TeamSheetFemale,TeamSheetMale),$Y666+1,FALSE)</f>
        <v>YY</v>
      </c>
      <c r="I666" s="369" t="str">
        <f>VLOOKUP($B658,IF($H658="F",TeamSheetFemale,TeamSheetMale),$Y666+2,FALSE)</f>
        <v>Anastasia Constantinou</v>
      </c>
      <c r="K666" s="346" t="s">
        <v>278</v>
      </c>
      <c r="L666" s="25" t="str">
        <f t="shared" si="584"/>
        <v>F</v>
      </c>
      <c r="M666" s="932" t="s">
        <v>142</v>
      </c>
      <c r="N666" s="932">
        <v>6.25</v>
      </c>
      <c r="O666" s="374" t="str">
        <f>IF(LEN($M666)=1,VLOOKUP(LEFT($M666,1),B659:I666,5,FALSE),IF(LEN($M666)=2,VLOOKUP(LEFT($M666,1),B659:I666,7,FALSE),""))</f>
        <v>F</v>
      </c>
      <c r="P666" s="411" t="str">
        <f>IF(LEN($M666)=1,VLOOKUP(LEFT($M666,1),B659:I666,6,FALSE),IF(LEN($M666)=2,VLOOKUP(LEFT($M666,1),B659:I666,8,FALSE),""))</f>
        <v>Eva Christophorou</v>
      </c>
      <c r="Q666" s="407" t="s">
        <v>278</v>
      </c>
      <c r="R666" s="523" t="str">
        <f t="shared" si="585"/>
        <v/>
      </c>
      <c r="S666" s="932"/>
      <c r="T666" s="932"/>
      <c r="U666" s="374" t="str">
        <f>IF(LEN($S666)=1,VLOOKUP(LEFT($S666,1),B659:I666,5,FALSE),IF(LEN($S666)=2,VLOOKUP(LEFT($S666,1),B659:I666,7,FALSE),""))</f>
        <v/>
      </c>
      <c r="V666" s="411" t="str">
        <f>IF(LEN($S666)=1,VLOOKUP(LEFT($S666,1),B659:I666,6,FALSE),IF(LEN($S666)=2,VLOOKUP(LEFT($S666,1),B659:I666,8,FALSE),""))</f>
        <v/>
      </c>
      <c r="W666" s="418">
        <f t="shared" si="592"/>
        <v>1</v>
      </c>
      <c r="Y666" s="25">
        <v>42</v>
      </c>
      <c r="Z666" s="25" t="str">
        <f t="shared" si="586"/>
        <v>Tam</v>
      </c>
      <c r="AA666" s="523">
        <f t="shared" si="587"/>
        <v>0</v>
      </c>
      <c r="AC666" s="25" t="str">
        <f t="shared" si="588"/>
        <v>Y</v>
      </c>
      <c r="AD666" s="624" t="str">
        <f t="shared" si="588"/>
        <v>Worcester</v>
      </c>
      <c r="AE666" s="624">
        <f>IF(ISNA(MATCH(AC666,N658:N667,0)),0,VLOOKUP(AC666,N658:S667,5,FALSE))</f>
        <v>0</v>
      </c>
      <c r="AF666" s="624" t="str">
        <f t="shared" ref="AF666" si="593">IF(ISNA(MATCH(AC666,T658:T667,0))," ",VLOOKUP(AC666,T658:Y667,5,FALSE))</f>
        <v xml:space="preserve"> </v>
      </c>
      <c r="AG666" s="624">
        <f>IF(ISNA(MATCH(AC666,L659:L666,0)),0,VLOOKUP(AC666,L659:N666,3,FALSE))</f>
        <v>6.44</v>
      </c>
      <c r="AH666" s="624">
        <f>IF(ISNA(MATCH(AC666,R659:R666,0)),0,VLOOKUP(AC666,R659:T666,3,FALSE))</f>
        <v>3.67</v>
      </c>
      <c r="AI666" s="624" t="str">
        <f>IF(ISNA(MATCH(AC666,L659:L666,0)),0,VLOOKUP(AC666,L659:P666,4,FALSE))</f>
        <v>Y</v>
      </c>
      <c r="AJ666" s="624" t="str">
        <f>IF(ISNA(MATCH(AC666,R659:R666,0)),0,VLOOKUP(AC666,R659:U666,4,FALSE))</f>
        <v>YY</v>
      </c>
      <c r="AK666" s="116">
        <f t="shared" si="589"/>
        <v>6</v>
      </c>
      <c r="AL666" s="116">
        <f t="shared" si="590"/>
        <v>6</v>
      </c>
      <c r="AM666" s="116">
        <f>IF(ISNA(MATCH(AC666,L659:L666,0)),0,VLOOKUP(AC666,L659:W666,AM$1,FALSE))</f>
        <v>3</v>
      </c>
      <c r="AN666" s="523">
        <f>IF(ISNA(MATCH(AC666,R659:R666,0)),0,VLOOKUP(AC666,R659:W666,AN$1,FALSE))</f>
        <v>3</v>
      </c>
      <c r="AP666" s="932"/>
      <c r="AQ666" s="932"/>
    </row>
    <row r="667" spans="1:47" ht="15" thickBot="1" x14ac:dyDescent="0.35">
      <c r="M667" s="276"/>
      <c r="N667" s="307"/>
      <c r="S667" s="276"/>
      <c r="T667" s="307"/>
      <c r="AP667" s="276"/>
      <c r="AQ667" s="307"/>
    </row>
    <row r="668" spans="1:47" x14ac:dyDescent="0.3">
      <c r="B668" s="400" t="s">
        <v>258</v>
      </c>
      <c r="C668" s="398"/>
      <c r="D668" s="401" t="s">
        <v>165</v>
      </c>
      <c r="E668" s="398"/>
      <c r="F668" s="398"/>
      <c r="G668" s="402" t="s">
        <v>259</v>
      </c>
      <c r="H668" s="403" t="s">
        <v>249</v>
      </c>
      <c r="I668" s="404" t="s">
        <v>168</v>
      </c>
      <c r="K668" s="360"/>
      <c r="L668" s="661"/>
      <c r="M668" s="387" t="s">
        <v>260</v>
      </c>
      <c r="N668" s="387" t="s">
        <v>261</v>
      </c>
      <c r="O668" s="387" t="s">
        <v>262</v>
      </c>
      <c r="P668" s="388" t="s">
        <v>75</v>
      </c>
      <c r="Q668" s="389"/>
      <c r="R668" s="657"/>
      <c r="S668" s="387" t="s">
        <v>260</v>
      </c>
      <c r="T668" s="387" t="s">
        <v>261</v>
      </c>
      <c r="U668" s="387" t="s">
        <v>262</v>
      </c>
      <c r="V668" s="388" t="s">
        <v>75</v>
      </c>
      <c r="W668" s="672" t="s">
        <v>76</v>
      </c>
      <c r="Y668" s="414" t="s">
        <v>263</v>
      </c>
      <c r="Z668" s="656" t="s">
        <v>74</v>
      </c>
      <c r="AA668" s="657" t="s">
        <v>75</v>
      </c>
      <c r="AC668" s="665" t="s">
        <v>71</v>
      </c>
      <c r="AD668" s="657" t="s">
        <v>86</v>
      </c>
      <c r="AE668" s="661" t="s">
        <v>149</v>
      </c>
      <c r="AF668" s="661" t="s">
        <v>94</v>
      </c>
      <c r="AG668" s="661" t="s">
        <v>149</v>
      </c>
      <c r="AH668" s="661" t="s">
        <v>94</v>
      </c>
      <c r="AI668" s="661" t="s">
        <v>149</v>
      </c>
      <c r="AJ668" s="661" t="s">
        <v>94</v>
      </c>
      <c r="AK668" s="1332" t="s">
        <v>149</v>
      </c>
      <c r="AL668" s="661" t="s">
        <v>94</v>
      </c>
      <c r="AM668" s="1406" t="s">
        <v>76</v>
      </c>
      <c r="AN668" s="1407"/>
      <c r="AP668" s="387" t="s">
        <v>260</v>
      </c>
      <c r="AQ668" s="387" t="s">
        <v>261</v>
      </c>
      <c r="AS668" s="1218" t="s">
        <v>165</v>
      </c>
      <c r="AT668" s="1219" t="s">
        <v>79</v>
      </c>
      <c r="AU668" s="1220" t="s">
        <v>80</v>
      </c>
    </row>
    <row r="669" spans="1:47" ht="15" thickBot="1" x14ac:dyDescent="0.35">
      <c r="B669" s="405">
        <v>60</v>
      </c>
      <c r="C669" s="399"/>
      <c r="D669" s="385" t="str">
        <f>VLOOKUP($B669,EventOrder,6,FALSE)</f>
        <v>Discus Match 2</v>
      </c>
      <c r="E669" s="399"/>
      <c r="F669" s="385"/>
      <c r="G669" s="386" t="str">
        <f>VLOOKUP($B669,EventOrder,4,FALSE)</f>
        <v>U16 Male</v>
      </c>
      <c r="H669" s="396" t="str">
        <f>IF(MID(G669,5,1)="F","F","M")</f>
        <v>M</v>
      </c>
      <c r="I669" s="397">
        <f>VLOOKUP($B669,EventOrder,2,FALSE)</f>
        <v>3.3</v>
      </c>
      <c r="K669" s="377"/>
      <c r="L669" s="667" t="s">
        <v>149</v>
      </c>
      <c r="M669" s="409" t="s">
        <v>264</v>
      </c>
      <c r="N669" s="409" t="s">
        <v>265</v>
      </c>
      <c r="O669" s="390" t="s">
        <v>266</v>
      </c>
      <c r="P669" s="391"/>
      <c r="Q669" s="392"/>
      <c r="R669" s="659" t="s">
        <v>94</v>
      </c>
      <c r="S669" s="409" t="s">
        <v>264</v>
      </c>
      <c r="T669" s="409" t="s">
        <v>265</v>
      </c>
      <c r="U669" s="390" t="s">
        <v>266</v>
      </c>
      <c r="V669" s="391"/>
      <c r="W669" s="671"/>
      <c r="Y669" s="415" t="s">
        <v>167</v>
      </c>
      <c r="Z669" s="658" t="s">
        <v>149</v>
      </c>
      <c r="AA669" s="659" t="s">
        <v>94</v>
      </c>
      <c r="AC669" s="666"/>
      <c r="AD669" s="668"/>
      <c r="AE669" s="768" t="s">
        <v>75</v>
      </c>
      <c r="AF669" s="768" t="s">
        <v>75</v>
      </c>
      <c r="AG669" s="768" t="s">
        <v>267</v>
      </c>
      <c r="AH669" s="768" t="s">
        <v>267</v>
      </c>
      <c r="AI669" s="768" t="s">
        <v>268</v>
      </c>
      <c r="AJ669" s="768" t="s">
        <v>268</v>
      </c>
      <c r="AK669" s="770" t="s">
        <v>269</v>
      </c>
      <c r="AL669" s="768" t="s">
        <v>269</v>
      </c>
      <c r="AM669" s="667" t="s">
        <v>149</v>
      </c>
      <c r="AN669" s="659" t="s">
        <v>94</v>
      </c>
      <c r="AP669" s="409" t="s">
        <v>264</v>
      </c>
      <c r="AQ669" s="409" t="s">
        <v>265</v>
      </c>
      <c r="AS669" s="1221" t="s">
        <v>270</v>
      </c>
      <c r="AT669" s="1222" t="s">
        <v>270</v>
      </c>
      <c r="AU669" s="1223" t="s">
        <v>270</v>
      </c>
    </row>
    <row r="670" spans="1:47" ht="15.6" x14ac:dyDescent="0.3">
      <c r="A670" s="416">
        <f>(B669*10)+1</f>
        <v>601</v>
      </c>
      <c r="B670" s="362" t="str">
        <f>'Event Details'!D$22</f>
        <v>S</v>
      </c>
      <c r="C670" s="381" t="str">
        <f>'Event Details'!E$22</f>
        <v>BRAT</v>
      </c>
      <c r="D670" s="379"/>
      <c r="E670" s="378"/>
      <c r="F670" s="363">
        <f>VLOOKUP($B669,IF($H669="F",TeamSheetFemale,TeamSheetMale),$Y670-1,FALSE)</f>
        <v>0</v>
      </c>
      <c r="G670" s="380">
        <f>VLOOKUP($B669,IF($H669="F",TeamSheetFemale,TeamSheetMale),$Y670,FALSE)</f>
        <v>0</v>
      </c>
      <c r="H670" s="363">
        <f>VLOOKUP($B669,IF($H669="F",TeamSheetFemale,TeamSheetMale),$Y670+1,FALSE)</f>
        <v>0</v>
      </c>
      <c r="I670" s="364">
        <f>VLOOKUP($B669,IF($H669="F",TeamSheetFemale,TeamSheetMale),$Y670+2,FALSE)</f>
        <v>0</v>
      </c>
      <c r="K670" s="393" t="s">
        <v>271</v>
      </c>
      <c r="L670" s="16" t="str">
        <f t="shared" ref="L670:L677" si="594">LEFT(M670,1)</f>
        <v/>
      </c>
      <c r="M670" s="926"/>
      <c r="N670" s="926"/>
      <c r="O670" s="394" t="str">
        <f>IF(LEN($M670)=1,VLOOKUP(LEFT($M670,1),B670:I677,5,FALSE),IF(LEN($M670)=2,VLOOKUP(LEFT($M670,1),B670:I677,7,FALSE),""))</f>
        <v/>
      </c>
      <c r="P670" s="395" t="str">
        <f>IF(LEN($M670)=1,VLOOKUP(LEFT($M670,1),B670:I677,6,FALSE),IF(LEN($M670)=2,VLOOKUP(LEFT($M670,1),B670:I677,8,FALSE),""))</f>
        <v/>
      </c>
      <c r="Q670" s="393" t="s">
        <v>271</v>
      </c>
      <c r="R670" s="146" t="str">
        <f t="shared" ref="R670:R677" si="595">LEFT(S670,1)</f>
        <v/>
      </c>
      <c r="S670" s="926"/>
      <c r="T670" s="926"/>
      <c r="U670" s="394" t="str">
        <f>IF(LEN($S670)=1,VLOOKUP(LEFT($S670,1),B670:I677,5,FALSE),IF(LEN($S670)=2,VLOOKUP(LEFT($S670,1),B670:I677,7,FALSE),""))</f>
        <v/>
      </c>
      <c r="V670" s="395" t="str">
        <f>IF(LEN($S670)=1,VLOOKUP(LEFT($S670,1),B670:I677,6,FALSE),IF(LEN($S670)=2,VLOOKUP(LEFT($S670,1),B670:I677,8,FALSE),""))</f>
        <v/>
      </c>
      <c r="W670" s="417">
        <f>AN$6</f>
        <v>8</v>
      </c>
      <c r="Y670" s="416">
        <v>7</v>
      </c>
      <c r="Z670" s="653">
        <f t="shared" ref="Z670:Z677" si="596">IF(LEN(M670)&gt;0,VLOOKUP(LEFT(M670,1),ShortName,5,FALSE),0)</f>
        <v>0</v>
      </c>
      <c r="AA670" s="138">
        <f t="shared" ref="AA670:AA677" si="597">IF(LEN(S670)&gt;0,VLOOKUP(LEFT(S670,1),ShortName,5,FALSE),0)</f>
        <v>0</v>
      </c>
      <c r="AC670" s="16" t="str">
        <f t="shared" ref="AC670:AD677" si="598">B670</f>
        <v>S</v>
      </c>
      <c r="AD670" s="419" t="str">
        <f t="shared" si="598"/>
        <v>BRAT</v>
      </c>
      <c r="AE670" s="635">
        <f>IF(ISNA(MATCH(AC670,N670:N679,0)),0,VLOOKUP(AC670,N670:S679,5,FALSE))</f>
        <v>0</v>
      </c>
      <c r="AF670" s="635" t="str">
        <f>IF(ISNA(MATCH(AC670,T670:T679,0))," ",VLOOKUP(AC670,T670:Y679,5,FALSE))</f>
        <v xml:space="preserve"> </v>
      </c>
      <c r="AG670" s="635">
        <f>IF(ISNA(MATCH(AC670,L670:L677,0)),0,VLOOKUP(AC670,L670:N677,3,FALSE))</f>
        <v>0</v>
      </c>
      <c r="AH670" s="635">
        <f>IF(ISNA(MATCH(AC670,R670:R677,0)),0,VLOOKUP(AC670,R670:T677,3,FALSE))</f>
        <v>0</v>
      </c>
      <c r="AI670" s="635">
        <f>IF(ISNA(MATCH(AC670,L670:L677,0)),0,VLOOKUP(AC670,L670:P677,4,FALSE))</f>
        <v>0</v>
      </c>
      <c r="AJ670" s="635">
        <f>IF(ISNA(MATCH(AC670,R670:R677,0)),0,VLOOKUP(AC670,R670:U677,4,FALSE))</f>
        <v>0</v>
      </c>
      <c r="AK670" s="49">
        <f t="shared" ref="AK670:AK677" si="599">IF(AM670=0,0,AN$6-(AM670-1))</f>
        <v>0</v>
      </c>
      <c r="AL670" s="49">
        <f t="shared" ref="AL670:AL677" si="600">IF(AN670=0,0,AN$6-(AN670-1))</f>
        <v>0</v>
      </c>
      <c r="AM670" s="49">
        <f>IF(ISNA(MATCH(AC670,L670:L677,0)),0,VLOOKUP(AC670,L670:W677,AM$1,FALSE))</f>
        <v>0</v>
      </c>
      <c r="AN670" s="138">
        <f>IF(ISNA(MATCH(AC670,R670:R677,0)),0,VLOOKUP(AC670,R670:W677,AN$1,FALSE))</f>
        <v>0</v>
      </c>
      <c r="AP670" s="926"/>
      <c r="AQ670" s="926"/>
      <c r="AS670" s="32">
        <f>IF(LEN(N670)&gt;0,1,0)</f>
        <v>0</v>
      </c>
      <c r="AT670" s="32">
        <f>IF(AND(AS670=1,H669="M"),1,0)</f>
        <v>0</v>
      </c>
      <c r="AU670" s="32">
        <f>IF(AND(AS670=1,H669="F"),1,0)</f>
        <v>0</v>
      </c>
    </row>
    <row r="671" spans="1:47" ht="15.6" x14ac:dyDescent="0.3">
      <c r="A671" s="417">
        <f>A670+1</f>
        <v>602</v>
      </c>
      <c r="B671" s="362" t="str">
        <f>'Event Details'!D$23</f>
        <v>U</v>
      </c>
      <c r="C671" s="381" t="str">
        <f>'Event Details'!E$23</f>
        <v>Kidder &amp; Stourport</v>
      </c>
      <c r="D671" s="379"/>
      <c r="E671" s="378"/>
      <c r="F671" s="363">
        <f>VLOOKUP($B669,IF($H669="F",TeamSheetFemale,TeamSheetMale),$Y671-1,FALSE)</f>
        <v>0</v>
      </c>
      <c r="G671" s="380">
        <f>VLOOKUP($B669,IF($H669="F",TeamSheetFemale,TeamSheetMale),$Y671,FALSE)</f>
        <v>0</v>
      </c>
      <c r="H671" s="363">
        <f>VLOOKUP($B669,IF($H669="F",TeamSheetFemale,TeamSheetMale),$Y671+1,FALSE)</f>
        <v>0</v>
      </c>
      <c r="I671" s="364">
        <f>VLOOKUP($B669,IF($H669="F",TeamSheetFemale,TeamSheetMale),$Y671+2,FALSE)</f>
        <v>0</v>
      </c>
      <c r="K671" s="341" t="s">
        <v>272</v>
      </c>
      <c r="L671" s="16" t="str">
        <f t="shared" si="594"/>
        <v/>
      </c>
      <c r="M671" s="927"/>
      <c r="N671" s="927"/>
      <c r="O671" s="353" t="str">
        <f>IF(LEN($M671)=1,VLOOKUP(LEFT($M671,1),B670:I677,5,FALSE),IF(LEN($M671)=2,VLOOKUP(LEFT($M671,1),B670:I677,7,FALSE),""))</f>
        <v/>
      </c>
      <c r="P671" s="373" t="str">
        <f>IF(LEN($M671)=1,VLOOKUP(LEFT($M671,1),B670:I677,6,FALSE),IF(LEN($M671)=2,VLOOKUP(LEFT($M671,1),B670:I677,8,FALSE),""))</f>
        <v/>
      </c>
      <c r="Q671" s="341" t="s">
        <v>272</v>
      </c>
      <c r="R671" s="146" t="str">
        <f t="shared" si="595"/>
        <v/>
      </c>
      <c r="S671" s="927"/>
      <c r="T671" s="927"/>
      <c r="U671" s="353" t="str">
        <f>IF(LEN($S671)=1,VLOOKUP(LEFT($S671,1),B670:I677,5,FALSE),IF(LEN($S671)=2,VLOOKUP(LEFT($S671,1),B670:I677,7,FALSE),""))</f>
        <v/>
      </c>
      <c r="V671" s="373" t="str">
        <f>IF(LEN($S671)=1,VLOOKUP(LEFT($S671,1),B670:I677,6,FALSE),IF(LEN($S671)=2,VLOOKUP(LEFT($S671,1),B670:I677,8,FALSE),""))</f>
        <v/>
      </c>
      <c r="W671" s="417">
        <f>W670-1</f>
        <v>7</v>
      </c>
      <c r="Y671" s="417">
        <v>12</v>
      </c>
      <c r="Z671" s="16">
        <f t="shared" si="596"/>
        <v>0</v>
      </c>
      <c r="AA671" s="146">
        <f t="shared" si="597"/>
        <v>0</v>
      </c>
      <c r="AC671" s="16" t="str">
        <f t="shared" si="598"/>
        <v>U</v>
      </c>
      <c r="AD671" s="419" t="str">
        <f t="shared" si="598"/>
        <v>Kidder &amp; Stourport</v>
      </c>
      <c r="AE671" s="419">
        <f>IF(ISNA(MATCH(AC671,N670:N679,0)),0,VLOOKUP(AC671,N670:S679,5,FALSE))</f>
        <v>0</v>
      </c>
      <c r="AF671" s="419" t="str">
        <f>IF(ISNA(MATCH(AC671,T670:T679,0))," ",VLOOKUP(AC671,T670:Y679,5,FALSE))</f>
        <v xml:space="preserve"> </v>
      </c>
      <c r="AG671" s="419">
        <f>IF(ISNA(MATCH(AC671,L670:L677,0)),0,VLOOKUP(AC671,L670:N677,3,FALSE))</f>
        <v>0</v>
      </c>
      <c r="AH671" s="419">
        <f>IF(ISNA(MATCH(AC671,R670:R677,0)),0,VLOOKUP(AC671,R670:T677,3,FALSE))</f>
        <v>0</v>
      </c>
      <c r="AI671" s="419">
        <f>IF(ISNA(MATCH(AC671,L670:L677,0)),0,VLOOKUP(AC671,L670:P677,4,FALSE))</f>
        <v>0</v>
      </c>
      <c r="AJ671" s="419">
        <f>IF(ISNA(MATCH(AC671,R670:R677,0)),0,VLOOKUP(AC671,R670:U677,4,FALSE))</f>
        <v>0</v>
      </c>
      <c r="AK671" s="32">
        <f t="shared" si="599"/>
        <v>0</v>
      </c>
      <c r="AL671" s="32">
        <f t="shared" si="600"/>
        <v>0</v>
      </c>
      <c r="AM671" s="32">
        <f>IF(ISNA(MATCH(AC671,L670:L677,0)),0,VLOOKUP(AC671,L670:W677,AM$1,FALSE))</f>
        <v>0</v>
      </c>
      <c r="AN671" s="146">
        <f>IF(ISNA(MATCH(AC671,R670:R677,0)),0,VLOOKUP(AC671,R670:W677,AN$1,FALSE))</f>
        <v>0</v>
      </c>
      <c r="AP671" s="927"/>
      <c r="AQ671" s="927"/>
    </row>
    <row r="672" spans="1:47" ht="15.6" x14ac:dyDescent="0.3">
      <c r="A672" s="417">
        <f t="shared" ref="A672:A677" si="601">A671+1</f>
        <v>603</v>
      </c>
      <c r="B672" s="362" t="str">
        <f>'Event Details'!D$24</f>
        <v>G</v>
      </c>
      <c r="C672" s="381" t="str">
        <f>'Event Details'!E$24</f>
        <v>Royal Sutton</v>
      </c>
      <c r="D672" s="379"/>
      <c r="E672" s="378"/>
      <c r="F672" s="363" t="str">
        <f>VLOOKUP($B669,IF($H669="F",TeamSheetFemale,TeamSheetMale),$Y672-1,FALSE)</f>
        <v>G</v>
      </c>
      <c r="G672" s="380">
        <f>VLOOKUP($B669,IF($H669="F",TeamSheetFemale,TeamSheetMale),$Y672,FALSE)</f>
        <v>0</v>
      </c>
      <c r="H672" s="363" t="str">
        <f>VLOOKUP($B669,IF($H669="F",TeamSheetFemale,TeamSheetMale),$Y672+1,FALSE)</f>
        <v>GG</v>
      </c>
      <c r="I672" s="364">
        <f>VLOOKUP($B669,IF($H669="F",TeamSheetFemale,TeamSheetMale),$Y672+2,FALSE)</f>
        <v>0</v>
      </c>
      <c r="K672" s="341" t="s">
        <v>273</v>
      </c>
      <c r="L672" s="16" t="str">
        <f t="shared" si="594"/>
        <v/>
      </c>
      <c r="M672" s="927"/>
      <c r="N672" s="927"/>
      <c r="O672" s="353" t="str">
        <f>IF(LEN($M672)=1,VLOOKUP(LEFT($M672,1),B670:I677,5,FALSE),IF(LEN($M672)=2,VLOOKUP(LEFT($M672,1),B670:I677,7,FALSE),""))</f>
        <v/>
      </c>
      <c r="P672" s="373" t="str">
        <f>IF(LEN($M672)=1,VLOOKUP(LEFT($M672,1),B670:I677,6,FALSE),IF(LEN($M672)=2,VLOOKUP(LEFT($M672,1),B670:I677,8,FALSE),""))</f>
        <v/>
      </c>
      <c r="Q672" s="341" t="s">
        <v>273</v>
      </c>
      <c r="R672" s="146" t="str">
        <f t="shared" si="595"/>
        <v/>
      </c>
      <c r="S672" s="927"/>
      <c r="T672" s="927"/>
      <c r="U672" s="353" t="str">
        <f>IF(LEN($S672)=1,VLOOKUP(LEFT($S672,1),B670:I677,5,FALSE),IF(LEN($S672)=2,VLOOKUP(LEFT($S672,1),B670:I677,7,FALSE),""))</f>
        <v/>
      </c>
      <c r="V672" s="373" t="str">
        <f>IF(LEN($S672)=1,VLOOKUP(LEFT($S672,1),B670:I677,6,FALSE),IF(LEN($S672)=2,VLOOKUP(LEFT($S672,1),B670:I677,8,FALSE),""))</f>
        <v/>
      </c>
      <c r="W672" s="417">
        <f t="shared" ref="W672:W677" si="602">W671-1</f>
        <v>6</v>
      </c>
      <c r="Y672" s="417">
        <v>17</v>
      </c>
      <c r="Z672" s="16">
        <f t="shared" si="596"/>
        <v>0</v>
      </c>
      <c r="AA672" s="146">
        <f t="shared" si="597"/>
        <v>0</v>
      </c>
      <c r="AB672" s="32"/>
      <c r="AC672" s="16" t="str">
        <f t="shared" si="598"/>
        <v>G</v>
      </c>
      <c r="AD672" s="419" t="str">
        <f t="shared" si="598"/>
        <v>Royal Sutton</v>
      </c>
      <c r="AE672" s="419">
        <f>IF(ISNA(MATCH(AC672,N670:N679,0)),0,VLOOKUP(AC672,N670:S679,5,FALSE))</f>
        <v>0</v>
      </c>
      <c r="AF672" s="419" t="str">
        <f>IF(ISNA(MATCH(AC672,T670:T679,0))," ",VLOOKUP(AC672,T670:Y679,5,FALSE))</f>
        <v xml:space="preserve"> </v>
      </c>
      <c r="AG672" s="419">
        <f>IF(ISNA(MATCH(AC672,L670:L677,0)),0,VLOOKUP(AC672,L670:N677,3,FALSE))</f>
        <v>0</v>
      </c>
      <c r="AH672" s="419">
        <f>IF(ISNA(MATCH(AC672,R670:R677,0)),0,VLOOKUP(AC672,R670:T677,3,FALSE))</f>
        <v>0</v>
      </c>
      <c r="AI672" s="419">
        <f>IF(ISNA(MATCH(AC672,L670:L677,0)),0,VLOOKUP(AC672,L670:P677,4,FALSE))</f>
        <v>0</v>
      </c>
      <c r="AJ672" s="419">
        <f>IF(ISNA(MATCH(AC672,R670:R677,0)),0,VLOOKUP(AC672,R670:U677,4,FALSE))</f>
        <v>0</v>
      </c>
      <c r="AK672" s="32">
        <f t="shared" si="599"/>
        <v>0</v>
      </c>
      <c r="AL672" s="32">
        <f t="shared" si="600"/>
        <v>0</v>
      </c>
      <c r="AM672" s="32">
        <f>IF(ISNA(MATCH(AC672,L670:L677,0)),0,VLOOKUP(AC672,L670:W677,AM$1,FALSE))</f>
        <v>0</v>
      </c>
      <c r="AN672" s="146">
        <f>IF(ISNA(MATCH(AC672,R670:R677,0)),0,VLOOKUP(AC672,R670:W677,AN$1,FALSE))</f>
        <v>0</v>
      </c>
      <c r="AP672" s="927"/>
      <c r="AQ672" s="927"/>
    </row>
    <row r="673" spans="1:47" ht="15.6" x14ac:dyDescent="0.3">
      <c r="A673" s="417">
        <f t="shared" si="601"/>
        <v>604</v>
      </c>
      <c r="B673" s="362" t="str">
        <f>'Event Details'!D$25</f>
        <v>R</v>
      </c>
      <c r="C673" s="381" t="str">
        <f>'Event Details'!E$25</f>
        <v>Rugby &amp; N'hampton</v>
      </c>
      <c r="D673" s="379"/>
      <c r="E673" s="378"/>
      <c r="F673" s="363">
        <f>VLOOKUP($B669,IF($H669="F",TeamSheetFemale,TeamSheetMale),$Y673-1,FALSE)</f>
        <v>0</v>
      </c>
      <c r="G673" s="380">
        <f>VLOOKUP($B669,IF($H669="F",TeamSheetFemale,TeamSheetMale),$Y673,FALSE)</f>
        <v>0</v>
      </c>
      <c r="H673" s="363">
        <f>VLOOKUP($B669,IF($H669="F",TeamSheetFemale,TeamSheetMale),$Y673+1,FALSE)</f>
        <v>0</v>
      </c>
      <c r="I673" s="364">
        <f>VLOOKUP($B669,IF($H669="F",TeamSheetFemale,TeamSheetMale),$Y673+2,FALSE)</f>
        <v>0</v>
      </c>
      <c r="K673" s="341" t="s">
        <v>274</v>
      </c>
      <c r="L673" s="16" t="str">
        <f t="shared" si="594"/>
        <v/>
      </c>
      <c r="M673" s="927"/>
      <c r="N673" s="927"/>
      <c r="O673" s="353" t="str">
        <f>IF(LEN($M673)=1,VLOOKUP(LEFT($M673,1),B670:I677,5,FALSE),IF(LEN($M673)=2,VLOOKUP(LEFT($M673,1),B670:I677,7,FALSE),""))</f>
        <v/>
      </c>
      <c r="P673" s="373" t="str">
        <f>IF(LEN($M673)=1,VLOOKUP(LEFT($M673,1),B670:I677,6,FALSE),IF(LEN($M673)=2,VLOOKUP(LEFT($M673,1),B670:I677,8,FALSE),""))</f>
        <v/>
      </c>
      <c r="Q673" s="341" t="s">
        <v>274</v>
      </c>
      <c r="R673" s="146" t="str">
        <f t="shared" si="595"/>
        <v/>
      </c>
      <c r="S673" s="927"/>
      <c r="T673" s="927"/>
      <c r="U673" s="353" t="str">
        <f>IF(LEN($S673)=1,VLOOKUP(LEFT($S673,1),B670:I677,5,FALSE),IF(LEN($S673)=2,VLOOKUP(LEFT($S673,1),B670:I677,7,FALSE),""))</f>
        <v/>
      </c>
      <c r="V673" s="373" t="str">
        <f>IF(LEN($S673)=1,VLOOKUP(LEFT($S673,1),B670:I677,6,FALSE),IF(LEN($S673)=2,VLOOKUP(LEFT($S673,1),B670:I677,8,FALSE),""))</f>
        <v/>
      </c>
      <c r="W673" s="417">
        <f t="shared" si="602"/>
        <v>5</v>
      </c>
      <c r="Y673" s="417">
        <v>22</v>
      </c>
      <c r="Z673" s="16">
        <f t="shared" si="596"/>
        <v>0</v>
      </c>
      <c r="AA673" s="146">
        <f t="shared" si="597"/>
        <v>0</v>
      </c>
      <c r="AB673" s="32"/>
      <c r="AC673" s="16" t="str">
        <f t="shared" si="598"/>
        <v>R</v>
      </c>
      <c r="AD673" s="419" t="str">
        <f t="shared" si="598"/>
        <v>Rugby &amp; N'hampton</v>
      </c>
      <c r="AE673" s="419">
        <f>IF(ISNA(MATCH(AC673,N670:N679,0)),0,VLOOKUP(AC673,N670:S679,5,FALSE))</f>
        <v>0</v>
      </c>
      <c r="AF673" s="419" t="str">
        <f>IF(ISNA(MATCH(AC673,T670:T679,0))," ",VLOOKUP(AC673,T670:Y679,5,FALSE))</f>
        <v xml:space="preserve"> </v>
      </c>
      <c r="AG673" s="419">
        <f>IF(ISNA(MATCH(AC673,L670:L677,0)),0,VLOOKUP(AC673,L670:N677,3,FALSE))</f>
        <v>0</v>
      </c>
      <c r="AH673" s="419">
        <f>IF(ISNA(MATCH(AC673,R670:R677,0)),0,VLOOKUP(AC673,R670:T677,3,FALSE))</f>
        <v>0</v>
      </c>
      <c r="AI673" s="419">
        <f>IF(ISNA(MATCH(AC673,L670:L677,0)),0,VLOOKUP(AC673,L670:P677,4,FALSE))</f>
        <v>0</v>
      </c>
      <c r="AJ673" s="419">
        <f>IF(ISNA(MATCH(AC673,R670:R677,0)),0,VLOOKUP(AC673,R670:U677,4,FALSE))</f>
        <v>0</v>
      </c>
      <c r="AK673" s="32">
        <f t="shared" si="599"/>
        <v>0</v>
      </c>
      <c r="AL673" s="32">
        <f t="shared" si="600"/>
        <v>0</v>
      </c>
      <c r="AM673" s="32">
        <f>IF(ISNA(MATCH(AC673,L670:L677,0)),0,VLOOKUP(AC673,L670:W677,AM$1,FALSE))</f>
        <v>0</v>
      </c>
      <c r="AN673" s="146">
        <f>IF(ISNA(MATCH(AC673,R670:R677,0)),0,VLOOKUP(AC673,R670:W677,AN$1,FALSE))</f>
        <v>0</v>
      </c>
      <c r="AP673" s="927"/>
      <c r="AQ673" s="927"/>
    </row>
    <row r="674" spans="1:47" ht="15.6" x14ac:dyDescent="0.3">
      <c r="A674" s="417">
        <f t="shared" si="601"/>
        <v>605</v>
      </c>
      <c r="B674" s="362" t="str">
        <f>'Event Details'!D$26</f>
        <v>M</v>
      </c>
      <c r="C674" s="381" t="str">
        <f>'Event Details'!E$26</f>
        <v>Solihull &amp; S.Heath</v>
      </c>
      <c r="D674" s="379"/>
      <c r="E674" s="378"/>
      <c r="F674" s="363">
        <f>VLOOKUP($B669,IF($H669="F",TeamSheetFemale,TeamSheetMale),$Y674-1,FALSE)</f>
        <v>0</v>
      </c>
      <c r="G674" s="380">
        <f>VLOOKUP($B669,IF($H669="F",TeamSheetFemale,TeamSheetMale),$Y674,FALSE)</f>
        <v>0</v>
      </c>
      <c r="H674" s="363">
        <f>VLOOKUP($B669,IF($H669="F",TeamSheetFemale,TeamSheetMale),$Y674+1,FALSE)</f>
        <v>0</v>
      </c>
      <c r="I674" s="364">
        <f>VLOOKUP($B669,IF($H669="F",TeamSheetFemale,TeamSheetMale),$Y674+2,FALSE)</f>
        <v>0</v>
      </c>
      <c r="K674" s="341" t="s">
        <v>275</v>
      </c>
      <c r="L674" s="16" t="str">
        <f t="shared" si="594"/>
        <v/>
      </c>
      <c r="M674" s="927"/>
      <c r="N674" s="927"/>
      <c r="O674" s="353" t="str">
        <f>IF(LEN($M674)=1,VLOOKUP(LEFT($M674,1),B670:I677,5,FALSE),IF(LEN($M674)=2,VLOOKUP(LEFT($M674,1),B670:I677,7,FALSE),""))</f>
        <v/>
      </c>
      <c r="P674" s="373" t="str">
        <f>IF(LEN($M674)=1,VLOOKUP(LEFT($M674,1),B670:I677,6,FALSE),IF(LEN($M674)=2,VLOOKUP(LEFT($M674,1),B670:I677,8,FALSE),""))</f>
        <v/>
      </c>
      <c r="Q674" s="341" t="s">
        <v>275</v>
      </c>
      <c r="R674" s="146" t="str">
        <f t="shared" si="595"/>
        <v/>
      </c>
      <c r="S674" s="927"/>
      <c r="T674" s="927"/>
      <c r="U674" s="353" t="str">
        <f>IF(LEN($S674)=1,VLOOKUP(LEFT($S674,1),B670:I677,5,FALSE),IF(LEN($S674)=2,VLOOKUP(LEFT($S674,1),B670:I677,7,FALSE),""))</f>
        <v/>
      </c>
      <c r="V674" s="373" t="str">
        <f>IF(LEN($S674)=1,VLOOKUP(LEFT($S674,1),B670:I677,6,FALSE),IF(LEN($S674)=2,VLOOKUP(LEFT($S674,1),B670:I677,8,FALSE),""))</f>
        <v/>
      </c>
      <c r="W674" s="417">
        <f t="shared" si="602"/>
        <v>4</v>
      </c>
      <c r="Y674" s="417">
        <v>27</v>
      </c>
      <c r="Z674" s="16">
        <f t="shared" si="596"/>
        <v>0</v>
      </c>
      <c r="AA674" s="146">
        <f t="shared" si="597"/>
        <v>0</v>
      </c>
      <c r="AB674" s="32"/>
      <c r="AC674" s="16" t="str">
        <f t="shared" si="598"/>
        <v>M</v>
      </c>
      <c r="AD674" s="419" t="str">
        <f t="shared" si="598"/>
        <v>Solihull &amp; S.Heath</v>
      </c>
      <c r="AE674" s="419">
        <f>IF(ISNA(MATCH(AC674,N670:N679,0)),0,VLOOKUP(AC674,N670:S679,5,FALSE))</f>
        <v>0</v>
      </c>
      <c r="AF674" s="419" t="str">
        <f>IF(ISNA(MATCH(AC674,T670:T679,0))," ",VLOOKUP(AC674,T670:Y679,5,FALSE))</f>
        <v xml:space="preserve"> </v>
      </c>
      <c r="AG674" s="419">
        <f>IF(ISNA(MATCH(AC674,L670:L677,0)),0,VLOOKUP(AC674,L670:N677,3,FALSE))</f>
        <v>0</v>
      </c>
      <c r="AH674" s="419">
        <f>IF(ISNA(MATCH(AC674,R670:R677,0)),0,VLOOKUP(AC674,R670:T677,3,FALSE))</f>
        <v>0</v>
      </c>
      <c r="AI674" s="419">
        <f>IF(ISNA(MATCH(AC674,L670:L677,0)),0,VLOOKUP(AC674,L670:P677,4,FALSE))</f>
        <v>0</v>
      </c>
      <c r="AJ674" s="419">
        <f>IF(ISNA(MATCH(AC674,R670:R677,0)),0,VLOOKUP(AC674,R670:U677,4,FALSE))</f>
        <v>0</v>
      </c>
      <c r="AK674" s="32">
        <f t="shared" si="599"/>
        <v>0</v>
      </c>
      <c r="AL674" s="32">
        <f t="shared" si="600"/>
        <v>0</v>
      </c>
      <c r="AM674" s="32">
        <f>IF(ISNA(MATCH(AC674,L670:L677,0)),0,VLOOKUP(AC674,L670:W677,AM$1,FALSE))</f>
        <v>0</v>
      </c>
      <c r="AN674" s="146">
        <f>IF(ISNA(MATCH(AC674,R670:R677,0)),0,VLOOKUP(AC674,R670:W677,AN$1,FALSE))</f>
        <v>0</v>
      </c>
      <c r="AP674" s="927"/>
      <c r="AQ674" s="927"/>
    </row>
    <row r="675" spans="1:47" ht="15.6" x14ac:dyDescent="0.3">
      <c r="A675" s="417">
        <f t="shared" si="601"/>
        <v>606</v>
      </c>
      <c r="B675" s="362" t="str">
        <f>'Event Details'!D$27</f>
        <v>D</v>
      </c>
      <c r="C675" s="381" t="str">
        <f>'Event Details'!E$27</f>
        <v>Stratford</v>
      </c>
      <c r="D675" s="379"/>
      <c r="E675" s="378"/>
      <c r="F675" s="363">
        <f>VLOOKUP($B669,IF($H669="F",TeamSheetFemale,TeamSheetMale),$Y675-1,FALSE)</f>
        <v>0</v>
      </c>
      <c r="G675" s="380">
        <f>VLOOKUP($B669,IF($H669="F",TeamSheetFemale,TeamSheetMale),$Y675,FALSE)</f>
        <v>0</v>
      </c>
      <c r="H675" s="363">
        <f>VLOOKUP($B669,IF($H669="F",TeamSheetFemale,TeamSheetMale),$Y675+1,FALSE)</f>
        <v>0</v>
      </c>
      <c r="I675" s="364">
        <f>VLOOKUP($B669,IF($H669="F",TeamSheetFemale,TeamSheetMale),$Y675+2,FALSE)</f>
        <v>0</v>
      </c>
      <c r="K675" s="341" t="s">
        <v>276</v>
      </c>
      <c r="L675" s="16" t="str">
        <f t="shared" si="594"/>
        <v/>
      </c>
      <c r="M675" s="927"/>
      <c r="N675" s="927"/>
      <c r="O675" s="353" t="str">
        <f>IF(LEN($M675)=1,VLOOKUP(LEFT($M675,1),B670:I677,5,FALSE),IF(LEN($M675)=2,VLOOKUP(LEFT($M675,1),B670:I677,7,FALSE),""))</f>
        <v/>
      </c>
      <c r="P675" s="373" t="str">
        <f>IF(LEN($M675)=1,VLOOKUP(LEFT($M675,1),B670:I677,6,FALSE),IF(LEN($M675)=2,VLOOKUP(LEFT($M675,1),B670:I677,8,FALSE),""))</f>
        <v/>
      </c>
      <c r="Q675" s="341" t="s">
        <v>276</v>
      </c>
      <c r="R675" s="146" t="str">
        <f t="shared" si="595"/>
        <v/>
      </c>
      <c r="S675" s="927"/>
      <c r="T675" s="927"/>
      <c r="U675" s="353" t="str">
        <f>IF(LEN($S675)=1,VLOOKUP(LEFT($S675,1),B670:I677,5,FALSE),IF(LEN($S675)=2,VLOOKUP(LEFT($S675,1),B670:I677,7,FALSE),""))</f>
        <v/>
      </c>
      <c r="V675" s="373" t="str">
        <f>IF(LEN($S675)=1,VLOOKUP(LEFT($S675,1),B670:I677,6,FALSE),IF(LEN($S675)=2,VLOOKUP(LEFT($S675,1),B670:I677,8,FALSE),""))</f>
        <v/>
      </c>
      <c r="W675" s="417">
        <f t="shared" si="602"/>
        <v>3</v>
      </c>
      <c r="Y675" s="417">
        <v>32</v>
      </c>
      <c r="Z675" s="16">
        <f t="shared" si="596"/>
        <v>0</v>
      </c>
      <c r="AA675" s="146">
        <f t="shared" si="597"/>
        <v>0</v>
      </c>
      <c r="AB675" s="32"/>
      <c r="AC675" s="16" t="str">
        <f t="shared" si="598"/>
        <v>D</v>
      </c>
      <c r="AD675" s="419" t="str">
        <f t="shared" si="598"/>
        <v>Stratford</v>
      </c>
      <c r="AE675" s="419">
        <f>IF(ISNA(MATCH(AC675,N670:N679,0)),0,VLOOKUP(AC675,N670:S679,5,FALSE))</f>
        <v>0</v>
      </c>
      <c r="AF675" s="419" t="str">
        <f>IF(ISNA(MATCH(AC675,T670:T679,0))," ",VLOOKUP(AC675,T670:Y679,5,FALSE))</f>
        <v xml:space="preserve"> </v>
      </c>
      <c r="AG675" s="419">
        <f>IF(ISNA(MATCH(AC675,L670:L677,0)),0,VLOOKUP(AC675,L670:N677,3,FALSE))</f>
        <v>0</v>
      </c>
      <c r="AH675" s="419">
        <f>IF(ISNA(MATCH(AC675,R670:R677,0)),0,VLOOKUP(AC675,R670:T677,3,FALSE))</f>
        <v>0</v>
      </c>
      <c r="AI675" s="419">
        <f>IF(ISNA(MATCH(AC675,L670:L677,0)),0,VLOOKUP(AC675,L670:P677,4,FALSE))</f>
        <v>0</v>
      </c>
      <c r="AJ675" s="419">
        <f>IF(ISNA(MATCH(AC675,R670:R677,0)),0,VLOOKUP(AC675,R670:U677,4,FALSE))</f>
        <v>0</v>
      </c>
      <c r="AK675" s="32">
        <f t="shared" si="599"/>
        <v>0</v>
      </c>
      <c r="AL675" s="32">
        <f t="shared" si="600"/>
        <v>0</v>
      </c>
      <c r="AM675" s="32">
        <f>IF(ISNA(MATCH(AC675,L670:L677,0)),0,VLOOKUP(AC675,L670:W677,AM$1,FALSE))</f>
        <v>0</v>
      </c>
      <c r="AN675" s="146">
        <f>IF(ISNA(MATCH(AC675,R670:R677,0)),0,VLOOKUP(AC675,R670:W677,AN$1,FALSE))</f>
        <v>0</v>
      </c>
      <c r="AP675" s="927"/>
      <c r="AQ675" s="927"/>
    </row>
    <row r="676" spans="1:47" ht="15.6" x14ac:dyDescent="0.3">
      <c r="A676" s="417">
        <f t="shared" si="601"/>
        <v>607</v>
      </c>
      <c r="B676" s="362" t="str">
        <f>'Event Details'!D$28</f>
        <v>F</v>
      </c>
      <c r="C676" s="381" t="str">
        <f>'Event Details'!E$28</f>
        <v>Tamworth</v>
      </c>
      <c r="D676" s="379"/>
      <c r="E676" s="378"/>
      <c r="F676" s="363">
        <f>VLOOKUP($B669,IF($H669="F",TeamSheetFemale,TeamSheetMale),$Y676-1,FALSE)</f>
        <v>0</v>
      </c>
      <c r="G676" s="380">
        <f>VLOOKUP($B669,IF($H669="F",TeamSheetFemale,TeamSheetMale),$Y676,FALSE)</f>
        <v>0</v>
      </c>
      <c r="H676" s="363">
        <f>VLOOKUP($B669,IF($H669="F",TeamSheetFemale,TeamSheetMale),$Y676+1,FALSE)</f>
        <v>0</v>
      </c>
      <c r="I676" s="364">
        <f>VLOOKUP($B669,IF($H669="F",TeamSheetFemale,TeamSheetMale),$Y676+2,FALSE)</f>
        <v>0</v>
      </c>
      <c r="K676" s="341" t="s">
        <v>277</v>
      </c>
      <c r="L676" s="16" t="str">
        <f t="shared" si="594"/>
        <v/>
      </c>
      <c r="M676" s="927"/>
      <c r="N676" s="927"/>
      <c r="O676" s="353" t="str">
        <f>IF(LEN($M676)=1,VLOOKUP(LEFT($M676,1),B670:I677,5,FALSE),IF(LEN($M676)=2,VLOOKUP(LEFT($M676,1),B670:I677,7,FALSE),""))</f>
        <v/>
      </c>
      <c r="P676" s="373" t="str">
        <f>IF(LEN($M676)=1,VLOOKUP(LEFT($M676,1),B670:I677,6,FALSE),IF(LEN($M676)=2,VLOOKUP(LEFT($M676,1),B670:I677,8,FALSE),""))</f>
        <v/>
      </c>
      <c r="Q676" s="341" t="s">
        <v>277</v>
      </c>
      <c r="R676" s="146" t="str">
        <f t="shared" si="595"/>
        <v/>
      </c>
      <c r="S676" s="927"/>
      <c r="T676" s="927"/>
      <c r="U676" s="353" t="str">
        <f>IF(LEN($S676)=1,VLOOKUP(LEFT($S676,1),B670:I677,5,FALSE),IF(LEN($S676)=2,VLOOKUP(LEFT($S676,1),B670:I677,7,FALSE),""))</f>
        <v/>
      </c>
      <c r="V676" s="373" t="str">
        <f>IF(LEN($S676)=1,VLOOKUP(LEFT($S676,1),B670:I677,6,FALSE),IF(LEN($S676)=2,VLOOKUP(LEFT($S676,1),B670:I677,8,FALSE),""))</f>
        <v/>
      </c>
      <c r="W676" s="417">
        <f t="shared" si="602"/>
        <v>2</v>
      </c>
      <c r="Y676" s="417">
        <v>37</v>
      </c>
      <c r="Z676" s="16">
        <f t="shared" si="596"/>
        <v>0</v>
      </c>
      <c r="AA676" s="146">
        <f t="shared" si="597"/>
        <v>0</v>
      </c>
      <c r="AB676" s="32"/>
      <c r="AC676" s="16" t="str">
        <f t="shared" si="598"/>
        <v>F</v>
      </c>
      <c r="AD676" s="419" t="str">
        <f t="shared" si="598"/>
        <v>Tamworth</v>
      </c>
      <c r="AE676" s="419">
        <f>IF(ISNA(MATCH(AC676,N668:N677,0)),0,VLOOKUP(AC676,N668:S677,5,FALSE))</f>
        <v>0</v>
      </c>
      <c r="AF676" s="419" t="str">
        <f>IF(ISNA(MATCH(AC676,T668:T677,0))," ",VLOOKUP(AC676,T668:Y677,5,FALSE))</f>
        <v xml:space="preserve"> </v>
      </c>
      <c r="AG676" s="419">
        <f>IF(ISNA(MATCH(AC676,L670:L677,0)),0,VLOOKUP(AC676,L670:N677,3,FALSE))</f>
        <v>0</v>
      </c>
      <c r="AH676" s="419">
        <f>IF(ISNA(MATCH(AC676,R670:R677,0)),0,VLOOKUP(AC676,R670:T677,3,FALSE))</f>
        <v>0</v>
      </c>
      <c r="AI676" s="419">
        <f>IF(ISNA(MATCH(AC676,L670:L677,0)),0,VLOOKUP(AC676,L670:P677,4,FALSE))</f>
        <v>0</v>
      </c>
      <c r="AJ676" s="419">
        <f>IF(ISNA(MATCH(AC676,R670:R677,0)),0,VLOOKUP(AC676,R670:U677,4,FALSE))</f>
        <v>0</v>
      </c>
      <c r="AK676" s="32">
        <f t="shared" si="599"/>
        <v>0</v>
      </c>
      <c r="AL676" s="32">
        <f t="shared" si="600"/>
        <v>0</v>
      </c>
      <c r="AM676" s="32">
        <f>IF(ISNA(MATCH(AC676,L670:L677,0)),0,VLOOKUP(AC676,L670:W677,AM$1,FALSE))</f>
        <v>0</v>
      </c>
      <c r="AN676" s="146">
        <f>IF(ISNA(MATCH(AC676,R670:R677,0)),0,VLOOKUP(AC676,R670:W677,AN$1,FALSE))</f>
        <v>0</v>
      </c>
      <c r="AP676" s="927"/>
      <c r="AQ676" s="927"/>
    </row>
    <row r="677" spans="1:47" ht="16.2" thickBot="1" x14ac:dyDescent="0.35">
      <c r="A677" s="418">
        <f t="shared" si="601"/>
        <v>608</v>
      </c>
      <c r="B677" s="365" t="str">
        <f>'Event Details'!D$29</f>
        <v>Y</v>
      </c>
      <c r="C677" s="366" t="str">
        <f>'Event Details'!E$29</f>
        <v>Worcester</v>
      </c>
      <c r="D677" s="361"/>
      <c r="E677" s="370"/>
      <c r="F677" s="367">
        <f>VLOOKUP($B669,IF($H669="F",TeamSheetFemale,TeamSheetMale),$Y677-1,FALSE)</f>
        <v>0</v>
      </c>
      <c r="G677" s="368">
        <f>VLOOKUP($B669,IF($H669="F",TeamSheetFemale,TeamSheetMale),$Y677,FALSE)</f>
        <v>0</v>
      </c>
      <c r="H677" s="367">
        <f>VLOOKUP($B669,IF($H669="F",TeamSheetFemale,TeamSheetMale),$Y677+1,FALSE)</f>
        <v>0</v>
      </c>
      <c r="I677" s="369">
        <f>VLOOKUP($B669,IF($H669="F",TeamSheetFemale,TeamSheetMale),$Y677+2,FALSE)</f>
        <v>0</v>
      </c>
      <c r="K677" s="346" t="s">
        <v>278</v>
      </c>
      <c r="L677" s="25" t="str">
        <f t="shared" si="594"/>
        <v/>
      </c>
      <c r="M677" s="932"/>
      <c r="N677" s="932"/>
      <c r="O677" s="375" t="str">
        <f>IF(LEN($M677)=1,VLOOKUP(LEFT($M677,1),B670:I677,5,FALSE),IF(LEN($M677)=2,VLOOKUP(LEFT($M677,1),B670:I677,7,FALSE),""))</f>
        <v/>
      </c>
      <c r="P677" s="376" t="str">
        <f>IF(LEN($M677)=1,VLOOKUP(LEFT($M677,1),B670:I677,6,FALSE),IF(LEN($M677)=2,VLOOKUP(LEFT($M677,1),B670:I677,8,FALSE),""))</f>
        <v/>
      </c>
      <c r="Q677" s="346" t="s">
        <v>278</v>
      </c>
      <c r="R677" s="523" t="str">
        <f t="shared" si="595"/>
        <v/>
      </c>
      <c r="S677" s="932"/>
      <c r="T677" s="932"/>
      <c r="U677" s="375" t="str">
        <f>IF(LEN($S677)=1,VLOOKUP(LEFT($S677,1),B670:I677,5,FALSE),IF(LEN($S677)=2,VLOOKUP(LEFT($S677,1),B670:I677,7,FALSE),""))</f>
        <v/>
      </c>
      <c r="V677" s="376" t="str">
        <f>IF(LEN($S677)=1,VLOOKUP(LEFT($S677,1),B670:I677,6,FALSE),IF(LEN($S677)=2,VLOOKUP(LEFT($S677,1),B670:I677,8,FALSE),""))</f>
        <v/>
      </c>
      <c r="W677" s="418">
        <f t="shared" si="602"/>
        <v>1</v>
      </c>
      <c r="Y677" s="418">
        <v>42</v>
      </c>
      <c r="Z677" s="25">
        <f t="shared" si="596"/>
        <v>0</v>
      </c>
      <c r="AA677" s="523">
        <f t="shared" si="597"/>
        <v>0</v>
      </c>
      <c r="AB677" s="32"/>
      <c r="AC677" s="25" t="str">
        <f t="shared" si="598"/>
        <v>Y</v>
      </c>
      <c r="AD677" s="624" t="str">
        <f t="shared" si="598"/>
        <v>Worcester</v>
      </c>
      <c r="AE677" s="624">
        <f>IF(ISNA(MATCH(AC677,N669:N678,0)),0,VLOOKUP(AC677,N669:S678,5,FALSE))</f>
        <v>0</v>
      </c>
      <c r="AF677" s="624" t="str">
        <f t="shared" ref="AF677" si="603">IF(ISNA(MATCH(AC677,T669:T678,0))," ",VLOOKUP(AC677,T669:Y678,5,FALSE))</f>
        <v xml:space="preserve"> </v>
      </c>
      <c r="AG677" s="624">
        <f>IF(ISNA(MATCH(AC677,L670:L677,0)),0,VLOOKUP(AC677,L670:N677,3,FALSE))</f>
        <v>0</v>
      </c>
      <c r="AH677" s="624">
        <f>IF(ISNA(MATCH(AC677,R670:R677,0)),0,VLOOKUP(AC677,R670:T677,3,FALSE))</f>
        <v>0</v>
      </c>
      <c r="AI677" s="624">
        <f>IF(ISNA(MATCH(AC677,L670:L677,0)),0,VLOOKUP(AC677,L670:P677,4,FALSE))</f>
        <v>0</v>
      </c>
      <c r="AJ677" s="624">
        <f>IF(ISNA(MATCH(AC677,R670:R677,0)),0,VLOOKUP(AC677,R670:U677,4,FALSE))</f>
        <v>0</v>
      </c>
      <c r="AK677" s="116">
        <f t="shared" si="599"/>
        <v>0</v>
      </c>
      <c r="AL677" s="116">
        <f t="shared" si="600"/>
        <v>0</v>
      </c>
      <c r="AM677" s="116">
        <f>IF(ISNA(MATCH(AC677,L670:L677,0)),0,VLOOKUP(AC677,L670:W677,AM$1,FALSE))</f>
        <v>0</v>
      </c>
      <c r="AN677" s="523">
        <f>IF(ISNA(MATCH(AC677,R670:R677,0)),0,VLOOKUP(AC677,R670:W677,AN$1,FALSE))</f>
        <v>0</v>
      </c>
      <c r="AP677" s="932"/>
      <c r="AQ677" s="932"/>
    </row>
    <row r="678" spans="1:47" ht="15" thickBot="1" x14ac:dyDescent="0.35">
      <c r="M678" s="276"/>
      <c r="N678" s="276"/>
      <c r="S678" s="276"/>
      <c r="T678" s="276"/>
      <c r="AP678" s="276"/>
      <c r="AQ678" s="276"/>
    </row>
    <row r="679" spans="1:47" x14ac:dyDescent="0.3">
      <c r="B679" s="400" t="s">
        <v>258</v>
      </c>
      <c r="C679" s="398"/>
      <c r="D679" s="401" t="s">
        <v>165</v>
      </c>
      <c r="E679" s="398"/>
      <c r="F679" s="398"/>
      <c r="G679" s="402" t="s">
        <v>259</v>
      </c>
      <c r="H679" s="403" t="s">
        <v>249</v>
      </c>
      <c r="I679" s="404" t="s">
        <v>168</v>
      </c>
      <c r="K679" s="360"/>
      <c r="L679" s="661"/>
      <c r="M679" s="387" t="s">
        <v>260</v>
      </c>
      <c r="N679" s="387" t="s">
        <v>261</v>
      </c>
      <c r="O679" s="387" t="s">
        <v>262</v>
      </c>
      <c r="P679" s="388" t="s">
        <v>75</v>
      </c>
      <c r="Q679" s="412"/>
      <c r="R679" s="657"/>
      <c r="S679" s="387" t="s">
        <v>260</v>
      </c>
      <c r="T679" s="387" t="s">
        <v>261</v>
      </c>
      <c r="U679" s="387" t="s">
        <v>262</v>
      </c>
      <c r="V679" s="388" t="s">
        <v>75</v>
      </c>
      <c r="W679" s="672" t="s">
        <v>76</v>
      </c>
      <c r="Y679" s="654" t="s">
        <v>263</v>
      </c>
      <c r="Z679" s="656" t="s">
        <v>74</v>
      </c>
      <c r="AA679" s="657" t="s">
        <v>75</v>
      </c>
      <c r="AC679" s="665" t="s">
        <v>71</v>
      </c>
      <c r="AD679" s="657" t="s">
        <v>86</v>
      </c>
      <c r="AE679" s="661" t="s">
        <v>149</v>
      </c>
      <c r="AF679" s="661" t="s">
        <v>94</v>
      </c>
      <c r="AG679" s="661" t="s">
        <v>149</v>
      </c>
      <c r="AH679" s="661" t="s">
        <v>94</v>
      </c>
      <c r="AI679" s="661" t="s">
        <v>149</v>
      </c>
      <c r="AJ679" s="661" t="s">
        <v>94</v>
      </c>
      <c r="AK679" s="1332" t="s">
        <v>149</v>
      </c>
      <c r="AL679" s="661" t="s">
        <v>94</v>
      </c>
      <c r="AM679" s="1406" t="s">
        <v>76</v>
      </c>
      <c r="AN679" s="1407"/>
      <c r="AP679" s="387" t="s">
        <v>260</v>
      </c>
      <c r="AQ679" s="387" t="s">
        <v>261</v>
      </c>
      <c r="AS679" s="1218" t="s">
        <v>165</v>
      </c>
      <c r="AT679" s="1219" t="s">
        <v>79</v>
      </c>
      <c r="AU679" s="1220" t="s">
        <v>80</v>
      </c>
    </row>
    <row r="680" spans="1:47" ht="15" thickBot="1" x14ac:dyDescent="0.35">
      <c r="B680" s="405">
        <v>61</v>
      </c>
      <c r="C680" s="399"/>
      <c r="D680" s="385" t="str">
        <f>VLOOKUP($B680,EventOrder,6,FALSE)</f>
        <v>Javelin (U18) Match 1 &amp; 3</v>
      </c>
      <c r="E680" s="399"/>
      <c r="F680" s="385"/>
      <c r="G680" s="386" t="str">
        <f>VLOOKUP($B680,EventOrder,4,FALSE)</f>
        <v>U18 Men</v>
      </c>
      <c r="H680" s="396" t="str">
        <f>IF(MID(G680,5,1)="F","F","M")</f>
        <v>M</v>
      </c>
      <c r="I680" s="397">
        <f>VLOOKUP($B680,EventOrder,2,FALSE)</f>
        <v>3.3</v>
      </c>
      <c r="K680" s="372"/>
      <c r="L680" s="667" t="s">
        <v>149</v>
      </c>
      <c r="M680" s="409" t="s">
        <v>264</v>
      </c>
      <c r="N680" s="409" t="s">
        <v>265</v>
      </c>
      <c r="O680" s="409" t="s">
        <v>266</v>
      </c>
      <c r="P680" s="408"/>
      <c r="Q680" s="413"/>
      <c r="R680" s="659" t="s">
        <v>94</v>
      </c>
      <c r="S680" s="409" t="s">
        <v>264</v>
      </c>
      <c r="T680" s="409" t="s">
        <v>265</v>
      </c>
      <c r="U680" s="409" t="s">
        <v>266</v>
      </c>
      <c r="V680" s="408"/>
      <c r="W680" s="671"/>
      <c r="Y680" s="655" t="s">
        <v>167</v>
      </c>
      <c r="Z680" s="658" t="s">
        <v>149</v>
      </c>
      <c r="AA680" s="659" t="s">
        <v>94</v>
      </c>
      <c r="AC680" s="666"/>
      <c r="AD680" s="668"/>
      <c r="AE680" s="768" t="s">
        <v>75</v>
      </c>
      <c r="AF680" s="768" t="s">
        <v>75</v>
      </c>
      <c r="AG680" s="768" t="s">
        <v>267</v>
      </c>
      <c r="AH680" s="768" t="s">
        <v>267</v>
      </c>
      <c r="AI680" s="768" t="s">
        <v>268</v>
      </c>
      <c r="AJ680" s="768" t="s">
        <v>268</v>
      </c>
      <c r="AK680" s="770" t="s">
        <v>269</v>
      </c>
      <c r="AL680" s="768" t="s">
        <v>269</v>
      </c>
      <c r="AM680" s="667" t="s">
        <v>149</v>
      </c>
      <c r="AN680" s="659" t="s">
        <v>94</v>
      </c>
      <c r="AP680" s="409" t="s">
        <v>264</v>
      </c>
      <c r="AQ680" s="409" t="s">
        <v>265</v>
      </c>
      <c r="AS680" s="1221" t="s">
        <v>270</v>
      </c>
      <c r="AT680" s="1222" t="s">
        <v>270</v>
      </c>
      <c r="AU680" s="1223" t="s">
        <v>270</v>
      </c>
    </row>
    <row r="681" spans="1:47" ht="15.6" x14ac:dyDescent="0.3">
      <c r="A681" s="416">
        <f>(B680*10)+1</f>
        <v>611</v>
      </c>
      <c r="B681" s="362" t="str">
        <f>'Event Details'!D$22</f>
        <v>S</v>
      </c>
      <c r="C681" s="381" t="str">
        <f>'Event Details'!E$22</f>
        <v>BRAT</v>
      </c>
      <c r="D681" s="379"/>
      <c r="E681" s="378"/>
      <c r="F681" s="363">
        <f>VLOOKUP($B680,IF($H680="F",TeamSheetFemale,TeamSheetMale),$Y681-1,FALSE)</f>
        <v>0</v>
      </c>
      <c r="G681" s="380">
        <f>VLOOKUP($B680,IF($H680="F",TeamSheetFemale,TeamSheetMale),$Y681,FALSE)</f>
        <v>0</v>
      </c>
      <c r="H681" s="363">
        <f>VLOOKUP($B680,IF($H680="F",TeamSheetFemale,TeamSheetMale),$Y681+1,FALSE)</f>
        <v>0</v>
      </c>
      <c r="I681" s="364">
        <f>VLOOKUP($B680,IF($H680="F",TeamSheetFemale,TeamSheetMale),$Y681+2,FALSE)</f>
        <v>0</v>
      </c>
      <c r="K681" s="393" t="s">
        <v>271</v>
      </c>
      <c r="L681" s="16" t="str">
        <f t="shared" ref="L681:L688" si="604">LEFT(M681,1)</f>
        <v>U</v>
      </c>
      <c r="M681" s="926" t="s">
        <v>130</v>
      </c>
      <c r="N681" s="926">
        <v>50.53</v>
      </c>
      <c r="O681" s="394" t="str">
        <f>IF(LEN($M681)=1,VLOOKUP(LEFT($M681,1),B681:I688,5,FALSE),IF(LEN($M681)=2,VLOOKUP(LEFT($M681,1),B681:I688,7,FALSE),""))</f>
        <v>U</v>
      </c>
      <c r="P681" s="395" t="str">
        <f>IF(LEN($M681)=1,VLOOKUP(LEFT($M681,1),B681:I688,6,FALSE),IF(LEN($M681)=2,VLOOKUP(LEFT($M681,1),B681:I688,8,FALSE),""))</f>
        <v>Ted Freeman</v>
      </c>
      <c r="Q681" s="406" t="s">
        <v>271</v>
      </c>
      <c r="R681" s="146" t="str">
        <f t="shared" ref="R681:R688" si="605">LEFT(S681,1)</f>
        <v>D</v>
      </c>
      <c r="S681" s="926" t="s">
        <v>513</v>
      </c>
      <c r="T681" s="926">
        <v>23.18</v>
      </c>
      <c r="U681" s="394" t="str">
        <f>IF(LEN($S681)=1,VLOOKUP(LEFT($S681,1),B681:I688,5,FALSE),IF(LEN($S681)=2,VLOOKUP(LEFT($S681,1),B681:I688,7,FALSE),""))</f>
        <v>DD</v>
      </c>
      <c r="V681" s="395" t="str">
        <f>IF(LEN($S681)=1,VLOOKUP(LEFT($S681,1),B681:I688,6,FALSE),IF(LEN($S681)=2,VLOOKUP(LEFT($S681,1),B681:I688,8,FALSE),""))</f>
        <v>George Wright</v>
      </c>
      <c r="W681" s="417">
        <f>AN$6</f>
        <v>8</v>
      </c>
      <c r="Y681" s="653">
        <v>7</v>
      </c>
      <c r="Z681" s="653" t="str">
        <f t="shared" ref="Z681:Z688" si="606">IF(LEN(M681)&gt;0,VLOOKUP(LEFT(M681,1),ShortName,5,FALSE),0)</f>
        <v>K&amp;S</v>
      </c>
      <c r="AA681" s="138" t="str">
        <f t="shared" ref="AA681:AA688" si="607">IF(LEN(S681)&gt;0,VLOOKUP(LEFT(S681,1),ShortName,5,FALSE),0)</f>
        <v>Strat</v>
      </c>
      <c r="AC681" s="16" t="str">
        <f t="shared" ref="AC681:AD688" si="608">B681</f>
        <v>S</v>
      </c>
      <c r="AD681" s="419" t="str">
        <f t="shared" si="608"/>
        <v>BRAT</v>
      </c>
      <c r="AE681" s="635">
        <f>IF(ISNA(MATCH(AC681,N681:N690,0)),0,VLOOKUP(AC681,N681:S690,5,FALSE))</f>
        <v>0</v>
      </c>
      <c r="AF681" s="635" t="str">
        <f>IF(ISNA(MATCH(AC681,T681:T690,0))," ",VLOOKUP(AC681,T681:Y690,5,FALSE))</f>
        <v xml:space="preserve"> </v>
      </c>
      <c r="AG681" s="635">
        <f>IF(ISNA(MATCH(AC681,L681:L688,0)),0,VLOOKUP(AC681,L681:N688,3,FALSE))</f>
        <v>0</v>
      </c>
      <c r="AH681" s="635">
        <f>IF(ISNA(MATCH(AC681,R681:R688,0)),0,VLOOKUP(AC681,R681:T688,3,FALSE))</f>
        <v>0</v>
      </c>
      <c r="AI681" s="635">
        <f>IF(ISNA(MATCH(AC681,L681:L688,0)),0,VLOOKUP(AC681,L681:P688,4,FALSE))</f>
        <v>0</v>
      </c>
      <c r="AJ681" s="635">
        <f>IF(ISNA(MATCH(AC681,R681:R688,0)),0,VLOOKUP(AC681,R681:U688,4,FALSE))</f>
        <v>0</v>
      </c>
      <c r="AK681" s="49">
        <f t="shared" ref="AK681:AK688" si="609">IF(AM681=0,0,AN$6-(AM681-1))</f>
        <v>0</v>
      </c>
      <c r="AL681" s="49">
        <f t="shared" ref="AL681:AL688" si="610">IF(AN681=0,0,AN$6-(AN681-1))</f>
        <v>0</v>
      </c>
      <c r="AM681" s="49">
        <f>IF(ISNA(MATCH(AC681,L681:L688,0)),0,VLOOKUP(AC681,L681:W688,AM$1,FALSE))</f>
        <v>0</v>
      </c>
      <c r="AN681" s="138">
        <f>IF(ISNA(MATCH(AC681,R681:R688,0)),0,VLOOKUP(AC681,R681:W688,AN$1,FALSE))</f>
        <v>0</v>
      </c>
      <c r="AP681" s="926"/>
      <c r="AQ681" s="926"/>
      <c r="AS681" s="32">
        <f>IF(LEN(N681)&gt;0,1,0)</f>
        <v>1</v>
      </c>
      <c r="AT681" s="32">
        <f>IF(AND(AS681=1,H680="M"),1,0)</f>
        <v>1</v>
      </c>
      <c r="AU681" s="32">
        <f>IF(AND(AS681=1,H680="F"),1,0)</f>
        <v>0</v>
      </c>
    </row>
    <row r="682" spans="1:47" ht="15.6" x14ac:dyDescent="0.3">
      <c r="A682" s="417">
        <f>A681+1</f>
        <v>612</v>
      </c>
      <c r="B682" s="362" t="str">
        <f>'Event Details'!D$23</f>
        <v>U</v>
      </c>
      <c r="C682" s="381" t="str">
        <f>'Event Details'!E$23</f>
        <v>Kidder &amp; Stourport</v>
      </c>
      <c r="D682" s="379"/>
      <c r="E682" s="378"/>
      <c r="F682" s="363" t="str">
        <f>VLOOKUP($B680,IF($H680="F",TeamSheetFemale,TeamSheetMale),$Y682-1,FALSE)</f>
        <v>U</v>
      </c>
      <c r="G682" s="380" t="str">
        <f>VLOOKUP($B680,IF($H680="F",TeamSheetFemale,TeamSheetMale),$Y682,FALSE)</f>
        <v>Ted Freeman</v>
      </c>
      <c r="H682" s="363" t="str">
        <f>VLOOKUP($B680,IF($H680="F",TeamSheetFemale,TeamSheetMale),$Y682+1,FALSE)</f>
        <v>UU</v>
      </c>
      <c r="I682" s="364" t="str">
        <f>VLOOKUP($B680,IF($H680="F",TeamSheetFemale,TeamSheetMale),$Y682+2,FALSE)</f>
        <v>Alex Payne</v>
      </c>
      <c r="K682" s="341" t="s">
        <v>272</v>
      </c>
      <c r="L682" s="16" t="str">
        <f t="shared" si="604"/>
        <v>D</v>
      </c>
      <c r="M682" s="927" t="s">
        <v>136</v>
      </c>
      <c r="N682" s="927">
        <v>41.03</v>
      </c>
      <c r="O682" s="354" t="str">
        <f>IF(LEN($M682)=1,VLOOKUP(LEFT($M682,1),B681:I688,5,FALSE),IF(LEN($M682)=2,VLOOKUP(LEFT($M682,1),B681:I688,7,FALSE),""))</f>
        <v>D</v>
      </c>
      <c r="P682" s="410" t="str">
        <f>IF(LEN($M682)=1,VLOOKUP(LEFT($M682,1),B681:I688,6,FALSE),IF(LEN($M682)=2,VLOOKUP(LEFT($M682,1),B681:I688,8,FALSE),""))</f>
        <v>Toby Thomas</v>
      </c>
      <c r="Q682" s="371" t="s">
        <v>272</v>
      </c>
      <c r="R682" s="146" t="str">
        <f t="shared" si="605"/>
        <v>U</v>
      </c>
      <c r="S682" s="927" t="s">
        <v>726</v>
      </c>
      <c r="T682" s="927">
        <v>21.02</v>
      </c>
      <c r="U682" s="354" t="str">
        <f>IF(LEN($S682)=1,VLOOKUP(LEFT($S682,1),B681:I688,5,FALSE),IF(LEN($S682)=2,VLOOKUP(LEFT($S682,1),B681:I688,7,FALSE),""))</f>
        <v>UU</v>
      </c>
      <c r="V682" s="410" t="str">
        <f>IF(LEN($S682)=1,VLOOKUP(LEFT($S682,1),B681:I688,6,FALSE),IF(LEN($S682)=2,VLOOKUP(LEFT($S682,1),B681:I688,8,FALSE),""))</f>
        <v>Alex Payne</v>
      </c>
      <c r="W682" s="417">
        <f>W681-1</f>
        <v>7</v>
      </c>
      <c r="Y682" s="16">
        <v>12</v>
      </c>
      <c r="Z682" s="16" t="str">
        <f t="shared" si="606"/>
        <v>Strat</v>
      </c>
      <c r="AA682" s="146" t="str">
        <f t="shared" si="607"/>
        <v>K&amp;S</v>
      </c>
      <c r="AC682" s="16" t="str">
        <f t="shared" si="608"/>
        <v>U</v>
      </c>
      <c r="AD682" s="419" t="str">
        <f t="shared" si="608"/>
        <v>Kidder &amp; Stourport</v>
      </c>
      <c r="AE682" s="419">
        <f>IF(ISNA(MATCH(AC682,N681:N690,0)),0,VLOOKUP(AC682,N681:S690,5,FALSE))</f>
        <v>0</v>
      </c>
      <c r="AF682" s="419" t="str">
        <f>IF(ISNA(MATCH(AC682,T681:T690,0))," ",VLOOKUP(AC682,T681:Y690,5,FALSE))</f>
        <v xml:space="preserve"> </v>
      </c>
      <c r="AG682" s="419">
        <f>IF(ISNA(MATCH(AC682,L681:L688,0)),0,VLOOKUP(AC682,L681:N688,3,FALSE))</f>
        <v>50.53</v>
      </c>
      <c r="AH682" s="419">
        <f>IF(ISNA(MATCH(AC682,R681:R688,0)),0,VLOOKUP(AC682,R681:T688,3,FALSE))</f>
        <v>21.02</v>
      </c>
      <c r="AI682" s="419" t="str">
        <f>IF(ISNA(MATCH(AC682,L681:L688,0)),0,VLOOKUP(AC682,L681:P688,4,FALSE))</f>
        <v>U</v>
      </c>
      <c r="AJ682" s="419" t="str">
        <f>IF(ISNA(MATCH(AC682,R681:R688,0)),0,VLOOKUP(AC682,R681:U688,4,FALSE))</f>
        <v>UU</v>
      </c>
      <c r="AK682" s="32">
        <f t="shared" si="609"/>
        <v>1</v>
      </c>
      <c r="AL682" s="32">
        <f t="shared" si="610"/>
        <v>2</v>
      </c>
      <c r="AM682" s="32">
        <f>IF(ISNA(MATCH(AC682,L681:L688,0)),0,VLOOKUP(AC682,L681:W688,AM$1,FALSE))</f>
        <v>8</v>
      </c>
      <c r="AN682" s="146">
        <f>IF(ISNA(MATCH(AC682,R681:R688,0)),0,VLOOKUP(AC682,R681:W688,AN$1,FALSE))</f>
        <v>7</v>
      </c>
      <c r="AP682" s="927"/>
      <c r="AQ682" s="927"/>
    </row>
    <row r="683" spans="1:47" ht="15.6" x14ac:dyDescent="0.3">
      <c r="A683" s="417">
        <f t="shared" ref="A683:A688" si="611">A682+1</f>
        <v>613</v>
      </c>
      <c r="B683" s="362" t="str">
        <f>'Event Details'!D$24</f>
        <v>G</v>
      </c>
      <c r="C683" s="381" t="str">
        <f>'Event Details'!E$24</f>
        <v>Royal Sutton</v>
      </c>
      <c r="D683" s="379"/>
      <c r="E683" s="378"/>
      <c r="F683" s="363" t="str">
        <f>VLOOKUP($B680,IF($H680="F",TeamSheetFemale,TeamSheetMale),$Y683-1,FALSE)</f>
        <v>G</v>
      </c>
      <c r="G683" s="380">
        <f>VLOOKUP($B680,IF($H680="F",TeamSheetFemale,TeamSheetMale),$Y683,FALSE)</f>
        <v>0</v>
      </c>
      <c r="H683" s="363" t="str">
        <f>VLOOKUP($B680,IF($H680="F",TeamSheetFemale,TeamSheetMale),$Y683+1,FALSE)</f>
        <v>GG</v>
      </c>
      <c r="I683" s="364">
        <f>VLOOKUP($B680,IF($H680="F",TeamSheetFemale,TeamSheetMale),$Y683+2,FALSE)</f>
        <v>0</v>
      </c>
      <c r="K683" s="341" t="s">
        <v>273</v>
      </c>
      <c r="L683" s="16" t="str">
        <f t="shared" si="604"/>
        <v>R</v>
      </c>
      <c r="M683" s="927" t="s">
        <v>118</v>
      </c>
      <c r="N683" s="927">
        <v>37.18</v>
      </c>
      <c r="O683" s="354" t="str">
        <f>IF(LEN($M683)=1,VLOOKUP(LEFT($M683,1),B681:I688,5,FALSE),IF(LEN($M683)=2,VLOOKUP(LEFT($M683,1),B681:I688,7,FALSE),""))</f>
        <v>R</v>
      </c>
      <c r="P683" s="410" t="str">
        <f>IF(LEN($M683)=1,VLOOKUP(LEFT($M683,1),B681:I688,6,FALSE),IF(LEN($M683)=2,VLOOKUP(LEFT($M683,1),B681:I688,8,FALSE),""))</f>
        <v>Charlie Gercs</v>
      </c>
      <c r="Q683" s="371" t="s">
        <v>273</v>
      </c>
      <c r="R683" s="146" t="str">
        <f t="shared" si="605"/>
        <v/>
      </c>
      <c r="S683" s="927"/>
      <c r="T683" s="927"/>
      <c r="U683" s="354" t="str">
        <f>IF(LEN($S683)=1,VLOOKUP(LEFT($S683,1),B681:I688,5,FALSE),IF(LEN($S683)=2,VLOOKUP(LEFT($S683,1),B681:I688,7,FALSE),""))</f>
        <v/>
      </c>
      <c r="V683" s="410" t="str">
        <f>IF(LEN($S683)=1,VLOOKUP(LEFT($S683,1),B681:I688,6,FALSE),IF(LEN($S683)=2,VLOOKUP(LEFT($S683,1),B681:I688,8,FALSE),""))</f>
        <v/>
      </c>
      <c r="W683" s="417">
        <f t="shared" ref="W683:W688" si="612">W682-1</f>
        <v>6</v>
      </c>
      <c r="Y683" s="16">
        <v>17</v>
      </c>
      <c r="Z683" s="16" t="str">
        <f t="shared" si="606"/>
        <v>Rugby</v>
      </c>
      <c r="AA683" s="146">
        <f t="shared" si="607"/>
        <v>0</v>
      </c>
      <c r="AC683" s="16" t="str">
        <f t="shared" si="608"/>
        <v>G</v>
      </c>
      <c r="AD683" s="419" t="str">
        <f t="shared" si="608"/>
        <v>Royal Sutton</v>
      </c>
      <c r="AE683" s="419">
        <f>IF(ISNA(MATCH(AC683,N681:N690,0)),0,VLOOKUP(AC683,N681:S690,5,FALSE))</f>
        <v>0</v>
      </c>
      <c r="AF683" s="419" t="str">
        <f>IF(ISNA(MATCH(AC683,T681:T690,0))," ",VLOOKUP(AC683,T681:Y690,5,FALSE))</f>
        <v xml:space="preserve"> </v>
      </c>
      <c r="AG683" s="419">
        <f>IF(ISNA(MATCH(AC683,L681:L688,0)),0,VLOOKUP(AC683,L681:N688,3,FALSE))</f>
        <v>0</v>
      </c>
      <c r="AH683" s="419">
        <f>IF(ISNA(MATCH(AC683,R681:R688,0)),0,VLOOKUP(AC683,R681:T688,3,FALSE))</f>
        <v>0</v>
      </c>
      <c r="AI683" s="419">
        <f>IF(ISNA(MATCH(AC683,L681:L688,0)),0,VLOOKUP(AC683,L681:P688,4,FALSE))</f>
        <v>0</v>
      </c>
      <c r="AJ683" s="419">
        <f>IF(ISNA(MATCH(AC683,R681:R688,0)),0,VLOOKUP(AC683,R681:U688,4,FALSE))</f>
        <v>0</v>
      </c>
      <c r="AK683" s="32">
        <f t="shared" si="609"/>
        <v>0</v>
      </c>
      <c r="AL683" s="32">
        <f t="shared" si="610"/>
        <v>0</v>
      </c>
      <c r="AM683" s="32">
        <f>IF(ISNA(MATCH(AC683,L681:L688,0)),0,VLOOKUP(AC683,L681:W688,AM$1,FALSE))</f>
        <v>0</v>
      </c>
      <c r="AN683" s="146">
        <f>IF(ISNA(MATCH(AC683,R681:R688,0)),0,VLOOKUP(AC683,R681:W688,AN$1,FALSE))</f>
        <v>0</v>
      </c>
      <c r="AP683" s="927"/>
      <c r="AQ683" s="927"/>
    </row>
    <row r="684" spans="1:47" ht="15.6" x14ac:dyDescent="0.3">
      <c r="A684" s="417">
        <f t="shared" si="611"/>
        <v>614</v>
      </c>
      <c r="B684" s="362" t="str">
        <f>'Event Details'!D$25</f>
        <v>R</v>
      </c>
      <c r="C684" s="381" t="str">
        <f>'Event Details'!E$25</f>
        <v>Rugby &amp; N'hampton</v>
      </c>
      <c r="D684" s="379"/>
      <c r="E684" s="378"/>
      <c r="F684" s="363" t="str">
        <f>VLOOKUP($B680,IF($H680="F",TeamSheetFemale,TeamSheetMale),$Y684-1,FALSE)</f>
        <v>R</v>
      </c>
      <c r="G684" s="380" t="str">
        <f>VLOOKUP($B680,IF($H680="F",TeamSheetFemale,TeamSheetMale),$Y684,FALSE)</f>
        <v>Charlie Gercs</v>
      </c>
      <c r="H684" s="363" t="str">
        <f>VLOOKUP($B680,IF($H680="F",TeamSheetFemale,TeamSheetMale),$Y684+1,FALSE)</f>
        <v>RR</v>
      </c>
      <c r="I684" s="364">
        <f>VLOOKUP($B680,IF($H680="F",TeamSheetFemale,TeamSheetMale),$Y684+2,FALSE)</f>
        <v>0</v>
      </c>
      <c r="K684" s="341" t="s">
        <v>274</v>
      </c>
      <c r="L684" s="16" t="str">
        <f t="shared" si="604"/>
        <v/>
      </c>
      <c r="M684" s="927"/>
      <c r="N684" s="927"/>
      <c r="O684" s="354" t="str">
        <f>IF(LEN($M684)=1,VLOOKUP(LEFT($M684,1),B681:I688,5,FALSE),IF(LEN($M684)=2,VLOOKUP(LEFT($M684,1),B681:I688,7,FALSE),""))</f>
        <v/>
      </c>
      <c r="P684" s="410" t="str">
        <f>IF(LEN($M684)=1,VLOOKUP(LEFT($M684,1),B681:I688,6,FALSE),IF(LEN($M684)=2,VLOOKUP(LEFT($M684,1),B681:I688,8,FALSE),""))</f>
        <v/>
      </c>
      <c r="Q684" s="371" t="s">
        <v>274</v>
      </c>
      <c r="R684" s="146" t="str">
        <f t="shared" si="605"/>
        <v/>
      </c>
      <c r="S684" s="927"/>
      <c r="T684" s="927"/>
      <c r="U684" s="354" t="str">
        <f>IF(LEN($S684)=1,VLOOKUP(LEFT($S684,1),B681:I688,5,FALSE),IF(LEN($S684)=2,VLOOKUP(LEFT($S684,1),B681:I688,7,FALSE),""))</f>
        <v/>
      </c>
      <c r="V684" s="410" t="str">
        <f>IF(LEN($S684)=1,VLOOKUP(LEFT($S684,1),B681:I688,6,FALSE),IF(LEN($S684)=2,VLOOKUP(LEFT($S684,1),B681:I688,8,FALSE),""))</f>
        <v/>
      </c>
      <c r="W684" s="417">
        <f t="shared" si="612"/>
        <v>5</v>
      </c>
      <c r="Y684" s="16">
        <v>22</v>
      </c>
      <c r="Z684" s="16">
        <f t="shared" si="606"/>
        <v>0</v>
      </c>
      <c r="AA684" s="146">
        <f t="shared" si="607"/>
        <v>0</v>
      </c>
      <c r="AC684" s="16" t="str">
        <f t="shared" si="608"/>
        <v>R</v>
      </c>
      <c r="AD684" s="419" t="str">
        <f t="shared" si="608"/>
        <v>Rugby &amp; N'hampton</v>
      </c>
      <c r="AE684" s="419">
        <f>IF(ISNA(MATCH(AC684,N681:N690,0)),0,VLOOKUP(AC684,N681:S690,5,FALSE))</f>
        <v>0</v>
      </c>
      <c r="AF684" s="419" t="str">
        <f>IF(ISNA(MATCH(AC684,T681:T690,0))," ",VLOOKUP(AC684,T681:Y690,5,FALSE))</f>
        <v xml:space="preserve"> </v>
      </c>
      <c r="AG684" s="419">
        <f>IF(ISNA(MATCH(AC684,L681:L688,0)),0,VLOOKUP(AC684,L681:N688,3,FALSE))</f>
        <v>37.18</v>
      </c>
      <c r="AH684" s="419">
        <f>IF(ISNA(MATCH(AC684,R681:R688,0)),0,VLOOKUP(AC684,R681:T688,3,FALSE))</f>
        <v>0</v>
      </c>
      <c r="AI684" s="419" t="str">
        <f>IF(ISNA(MATCH(AC684,L681:L688,0)),0,VLOOKUP(AC684,L681:P688,4,FALSE))</f>
        <v>R</v>
      </c>
      <c r="AJ684" s="419">
        <f>IF(ISNA(MATCH(AC684,R681:R688,0)),0,VLOOKUP(AC684,R681:U688,4,FALSE))</f>
        <v>0</v>
      </c>
      <c r="AK684" s="32">
        <f t="shared" si="609"/>
        <v>3</v>
      </c>
      <c r="AL684" s="32">
        <f t="shared" si="610"/>
        <v>0</v>
      </c>
      <c r="AM684" s="32">
        <f>IF(ISNA(MATCH(AC684,L681:L688,0)),0,VLOOKUP(AC684,L681:W688,AM$1,FALSE))</f>
        <v>6</v>
      </c>
      <c r="AN684" s="146">
        <f>IF(ISNA(MATCH(AC684,R681:R688,0)),0,VLOOKUP(AC684,R681:W688,AN$1,FALSE))</f>
        <v>0</v>
      </c>
      <c r="AP684" s="927"/>
      <c r="AQ684" s="927"/>
    </row>
    <row r="685" spans="1:47" ht="15.6" x14ac:dyDescent="0.3">
      <c r="A685" s="417">
        <f t="shared" si="611"/>
        <v>615</v>
      </c>
      <c r="B685" s="362" t="str">
        <f>'Event Details'!D$26</f>
        <v>M</v>
      </c>
      <c r="C685" s="381" t="str">
        <f>'Event Details'!E$26</f>
        <v>Solihull &amp; S.Heath</v>
      </c>
      <c r="D685" s="379"/>
      <c r="E685" s="378"/>
      <c r="F685" s="363">
        <f>VLOOKUP($B680,IF($H680="F",TeamSheetFemale,TeamSheetMale),$Y685-1,FALSE)</f>
        <v>0</v>
      </c>
      <c r="G685" s="380">
        <f>VLOOKUP($B680,IF($H680="F",TeamSheetFemale,TeamSheetMale),$Y685,FALSE)</f>
        <v>0</v>
      </c>
      <c r="H685" s="363">
        <f>VLOOKUP($B680,IF($H680="F",TeamSheetFemale,TeamSheetMale),$Y685+1,FALSE)</f>
        <v>0</v>
      </c>
      <c r="I685" s="364">
        <f>VLOOKUP($B680,IF($H680="F",TeamSheetFemale,TeamSheetMale),$Y685+2,FALSE)</f>
        <v>0</v>
      </c>
      <c r="K685" s="341" t="s">
        <v>275</v>
      </c>
      <c r="L685" s="16" t="str">
        <f t="shared" si="604"/>
        <v/>
      </c>
      <c r="M685" s="927"/>
      <c r="N685" s="927"/>
      <c r="O685" s="354" t="str">
        <f>IF(LEN($M685)=1,VLOOKUP(LEFT($M685,1),B681:I688,5,FALSE),IF(LEN($M685)=2,VLOOKUP(LEFT($M685,1),B681:I688,7,FALSE),""))</f>
        <v/>
      </c>
      <c r="P685" s="410" t="str">
        <f>IF(LEN($M685)=1,VLOOKUP(LEFT($M685,1),B681:I688,6,FALSE),IF(LEN($M685)=2,VLOOKUP(LEFT($M685,1),B681:I688,8,FALSE),""))</f>
        <v/>
      </c>
      <c r="Q685" s="371" t="s">
        <v>275</v>
      </c>
      <c r="R685" s="146" t="str">
        <f t="shared" si="605"/>
        <v/>
      </c>
      <c r="S685" s="927"/>
      <c r="T685" s="927"/>
      <c r="U685" s="354" t="str">
        <f>IF(LEN($S685)=1,VLOOKUP(LEFT($S685,1),B681:I688,5,FALSE),IF(LEN($S685)=2,VLOOKUP(LEFT($S685,1),B681:I688,7,FALSE),""))</f>
        <v/>
      </c>
      <c r="V685" s="410" t="str">
        <f>IF(LEN($S685)=1,VLOOKUP(LEFT($S685,1),B681:I688,6,FALSE),IF(LEN($S685)=2,VLOOKUP(LEFT($S685,1),B681:I688,8,FALSE),""))</f>
        <v/>
      </c>
      <c r="W685" s="417">
        <f t="shared" si="612"/>
        <v>4</v>
      </c>
      <c r="Y685" s="16">
        <v>27</v>
      </c>
      <c r="Z685" s="16">
        <f t="shared" si="606"/>
        <v>0</v>
      </c>
      <c r="AA685" s="146">
        <f t="shared" si="607"/>
        <v>0</v>
      </c>
      <c r="AC685" s="16" t="str">
        <f t="shared" si="608"/>
        <v>M</v>
      </c>
      <c r="AD685" s="419" t="str">
        <f t="shared" si="608"/>
        <v>Solihull &amp; S.Heath</v>
      </c>
      <c r="AE685" s="419">
        <f>IF(ISNA(MATCH(AC685,N681:N690,0)),0,VLOOKUP(AC685,N681:S690,5,FALSE))</f>
        <v>0</v>
      </c>
      <c r="AF685" s="419" t="str">
        <f>IF(ISNA(MATCH(AC685,T681:T690,0))," ",VLOOKUP(AC685,T681:Y690,5,FALSE))</f>
        <v xml:space="preserve"> </v>
      </c>
      <c r="AG685" s="419">
        <f>IF(ISNA(MATCH(AC685,L681:L688,0)),0,VLOOKUP(AC685,L681:N688,3,FALSE))</f>
        <v>0</v>
      </c>
      <c r="AH685" s="419">
        <f>IF(ISNA(MATCH(AC685,R681:R688,0)),0,VLOOKUP(AC685,R681:T688,3,FALSE))</f>
        <v>0</v>
      </c>
      <c r="AI685" s="419">
        <f>IF(ISNA(MATCH(AC685,L681:L688,0)),0,VLOOKUP(AC685,L681:P688,4,FALSE))</f>
        <v>0</v>
      </c>
      <c r="AJ685" s="419">
        <f>IF(ISNA(MATCH(AC685,R681:R688,0)),0,VLOOKUP(AC685,R681:U688,4,FALSE))</f>
        <v>0</v>
      </c>
      <c r="AK685" s="32">
        <f t="shared" si="609"/>
        <v>0</v>
      </c>
      <c r="AL685" s="32">
        <f t="shared" si="610"/>
        <v>0</v>
      </c>
      <c r="AM685" s="32">
        <f>IF(ISNA(MATCH(AC685,L681:L688,0)),0,VLOOKUP(AC685,L681:W688,AM$1,FALSE))</f>
        <v>0</v>
      </c>
      <c r="AN685" s="146">
        <f>IF(ISNA(MATCH(AC685,R681:R688,0)),0,VLOOKUP(AC685,R681:W688,AN$1,FALSE))</f>
        <v>0</v>
      </c>
      <c r="AP685" s="927"/>
      <c r="AQ685" s="927"/>
    </row>
    <row r="686" spans="1:47" ht="15.6" x14ac:dyDescent="0.3">
      <c r="A686" s="417">
        <f t="shared" si="611"/>
        <v>616</v>
      </c>
      <c r="B686" s="362" t="str">
        <f>'Event Details'!D$27</f>
        <v>D</v>
      </c>
      <c r="C686" s="381" t="str">
        <f>'Event Details'!E$27</f>
        <v>Stratford</v>
      </c>
      <c r="D686" s="379"/>
      <c r="E686" s="378"/>
      <c r="F686" s="363" t="str">
        <f>VLOOKUP($B680,IF($H680="F",TeamSheetFemale,TeamSheetMale),$Y686-1,FALSE)</f>
        <v>D</v>
      </c>
      <c r="G686" s="380" t="str">
        <f>VLOOKUP($B680,IF($H680="F",TeamSheetFemale,TeamSheetMale),$Y686,FALSE)</f>
        <v>Toby Thomas</v>
      </c>
      <c r="H686" s="363" t="str">
        <f>VLOOKUP($B680,IF($H680="F",TeamSheetFemale,TeamSheetMale),$Y686+1,FALSE)</f>
        <v>DD</v>
      </c>
      <c r="I686" s="364" t="str">
        <f>VLOOKUP($B680,IF($H680="F",TeamSheetFemale,TeamSheetMale),$Y686+2,FALSE)</f>
        <v>George Wright</v>
      </c>
      <c r="K686" s="341" t="s">
        <v>276</v>
      </c>
      <c r="L686" s="16" t="str">
        <f t="shared" si="604"/>
        <v/>
      </c>
      <c r="M686" s="927"/>
      <c r="N686" s="927"/>
      <c r="O686" s="354" t="str">
        <f>IF(LEN($M686)=1,VLOOKUP(LEFT($M686,1),B681:I688,5,FALSE),IF(LEN($M686)=2,VLOOKUP(LEFT($M686,1),B681:I688,7,FALSE),""))</f>
        <v/>
      </c>
      <c r="P686" s="410" t="str">
        <f>IF(LEN($M686)=1,VLOOKUP(LEFT($M686,1),B681:I688,6,FALSE),IF(LEN($M686)=2,VLOOKUP(LEFT($M686,1),B681:I688,8,FALSE),""))</f>
        <v/>
      </c>
      <c r="Q686" s="371" t="s">
        <v>276</v>
      </c>
      <c r="R686" s="146" t="str">
        <f t="shared" si="605"/>
        <v/>
      </c>
      <c r="S686" s="927"/>
      <c r="T686" s="927"/>
      <c r="U686" s="354" t="str">
        <f>IF(LEN($S686)=1,VLOOKUP(LEFT($S686,1),B681:I688,5,FALSE),IF(LEN($S686)=2,VLOOKUP(LEFT($S686,1),B681:I688,7,FALSE),""))</f>
        <v/>
      </c>
      <c r="V686" s="410" t="str">
        <f>IF(LEN($S686)=1,VLOOKUP(LEFT($S686,1),B681:I688,6,FALSE),IF(LEN($S686)=2,VLOOKUP(LEFT($S686,1),B681:I688,8,FALSE),""))</f>
        <v/>
      </c>
      <c r="W686" s="417">
        <f t="shared" si="612"/>
        <v>3</v>
      </c>
      <c r="Y686" s="16">
        <v>32</v>
      </c>
      <c r="Z686" s="16">
        <f t="shared" si="606"/>
        <v>0</v>
      </c>
      <c r="AA686" s="146">
        <f t="shared" si="607"/>
        <v>0</v>
      </c>
      <c r="AC686" s="16" t="str">
        <f t="shared" si="608"/>
        <v>D</v>
      </c>
      <c r="AD686" s="419" t="str">
        <f t="shared" si="608"/>
        <v>Stratford</v>
      </c>
      <c r="AE686" s="419">
        <f>IF(ISNA(MATCH(AC686,N681:N690,0)),0,VLOOKUP(AC686,N681:S690,5,FALSE))</f>
        <v>0</v>
      </c>
      <c r="AF686" s="419" t="str">
        <f>IF(ISNA(MATCH(AC686,T681:T690,0))," ",VLOOKUP(AC686,T681:Y690,5,FALSE))</f>
        <v xml:space="preserve"> </v>
      </c>
      <c r="AG686" s="419">
        <f>IF(ISNA(MATCH(AC686,L681:L688,0)),0,VLOOKUP(AC686,L681:N688,3,FALSE))</f>
        <v>41.03</v>
      </c>
      <c r="AH686" s="419">
        <f>IF(ISNA(MATCH(AC686,R681:R688,0)),0,VLOOKUP(AC686,R681:T688,3,FALSE))</f>
        <v>23.18</v>
      </c>
      <c r="AI686" s="419" t="str">
        <f>IF(ISNA(MATCH(AC686,L681:L688,0)),0,VLOOKUP(AC686,L681:P688,4,FALSE))</f>
        <v>D</v>
      </c>
      <c r="AJ686" s="419" t="str">
        <f>IF(ISNA(MATCH(AC686,R681:R688,0)),0,VLOOKUP(AC686,R681:U688,4,FALSE))</f>
        <v>DD</v>
      </c>
      <c r="AK686" s="32">
        <f t="shared" si="609"/>
        <v>2</v>
      </c>
      <c r="AL686" s="32">
        <f t="shared" si="610"/>
        <v>1</v>
      </c>
      <c r="AM686" s="32">
        <f>IF(ISNA(MATCH(AC686,L681:L688,0)),0,VLOOKUP(AC686,L681:W688,AM$1,FALSE))</f>
        <v>7</v>
      </c>
      <c r="AN686" s="146">
        <f>IF(ISNA(MATCH(AC686,R681:R688,0)),0,VLOOKUP(AC686,R681:W688,AN$1,FALSE))</f>
        <v>8</v>
      </c>
      <c r="AP686" s="927"/>
      <c r="AQ686" s="927"/>
    </row>
    <row r="687" spans="1:47" ht="15.6" x14ac:dyDescent="0.3">
      <c r="A687" s="417">
        <f t="shared" si="611"/>
        <v>617</v>
      </c>
      <c r="B687" s="362" t="str">
        <f>'Event Details'!D$28</f>
        <v>F</v>
      </c>
      <c r="C687" s="381" t="str">
        <f>'Event Details'!E$28</f>
        <v>Tamworth</v>
      </c>
      <c r="D687" s="379"/>
      <c r="E687" s="378"/>
      <c r="F687" s="363">
        <f>VLOOKUP($B680,IF($H680="F",TeamSheetFemale,TeamSheetMale),$Y687-1,FALSE)</f>
        <v>0</v>
      </c>
      <c r="G687" s="380">
        <f>VLOOKUP($B680,IF($H680="F",TeamSheetFemale,TeamSheetMale),$Y687,FALSE)</f>
        <v>0</v>
      </c>
      <c r="H687" s="363">
        <f>VLOOKUP($B680,IF($H680="F",TeamSheetFemale,TeamSheetMale),$Y687+1,FALSE)</f>
        <v>0</v>
      </c>
      <c r="I687" s="364">
        <f>VLOOKUP($B680,IF($H680="F",TeamSheetFemale,TeamSheetMale),$Y687+2,FALSE)</f>
        <v>0</v>
      </c>
      <c r="K687" s="341" t="s">
        <v>277</v>
      </c>
      <c r="L687" s="16" t="str">
        <f t="shared" si="604"/>
        <v/>
      </c>
      <c r="M687" s="927"/>
      <c r="N687" s="927"/>
      <c r="O687" s="354" t="str">
        <f>IF(LEN($M687)=1,VLOOKUP(LEFT($M687,1),B681:I688,5,FALSE),IF(LEN($M687)=2,VLOOKUP(LEFT($M687,1),B681:I688,7,FALSE),""))</f>
        <v/>
      </c>
      <c r="P687" s="410" t="str">
        <f>IF(LEN($M687)=1,VLOOKUP(LEFT($M687,1),B681:I688,6,FALSE),IF(LEN($M687)=2,VLOOKUP(LEFT($M687,1),B681:I688,8,FALSE),""))</f>
        <v/>
      </c>
      <c r="Q687" s="371" t="s">
        <v>277</v>
      </c>
      <c r="R687" s="146" t="str">
        <f t="shared" si="605"/>
        <v/>
      </c>
      <c r="S687" s="927"/>
      <c r="T687" s="927"/>
      <c r="U687" s="354" t="str">
        <f>IF(LEN($S687)=1,VLOOKUP(LEFT($S687,1),B681:I688,5,FALSE),IF(LEN($S687)=2,VLOOKUP(LEFT($S687,1),B681:I688,7,FALSE),""))</f>
        <v/>
      </c>
      <c r="V687" s="410" t="str">
        <f>IF(LEN($S687)=1,VLOOKUP(LEFT($S687,1),B681:I688,6,FALSE),IF(LEN($S687)=2,VLOOKUP(LEFT($S687,1),B681:I688,8,FALSE),""))</f>
        <v/>
      </c>
      <c r="W687" s="417">
        <f t="shared" si="612"/>
        <v>2</v>
      </c>
      <c r="Y687" s="16">
        <v>37</v>
      </c>
      <c r="Z687" s="16">
        <f t="shared" si="606"/>
        <v>0</v>
      </c>
      <c r="AA687" s="146">
        <f t="shared" si="607"/>
        <v>0</v>
      </c>
      <c r="AC687" s="16" t="str">
        <f t="shared" si="608"/>
        <v>F</v>
      </c>
      <c r="AD687" s="419" t="str">
        <f t="shared" si="608"/>
        <v>Tamworth</v>
      </c>
      <c r="AE687" s="419">
        <f>IF(ISNA(MATCH(AC687,N679:N688,0)),0,VLOOKUP(AC687,N679:S688,5,FALSE))</f>
        <v>0</v>
      </c>
      <c r="AF687" s="419" t="str">
        <f>IF(ISNA(MATCH(AC687,T679:T688,0))," ",VLOOKUP(AC687,T679:Y688,5,FALSE))</f>
        <v xml:space="preserve"> </v>
      </c>
      <c r="AG687" s="419">
        <f>IF(ISNA(MATCH(AC687,L681:L688,0)),0,VLOOKUP(AC687,L681:N688,3,FALSE))</f>
        <v>0</v>
      </c>
      <c r="AH687" s="419">
        <f>IF(ISNA(MATCH(AC687,R681:R688,0)),0,VLOOKUP(AC687,R681:T688,3,FALSE))</f>
        <v>0</v>
      </c>
      <c r="AI687" s="419">
        <f>IF(ISNA(MATCH(AC687,L681:L688,0)),0,VLOOKUP(AC687,L681:P688,4,FALSE))</f>
        <v>0</v>
      </c>
      <c r="AJ687" s="419">
        <f>IF(ISNA(MATCH(AC687,R681:R688,0)),0,VLOOKUP(AC687,R681:U688,4,FALSE))</f>
        <v>0</v>
      </c>
      <c r="AK687" s="32">
        <f t="shared" si="609"/>
        <v>0</v>
      </c>
      <c r="AL687" s="32">
        <f t="shared" si="610"/>
        <v>0</v>
      </c>
      <c r="AM687" s="32">
        <f>IF(ISNA(MATCH(AC687,L681:L688,0)),0,VLOOKUP(AC687,L681:W688,AM$1,FALSE))</f>
        <v>0</v>
      </c>
      <c r="AN687" s="146">
        <f>IF(ISNA(MATCH(AC687,R681:R688,0)),0,VLOOKUP(AC687,R681:W688,AN$1,FALSE))</f>
        <v>0</v>
      </c>
      <c r="AP687" s="927"/>
      <c r="AQ687" s="927"/>
    </row>
    <row r="688" spans="1:47" ht="16.2" thickBot="1" x14ac:dyDescent="0.35">
      <c r="A688" s="418">
        <f t="shared" si="611"/>
        <v>618</v>
      </c>
      <c r="B688" s="365" t="str">
        <f>'Event Details'!D$29</f>
        <v>Y</v>
      </c>
      <c r="C688" s="366" t="str">
        <f>'Event Details'!E$29</f>
        <v>Worcester</v>
      </c>
      <c r="D688" s="361"/>
      <c r="E688" s="370"/>
      <c r="F688" s="367">
        <f>VLOOKUP($B680,IF($H680="F",TeamSheetFemale,TeamSheetMale),$Y688-1,FALSE)</f>
        <v>0</v>
      </c>
      <c r="G688" s="368">
        <f>VLOOKUP($B680,IF($H680="F",TeamSheetFemale,TeamSheetMale),$Y688,FALSE)</f>
        <v>0</v>
      </c>
      <c r="H688" s="367">
        <f>VLOOKUP($B680,IF($H680="F",TeamSheetFemale,TeamSheetMale),$Y688+1,FALSE)</f>
        <v>0</v>
      </c>
      <c r="I688" s="369">
        <f>VLOOKUP($B680,IF($H680="F",TeamSheetFemale,TeamSheetMale),$Y688+2,FALSE)</f>
        <v>0</v>
      </c>
      <c r="K688" s="346" t="s">
        <v>278</v>
      </c>
      <c r="L688" s="25" t="str">
        <f t="shared" si="604"/>
        <v/>
      </c>
      <c r="M688" s="928"/>
      <c r="N688" s="932"/>
      <c r="O688" s="374" t="str">
        <f>IF(LEN($M688)=1,VLOOKUP(LEFT($M688,1),B681:I688,5,FALSE),IF(LEN($M688)=2,VLOOKUP(LEFT($M688,1),B681:I688,7,FALSE),""))</f>
        <v/>
      </c>
      <c r="P688" s="411" t="str">
        <f>IF(LEN($M688)=1,VLOOKUP(LEFT($M688,1),B681:I688,6,FALSE),IF(LEN($M688)=2,VLOOKUP(LEFT($M688,1),B681:I688,8,FALSE),""))</f>
        <v/>
      </c>
      <c r="Q688" s="407" t="s">
        <v>278</v>
      </c>
      <c r="R688" s="523" t="str">
        <f t="shared" si="605"/>
        <v/>
      </c>
      <c r="S688" s="928"/>
      <c r="T688" s="932"/>
      <c r="U688" s="374" t="str">
        <f>IF(LEN($S688)=1,VLOOKUP(LEFT($S688,1),B681:I688,5,FALSE),IF(LEN($S688)=2,VLOOKUP(LEFT($S688,1),B681:I688,7,FALSE),""))</f>
        <v/>
      </c>
      <c r="V688" s="411" t="str">
        <f>IF(LEN($S688)=1,VLOOKUP(LEFT($S688,1),B681:I688,6,FALSE),IF(LEN($S688)=2,VLOOKUP(LEFT($S688,1),B681:I688,8,FALSE),""))</f>
        <v/>
      </c>
      <c r="W688" s="418">
        <f t="shared" si="612"/>
        <v>1</v>
      </c>
      <c r="Y688" s="25">
        <v>42</v>
      </c>
      <c r="Z688" s="25">
        <f t="shared" si="606"/>
        <v>0</v>
      </c>
      <c r="AA688" s="523">
        <f t="shared" si="607"/>
        <v>0</v>
      </c>
      <c r="AC688" s="25" t="str">
        <f t="shared" si="608"/>
        <v>Y</v>
      </c>
      <c r="AD688" s="624" t="str">
        <f t="shared" si="608"/>
        <v>Worcester</v>
      </c>
      <c r="AE688" s="624">
        <f>IF(ISNA(MATCH(AC688,N680:N689,0)),0,VLOOKUP(AC688,N680:S689,5,FALSE))</f>
        <v>0</v>
      </c>
      <c r="AF688" s="624" t="str">
        <f t="shared" ref="AF688" si="613">IF(ISNA(MATCH(AC688,T680:T689,0))," ",VLOOKUP(AC688,T680:Y689,5,FALSE))</f>
        <v xml:space="preserve"> </v>
      </c>
      <c r="AG688" s="624">
        <f>IF(ISNA(MATCH(AC688,L681:L688,0)),0,VLOOKUP(AC688,L681:N688,3,FALSE))</f>
        <v>0</v>
      </c>
      <c r="AH688" s="624">
        <f>IF(ISNA(MATCH(AC688,R681:R688,0)),0,VLOOKUP(AC688,R681:T688,3,FALSE))</f>
        <v>0</v>
      </c>
      <c r="AI688" s="624">
        <f>IF(ISNA(MATCH(AC688,L681:L688,0)),0,VLOOKUP(AC688,L681:P688,4,FALSE))</f>
        <v>0</v>
      </c>
      <c r="AJ688" s="624">
        <f>IF(ISNA(MATCH(AC688,R681:R688,0)),0,VLOOKUP(AC688,R681:U688,4,FALSE))</f>
        <v>0</v>
      </c>
      <c r="AK688" s="116">
        <f t="shared" si="609"/>
        <v>0</v>
      </c>
      <c r="AL688" s="116">
        <f t="shared" si="610"/>
        <v>0</v>
      </c>
      <c r="AM688" s="116">
        <f>IF(ISNA(MATCH(AC688,L681:L688,0)),0,VLOOKUP(AC688,L681:W688,AM$1,FALSE))</f>
        <v>0</v>
      </c>
      <c r="AN688" s="523">
        <f>IF(ISNA(MATCH(AC688,R681:R688,0)),0,VLOOKUP(AC688,R681:W688,AN$1,FALSE))</f>
        <v>0</v>
      </c>
      <c r="AP688" s="928"/>
      <c r="AQ688" s="932"/>
    </row>
    <row r="689" spans="1:47" ht="15" thickBot="1" x14ac:dyDescent="0.35">
      <c r="K689" s="1207" t="s">
        <v>279</v>
      </c>
      <c r="L689" s="1011"/>
      <c r="M689" s="276"/>
      <c r="N689" s="307"/>
      <c r="R689" s="1011"/>
      <c r="S689" s="276"/>
      <c r="T689" s="307"/>
      <c r="AP689" s="276"/>
      <c r="AQ689" s="307"/>
    </row>
    <row r="690" spans="1:47" x14ac:dyDescent="0.3">
      <c r="B690" s="400" t="s">
        <v>258</v>
      </c>
      <c r="C690" s="398"/>
      <c r="D690" s="401" t="s">
        <v>165</v>
      </c>
      <c r="E690" s="398"/>
      <c r="F690" s="398"/>
      <c r="G690" s="402" t="s">
        <v>259</v>
      </c>
      <c r="H690" s="403" t="s">
        <v>249</v>
      </c>
      <c r="I690" s="404" t="s">
        <v>168</v>
      </c>
      <c r="K690" s="360"/>
      <c r="L690" s="661"/>
      <c r="M690" s="929" t="s">
        <v>260</v>
      </c>
      <c r="N690" s="929" t="s">
        <v>261</v>
      </c>
      <c r="O690" s="387" t="s">
        <v>262</v>
      </c>
      <c r="P690" s="388" t="s">
        <v>75</v>
      </c>
      <c r="Q690" s="389"/>
      <c r="R690" s="657"/>
      <c r="S690" s="929" t="s">
        <v>260</v>
      </c>
      <c r="T690" s="929" t="s">
        <v>261</v>
      </c>
      <c r="U690" s="387" t="s">
        <v>262</v>
      </c>
      <c r="V690" s="388" t="s">
        <v>75</v>
      </c>
      <c r="W690" s="672" t="s">
        <v>76</v>
      </c>
      <c r="Y690" s="414" t="s">
        <v>263</v>
      </c>
      <c r="Z690" s="656" t="s">
        <v>74</v>
      </c>
      <c r="AA690" s="657" t="s">
        <v>75</v>
      </c>
      <c r="AC690" s="665" t="s">
        <v>71</v>
      </c>
      <c r="AD690" s="657" t="s">
        <v>86</v>
      </c>
      <c r="AE690" s="661" t="s">
        <v>149</v>
      </c>
      <c r="AF690" s="661" t="s">
        <v>94</v>
      </c>
      <c r="AG690" s="661" t="s">
        <v>149</v>
      </c>
      <c r="AH690" s="661" t="s">
        <v>94</v>
      </c>
      <c r="AI690" s="661" t="s">
        <v>149</v>
      </c>
      <c r="AJ690" s="661" t="s">
        <v>94</v>
      </c>
      <c r="AK690" s="1332" t="s">
        <v>149</v>
      </c>
      <c r="AL690" s="661" t="s">
        <v>94</v>
      </c>
      <c r="AM690" s="1406" t="s">
        <v>76</v>
      </c>
      <c r="AN690" s="1407"/>
      <c r="AP690" s="929" t="s">
        <v>260</v>
      </c>
      <c r="AQ690" s="929" t="s">
        <v>261</v>
      </c>
      <c r="AS690" s="1218" t="s">
        <v>165</v>
      </c>
      <c r="AT690" s="1219" t="s">
        <v>79</v>
      </c>
      <c r="AU690" s="1220" t="s">
        <v>80</v>
      </c>
    </row>
    <row r="691" spans="1:47" ht="15" thickBot="1" x14ac:dyDescent="0.35">
      <c r="B691" s="405">
        <v>62</v>
      </c>
      <c r="C691" s="399"/>
      <c r="D691" s="385" t="str">
        <f>VLOOKUP($B691,EventOrder,6,FALSE)</f>
        <v xml:space="preserve">1500m (U18/U20) </v>
      </c>
      <c r="E691" s="399"/>
      <c r="F691" s="385"/>
      <c r="G691" s="386" t="str">
        <f>VLOOKUP($B691,EventOrder,4,FALSE)</f>
        <v>U18 Men</v>
      </c>
      <c r="H691" s="396" t="str">
        <f>IF(MID(G691,5,1)="F","F","M")</f>
        <v>M</v>
      </c>
      <c r="I691" s="397">
        <f>VLOOKUP($B691,EventOrder,2,FALSE)</f>
        <v>3.3</v>
      </c>
      <c r="K691" s="377"/>
      <c r="L691" s="667" t="s">
        <v>149</v>
      </c>
      <c r="M691" s="930" t="s">
        <v>264</v>
      </c>
      <c r="N691" s="930" t="s">
        <v>265</v>
      </c>
      <c r="O691" s="390" t="s">
        <v>266</v>
      </c>
      <c r="P691" s="391"/>
      <c r="Q691" s="392"/>
      <c r="R691" s="659" t="s">
        <v>94</v>
      </c>
      <c r="S691" s="930" t="s">
        <v>264</v>
      </c>
      <c r="T691" s="930" t="s">
        <v>265</v>
      </c>
      <c r="U691" s="390" t="s">
        <v>266</v>
      </c>
      <c r="V691" s="391"/>
      <c r="W691" s="671"/>
      <c r="Y691" s="415" t="s">
        <v>167</v>
      </c>
      <c r="Z691" s="658" t="s">
        <v>149</v>
      </c>
      <c r="AA691" s="659" t="s">
        <v>94</v>
      </c>
      <c r="AC691" s="666"/>
      <c r="AD691" s="668"/>
      <c r="AE691" s="768" t="s">
        <v>75</v>
      </c>
      <c r="AF691" s="768" t="s">
        <v>75</v>
      </c>
      <c r="AG691" s="768" t="s">
        <v>267</v>
      </c>
      <c r="AH691" s="768" t="s">
        <v>267</v>
      </c>
      <c r="AI691" s="768" t="s">
        <v>268</v>
      </c>
      <c r="AJ691" s="768" t="s">
        <v>268</v>
      </c>
      <c r="AK691" s="770" t="s">
        <v>269</v>
      </c>
      <c r="AL691" s="768" t="s">
        <v>269</v>
      </c>
      <c r="AM691" s="667" t="s">
        <v>149</v>
      </c>
      <c r="AN691" s="659" t="s">
        <v>94</v>
      </c>
      <c r="AP691" s="930" t="s">
        <v>264</v>
      </c>
      <c r="AQ691" s="930" t="s">
        <v>265</v>
      </c>
      <c r="AS691" s="1221" t="s">
        <v>270</v>
      </c>
      <c r="AT691" s="1222" t="s">
        <v>270</v>
      </c>
      <c r="AU691" s="1223" t="s">
        <v>270</v>
      </c>
    </row>
    <row r="692" spans="1:47" ht="15.6" x14ac:dyDescent="0.3">
      <c r="A692" s="416">
        <f>(B691*10)+1</f>
        <v>621</v>
      </c>
      <c r="B692" s="362" t="str">
        <f>'Event Details'!D$22</f>
        <v>S</v>
      </c>
      <c r="C692" s="381" t="str">
        <f>'Event Details'!E$22</f>
        <v>BRAT</v>
      </c>
      <c r="D692" s="379"/>
      <c r="E692" s="378"/>
      <c r="F692" s="363" t="str">
        <f>VLOOKUP($B691,IF($H691="F",TeamSheetFemale,TeamSheetMale),$Y692-1,FALSE)</f>
        <v>S</v>
      </c>
      <c r="G692" s="380" t="str">
        <f>VLOOKUP($B691,IF($H691="F",TeamSheetFemale,TeamSheetMale),$Y692,FALSE)</f>
        <v xml:space="preserve">Evan Tomlinson </v>
      </c>
      <c r="H692" s="363" t="str">
        <f>VLOOKUP($B691,IF($H691="F",TeamSheetFemale,TeamSheetMale),$Y692+1,FALSE)</f>
        <v>SS</v>
      </c>
      <c r="I692" s="364" t="str">
        <f>VLOOKUP($B691,IF($H691="F",TeamSheetFemale,TeamSheetMale),$Y692+2,FALSE)</f>
        <v>Edward Jagger</v>
      </c>
      <c r="K692" s="393" t="s">
        <v>271</v>
      </c>
      <c r="L692" s="16" t="str">
        <f t="shared" ref="L692:L699" si="614">LEFT(M692,1)</f>
        <v>D</v>
      </c>
      <c r="M692" s="926" t="s">
        <v>136</v>
      </c>
      <c r="N692" s="926" t="s">
        <v>1073</v>
      </c>
      <c r="O692" s="394" t="str">
        <f>IF(LEN($M692)=1,VLOOKUP(LEFT($M692,1),B692:I699,5,FALSE),IF(LEN($M692)=2,VLOOKUP(LEFT($M692,1),B692:I699,7,FALSE),""))</f>
        <v>D</v>
      </c>
      <c r="P692" s="395" t="str">
        <f>IF(LEN($M692)=1,VLOOKUP(LEFT($M692,1),B692:I699,6,FALSE),IF(LEN($M692)=2,VLOOKUP(LEFT($M692,1),B692:I699,8,FALSE),""))</f>
        <v>Tom Fisher</v>
      </c>
      <c r="Q692" s="393" t="s">
        <v>271</v>
      </c>
      <c r="R692" s="146" t="str">
        <f t="shared" ref="R692:R699" si="615">LEFT(S692,1)</f>
        <v>G</v>
      </c>
      <c r="S692" s="926" t="s">
        <v>820</v>
      </c>
      <c r="T692" s="926" t="s">
        <v>1077</v>
      </c>
      <c r="U692" s="394" t="str">
        <f>IF(LEN($S692)=1,VLOOKUP(LEFT($S692,1),B692:I699,5,FALSE),IF(LEN($S692)=2,VLOOKUP(LEFT($S692,1),B692:I699,7,FALSE),""))</f>
        <v>GG</v>
      </c>
      <c r="V692" s="395" t="str">
        <f>IF(LEN($S692)=1,VLOOKUP(LEFT($S692,1),B692:I699,6,FALSE),IF(LEN($S692)=2,VLOOKUP(LEFT($S692,1),B692:I699,8,FALSE),""))</f>
        <v>Finn Sandland</v>
      </c>
      <c r="W692" s="417">
        <f>AN$6</f>
        <v>8</v>
      </c>
      <c r="Y692" s="416">
        <v>7</v>
      </c>
      <c r="Z692" s="653" t="str">
        <f t="shared" ref="Z692:Z699" si="616">IF(LEN(M692)&gt;0,VLOOKUP(LEFT(M692,1),ShortName,5,FALSE),0)</f>
        <v>Strat</v>
      </c>
      <c r="AA692" s="138" t="str">
        <f t="shared" ref="AA692:AA699" si="617">IF(LEN(S692)&gt;0,VLOOKUP(LEFT(S692,1),ShortName,5,FALSE),0)</f>
        <v>Royal</v>
      </c>
      <c r="AC692" s="16" t="str">
        <f t="shared" ref="AC692:AD699" si="618">B692</f>
        <v>S</v>
      </c>
      <c r="AD692" s="419" t="str">
        <f t="shared" si="618"/>
        <v>BRAT</v>
      </c>
      <c r="AE692" s="635">
        <f>IF(ISNA(MATCH(AC692,N692:N701,0)),0,VLOOKUP(AC692,N692:S701,5,FALSE))</f>
        <v>0</v>
      </c>
      <c r="AF692" s="635" t="str">
        <f>IF(ISNA(MATCH(AC692,T692:T701,0))," ",VLOOKUP(AC692,T692:Y701,5,FALSE))</f>
        <v xml:space="preserve"> </v>
      </c>
      <c r="AG692" s="635" t="str">
        <f>IF(ISNA(MATCH(AC692,L692:L699,0)),0,VLOOKUP(AC692,L692:N699,3,FALSE))</f>
        <v>4.20.6</v>
      </c>
      <c r="AH692" s="635" t="str">
        <f>IF(ISNA(MATCH(AC692,R692:R699,0)),0,VLOOKUP(AC692,R692:T699,3,FALSE))</f>
        <v>4.49.5</v>
      </c>
      <c r="AI692" s="635" t="str">
        <f>IF(ISNA(MATCH(AC692,L692:L699,0)),0,VLOOKUP(AC692,L692:P699,4,FALSE))</f>
        <v>S</v>
      </c>
      <c r="AJ692" s="635" t="str">
        <f>IF(ISNA(MATCH(AC692,R692:R699,0)),0,VLOOKUP(AC692,R692:U699,4,FALSE))</f>
        <v>SS</v>
      </c>
      <c r="AK692" s="49">
        <f t="shared" ref="AK692:AK699" si="619">IF(AM692=0,0,AN$6-(AM692-1))</f>
        <v>2</v>
      </c>
      <c r="AL692" s="49">
        <f t="shared" ref="AL692:AL699" si="620">IF(AN692=0,0,AN$6-(AN692-1))</f>
        <v>2</v>
      </c>
      <c r="AM692" s="49">
        <f>IF(ISNA(MATCH(AC692,L692:L699,0)),0,VLOOKUP(AC692,L692:W699,AM$1,FALSE))</f>
        <v>7</v>
      </c>
      <c r="AN692" s="138">
        <f>IF(ISNA(MATCH(AC692,R692:R699,0)),0,VLOOKUP(AC692,R692:W699,AN$1,FALSE))</f>
        <v>7</v>
      </c>
      <c r="AP692" s="926"/>
      <c r="AQ692" s="926"/>
      <c r="AS692" s="32">
        <f>IF(LEN(N692)&gt;0,1,0)</f>
        <v>1</v>
      </c>
      <c r="AT692" s="32">
        <f>IF(AND(AS692=1,H691="M"),1,0)</f>
        <v>1</v>
      </c>
      <c r="AU692" s="32">
        <f>IF(AND(AS692=1,H691="F"),1,0)</f>
        <v>0</v>
      </c>
    </row>
    <row r="693" spans="1:47" ht="15.6" x14ac:dyDescent="0.3">
      <c r="A693" s="417">
        <f>A692+1</f>
        <v>622</v>
      </c>
      <c r="B693" s="362" t="str">
        <f>'Event Details'!D$23</f>
        <v>U</v>
      </c>
      <c r="C693" s="381" t="str">
        <f>'Event Details'!E$23</f>
        <v>Kidder &amp; Stourport</v>
      </c>
      <c r="D693" s="379"/>
      <c r="E693" s="378"/>
      <c r="F693" s="363">
        <f>VLOOKUP($B691,IF($H691="F",TeamSheetFemale,TeamSheetMale),$Y693-1,FALSE)</f>
        <v>0</v>
      </c>
      <c r="G693" s="380">
        <f>VLOOKUP($B691,IF($H691="F",TeamSheetFemale,TeamSheetMale),$Y693,FALSE)</f>
        <v>0</v>
      </c>
      <c r="H693" s="363">
        <f>VLOOKUP($B691,IF($H691="F",TeamSheetFemale,TeamSheetMale),$Y693+1,FALSE)</f>
        <v>0</v>
      </c>
      <c r="I693" s="364">
        <f>VLOOKUP($B691,IF($H691="F",TeamSheetFemale,TeamSheetMale),$Y693+2,FALSE)</f>
        <v>0</v>
      </c>
      <c r="K693" s="341" t="s">
        <v>272</v>
      </c>
      <c r="L693" s="16" t="str">
        <f t="shared" si="614"/>
        <v>S</v>
      </c>
      <c r="M693" s="927" t="s">
        <v>100</v>
      </c>
      <c r="N693" s="927" t="s">
        <v>1074</v>
      </c>
      <c r="O693" s="353" t="str">
        <f>IF(LEN($M693)=1,VLOOKUP(LEFT($M693,1),B692:I699,5,FALSE),IF(LEN($M693)=2,VLOOKUP(LEFT($M693,1),B692:I699,7,FALSE),""))</f>
        <v>S</v>
      </c>
      <c r="P693" s="373" t="str">
        <f>IF(LEN($M693)=1,VLOOKUP(LEFT($M693,1),B692:I699,6,FALSE),IF(LEN($M693)=2,VLOOKUP(LEFT($M693,1),B692:I699,8,FALSE),""))</f>
        <v xml:space="preserve">Evan Tomlinson </v>
      </c>
      <c r="Q693" s="341" t="s">
        <v>272</v>
      </c>
      <c r="R693" s="146" t="str">
        <f t="shared" si="615"/>
        <v>S</v>
      </c>
      <c r="S693" s="927" t="s">
        <v>818</v>
      </c>
      <c r="T693" s="927" t="s">
        <v>1078</v>
      </c>
      <c r="U693" s="353" t="str">
        <f>IF(LEN($S693)=1,VLOOKUP(LEFT($S693,1),B692:I699,5,FALSE),IF(LEN($S693)=2,VLOOKUP(LEFT($S693,1),B692:I699,7,FALSE),""))</f>
        <v>SS</v>
      </c>
      <c r="V693" s="373" t="str">
        <f>IF(LEN($S693)=1,VLOOKUP(LEFT($S693,1),B692:I699,6,FALSE),IF(LEN($S693)=2,VLOOKUP(LEFT($S693,1),B692:I699,8,FALSE),""))</f>
        <v>Edward Jagger</v>
      </c>
      <c r="W693" s="417">
        <f>W692-1</f>
        <v>7</v>
      </c>
      <c r="Y693" s="417">
        <v>12</v>
      </c>
      <c r="Z693" s="16" t="str">
        <f t="shared" si="616"/>
        <v>BRAT</v>
      </c>
      <c r="AA693" s="146" t="str">
        <f t="shared" si="617"/>
        <v>BRAT</v>
      </c>
      <c r="AC693" s="16" t="str">
        <f t="shared" si="618"/>
        <v>U</v>
      </c>
      <c r="AD693" s="419" t="str">
        <f t="shared" si="618"/>
        <v>Kidder &amp; Stourport</v>
      </c>
      <c r="AE693" s="419">
        <f>IF(ISNA(MATCH(AC693,N692:N701,0)),0,VLOOKUP(AC693,N692:S701,5,FALSE))</f>
        <v>0</v>
      </c>
      <c r="AF693" s="419" t="str">
        <f>IF(ISNA(MATCH(AC693,T692:T701,0))," ",VLOOKUP(AC693,T692:Y701,5,FALSE))</f>
        <v xml:space="preserve"> </v>
      </c>
      <c r="AG693" s="419">
        <f>IF(ISNA(MATCH(AC693,L692:L699,0)),0,VLOOKUP(AC693,L692:N699,3,FALSE))</f>
        <v>0</v>
      </c>
      <c r="AH693" s="419">
        <f>IF(ISNA(MATCH(AC693,R692:R699,0)),0,VLOOKUP(AC693,R692:T699,3,FALSE))</f>
        <v>0</v>
      </c>
      <c r="AI693" s="419">
        <f>IF(ISNA(MATCH(AC693,L692:L699,0)),0,VLOOKUP(AC693,L692:P699,4,FALSE))</f>
        <v>0</v>
      </c>
      <c r="AJ693" s="419">
        <f>IF(ISNA(MATCH(AC693,R692:R699,0)),0,VLOOKUP(AC693,R692:U699,4,FALSE))</f>
        <v>0</v>
      </c>
      <c r="AK693" s="32">
        <f t="shared" si="619"/>
        <v>0</v>
      </c>
      <c r="AL693" s="32">
        <f t="shared" si="620"/>
        <v>0</v>
      </c>
      <c r="AM693" s="32">
        <f>IF(ISNA(MATCH(AC693,L692:L699,0)),0,VLOOKUP(AC693,L692:W699,AM$1,FALSE))</f>
        <v>0</v>
      </c>
      <c r="AN693" s="146">
        <f>IF(ISNA(MATCH(AC693,R692:R699,0)),0,VLOOKUP(AC693,R692:W699,AN$1,FALSE))</f>
        <v>0</v>
      </c>
      <c r="AP693" s="927"/>
      <c r="AQ693" s="927"/>
    </row>
    <row r="694" spans="1:47" ht="15.6" x14ac:dyDescent="0.3">
      <c r="A694" s="417">
        <f t="shared" ref="A694:A699" si="621">A693+1</f>
        <v>623</v>
      </c>
      <c r="B694" s="362" t="str">
        <f>'Event Details'!D$24</f>
        <v>G</v>
      </c>
      <c r="C694" s="381" t="str">
        <f>'Event Details'!E$24</f>
        <v>Royal Sutton</v>
      </c>
      <c r="D694" s="379"/>
      <c r="E694" s="378"/>
      <c r="F694" s="363" t="str">
        <f>VLOOKUP($B691,IF($H691="F",TeamSheetFemale,TeamSheetMale),$Y694-1,FALSE)</f>
        <v>G</v>
      </c>
      <c r="G694" s="380" t="str">
        <f>VLOOKUP($B691,IF($H691="F",TeamSheetFemale,TeamSheetMale),$Y694,FALSE)</f>
        <v>Leo  Dance</v>
      </c>
      <c r="H694" s="363" t="str">
        <f>VLOOKUP($B691,IF($H691="F",TeamSheetFemale,TeamSheetMale),$Y694+1,FALSE)</f>
        <v>GG</v>
      </c>
      <c r="I694" s="364" t="str">
        <f>VLOOKUP($B691,IF($H691="F",TeamSheetFemale,TeamSheetMale),$Y694+2,FALSE)</f>
        <v>Finn Sandland</v>
      </c>
      <c r="K694" s="341" t="s">
        <v>273</v>
      </c>
      <c r="L694" s="16" t="str">
        <f t="shared" si="614"/>
        <v>G</v>
      </c>
      <c r="M694" s="927" t="s">
        <v>110</v>
      </c>
      <c r="N694" s="927" t="s">
        <v>1075</v>
      </c>
      <c r="O694" s="353" t="str">
        <f>IF(LEN($M694)=1,VLOOKUP(LEFT($M694,1),B692:I699,5,FALSE),IF(LEN($M694)=2,VLOOKUP(LEFT($M694,1),B692:I699,7,FALSE),""))</f>
        <v>G</v>
      </c>
      <c r="P694" s="373" t="str">
        <f>IF(LEN($M694)=1,VLOOKUP(LEFT($M694,1),B692:I699,6,FALSE),IF(LEN($M694)=2,VLOOKUP(LEFT($M694,1),B692:I699,8,FALSE),""))</f>
        <v>Leo  Dance</v>
      </c>
      <c r="Q694" s="341" t="s">
        <v>273</v>
      </c>
      <c r="R694" s="146" t="str">
        <f t="shared" si="615"/>
        <v/>
      </c>
      <c r="S694" s="927"/>
      <c r="T694" s="927"/>
      <c r="U694" s="353" t="str">
        <f>IF(LEN($S694)=1,VLOOKUP(LEFT($S694,1),B692:I699,5,FALSE),IF(LEN($S694)=2,VLOOKUP(LEFT($S694,1),B692:I699,7,FALSE),""))</f>
        <v/>
      </c>
      <c r="V694" s="373" t="str">
        <f>IF(LEN($S694)=1,VLOOKUP(LEFT($S694,1),B692:I699,6,FALSE),IF(LEN($S694)=2,VLOOKUP(LEFT($S694,1),B692:I699,8,FALSE),""))</f>
        <v/>
      </c>
      <c r="W694" s="417">
        <f t="shared" ref="W694:W699" si="622">W693-1</f>
        <v>6</v>
      </c>
      <c r="Y694" s="417">
        <v>17</v>
      </c>
      <c r="Z694" s="16" t="str">
        <f t="shared" si="616"/>
        <v>Royal</v>
      </c>
      <c r="AA694" s="146">
        <f t="shared" si="617"/>
        <v>0</v>
      </c>
      <c r="AB694" s="32"/>
      <c r="AC694" s="16" t="str">
        <f t="shared" si="618"/>
        <v>G</v>
      </c>
      <c r="AD694" s="419" t="str">
        <f t="shared" si="618"/>
        <v>Royal Sutton</v>
      </c>
      <c r="AE694" s="419">
        <f>IF(ISNA(MATCH(AC694,N692:N701,0)),0,VLOOKUP(AC694,N692:S701,5,FALSE))</f>
        <v>0</v>
      </c>
      <c r="AF694" s="419" t="str">
        <f>IF(ISNA(MATCH(AC694,T692:T701,0))," ",VLOOKUP(AC694,T692:Y701,5,FALSE))</f>
        <v xml:space="preserve"> </v>
      </c>
      <c r="AG694" s="419" t="str">
        <f>IF(ISNA(MATCH(AC694,L692:L699,0)),0,VLOOKUP(AC694,L692:N699,3,FALSE))</f>
        <v>4.33.6</v>
      </c>
      <c r="AH694" s="419" t="str">
        <f>IF(ISNA(MATCH(AC694,R692:R699,0)),0,VLOOKUP(AC694,R692:T699,3,FALSE))</f>
        <v>4.48.6</v>
      </c>
      <c r="AI694" s="419" t="str">
        <f>IF(ISNA(MATCH(AC694,L692:L699,0)),0,VLOOKUP(AC694,L692:P699,4,FALSE))</f>
        <v>G</v>
      </c>
      <c r="AJ694" s="419" t="str">
        <f>IF(ISNA(MATCH(AC694,R692:R699,0)),0,VLOOKUP(AC694,R692:U699,4,FALSE))</f>
        <v>GG</v>
      </c>
      <c r="AK694" s="32">
        <f t="shared" si="619"/>
        <v>3</v>
      </c>
      <c r="AL694" s="32">
        <f t="shared" si="620"/>
        <v>1</v>
      </c>
      <c r="AM694" s="32">
        <f>IF(ISNA(MATCH(AC694,L692:L699,0)),0,VLOOKUP(AC694,L692:W699,AM$1,FALSE))</f>
        <v>6</v>
      </c>
      <c r="AN694" s="146">
        <f>IF(ISNA(MATCH(AC694,R692:R699,0)),0,VLOOKUP(AC694,R692:W699,AN$1,FALSE))</f>
        <v>8</v>
      </c>
      <c r="AP694" s="927"/>
      <c r="AQ694" s="927"/>
    </row>
    <row r="695" spans="1:47" ht="15.6" x14ac:dyDescent="0.3">
      <c r="A695" s="417">
        <f t="shared" si="621"/>
        <v>624</v>
      </c>
      <c r="B695" s="362" t="str">
        <f>'Event Details'!D$25</f>
        <v>R</v>
      </c>
      <c r="C695" s="381" t="str">
        <f>'Event Details'!E$25</f>
        <v>Rugby &amp; N'hampton</v>
      </c>
      <c r="D695" s="379"/>
      <c r="E695" s="378"/>
      <c r="F695" s="363" t="str">
        <f>VLOOKUP($B691,IF($H691="F",TeamSheetFemale,TeamSheetMale),$Y695-1,FALSE)</f>
        <v>R</v>
      </c>
      <c r="G695" s="380" t="str">
        <f>VLOOKUP($B691,IF($H691="F",TeamSheetFemale,TeamSheetMale),$Y695,FALSE)</f>
        <v>Dylan Mander</v>
      </c>
      <c r="H695" s="363" t="str">
        <f>VLOOKUP($B691,IF($H691="F",TeamSheetFemale,TeamSheetMale),$Y695+1,FALSE)</f>
        <v>RR</v>
      </c>
      <c r="I695" s="364">
        <f>VLOOKUP($B691,IF($H691="F",TeamSheetFemale,TeamSheetMale),$Y695+2,FALSE)</f>
        <v>0</v>
      </c>
      <c r="K695" s="341" t="s">
        <v>274</v>
      </c>
      <c r="L695" s="16" t="str">
        <f t="shared" si="614"/>
        <v>F</v>
      </c>
      <c r="M695" s="927" t="s">
        <v>142</v>
      </c>
      <c r="N695" s="927" t="s">
        <v>1076</v>
      </c>
      <c r="O695" s="353" t="str">
        <f>IF(LEN($M695)=1,VLOOKUP(LEFT($M695,1),B692:I699,5,FALSE),IF(LEN($M695)=2,VLOOKUP(LEFT($M695,1),B692:I699,7,FALSE),""))</f>
        <v>F</v>
      </c>
      <c r="P695" s="373" t="str">
        <f>IF(LEN($M695)=1,VLOOKUP(LEFT($M695,1),B692:I699,6,FALSE),IF(LEN($M695)=2,VLOOKUP(LEFT($M695,1),B692:I699,8,FALSE),""))</f>
        <v>Oliver Ciszecki</v>
      </c>
      <c r="Q695" s="341" t="s">
        <v>274</v>
      </c>
      <c r="R695" s="146" t="str">
        <f t="shared" si="615"/>
        <v/>
      </c>
      <c r="S695" s="927"/>
      <c r="T695" s="927"/>
      <c r="U695" s="353" t="str">
        <f>IF(LEN($S695)=1,VLOOKUP(LEFT($S695,1),B692:I699,5,FALSE),IF(LEN($S695)=2,VLOOKUP(LEFT($S695,1),B692:I699,7,FALSE),""))</f>
        <v/>
      </c>
      <c r="V695" s="373" t="str">
        <f>IF(LEN($S695)=1,VLOOKUP(LEFT($S695,1),B692:I699,6,FALSE),IF(LEN($S695)=2,VLOOKUP(LEFT($S695,1),B692:I699,8,FALSE),""))</f>
        <v/>
      </c>
      <c r="W695" s="417">
        <f t="shared" si="622"/>
        <v>5</v>
      </c>
      <c r="Y695" s="417">
        <v>22</v>
      </c>
      <c r="Z695" s="16" t="str">
        <f t="shared" si="616"/>
        <v>Tam</v>
      </c>
      <c r="AA695" s="146">
        <f t="shared" si="617"/>
        <v>0</v>
      </c>
      <c r="AB695" s="32"/>
      <c r="AC695" s="16" t="str">
        <f t="shared" si="618"/>
        <v>R</v>
      </c>
      <c r="AD695" s="419" t="str">
        <f t="shared" si="618"/>
        <v>Rugby &amp; N'hampton</v>
      </c>
      <c r="AE695" s="419">
        <f>IF(ISNA(MATCH(AC695,N692:N701,0)),0,VLOOKUP(AC695,N692:S701,5,FALSE))</f>
        <v>0</v>
      </c>
      <c r="AF695" s="419" t="str">
        <f>IF(ISNA(MATCH(AC695,T692:T701,0))," ",VLOOKUP(AC695,T692:Y701,5,FALSE))</f>
        <v xml:space="preserve"> </v>
      </c>
      <c r="AG695" s="419">
        <f>IF(ISNA(MATCH(AC695,L692:L699,0)),0,VLOOKUP(AC695,L692:N699,3,FALSE))</f>
        <v>0</v>
      </c>
      <c r="AH695" s="419">
        <f>IF(ISNA(MATCH(AC695,R692:R699,0)),0,VLOOKUP(AC695,R692:T699,3,FALSE))</f>
        <v>0</v>
      </c>
      <c r="AI695" s="419">
        <f>IF(ISNA(MATCH(AC695,L692:L699,0)),0,VLOOKUP(AC695,L692:P699,4,FALSE))</f>
        <v>0</v>
      </c>
      <c r="AJ695" s="419">
        <f>IF(ISNA(MATCH(AC695,R692:R699,0)),0,VLOOKUP(AC695,R692:U699,4,FALSE))</f>
        <v>0</v>
      </c>
      <c r="AK695" s="32">
        <f t="shared" si="619"/>
        <v>0</v>
      </c>
      <c r="AL695" s="32">
        <f t="shared" si="620"/>
        <v>0</v>
      </c>
      <c r="AM695" s="32">
        <f>IF(ISNA(MATCH(AC695,L692:L699,0)),0,VLOOKUP(AC695,L692:W699,AM$1,FALSE))</f>
        <v>0</v>
      </c>
      <c r="AN695" s="146">
        <f>IF(ISNA(MATCH(AC695,R692:R699,0)),0,VLOOKUP(AC695,R692:W699,AN$1,FALSE))</f>
        <v>0</v>
      </c>
      <c r="AP695" s="927"/>
      <c r="AQ695" s="927"/>
    </row>
    <row r="696" spans="1:47" ht="15.6" x14ac:dyDescent="0.3">
      <c r="A696" s="417">
        <f t="shared" si="621"/>
        <v>625</v>
      </c>
      <c r="B696" s="362" t="str">
        <f>'Event Details'!D$26</f>
        <v>M</v>
      </c>
      <c r="C696" s="381" t="str">
        <f>'Event Details'!E$26</f>
        <v>Solihull &amp; S.Heath</v>
      </c>
      <c r="D696" s="379"/>
      <c r="E696" s="378"/>
      <c r="F696" s="363">
        <f>VLOOKUP($B691,IF($H691="F",TeamSheetFemale,TeamSheetMale),$Y696-1,FALSE)</f>
        <v>0</v>
      </c>
      <c r="G696" s="380">
        <f>VLOOKUP($B691,IF($H691="F",TeamSheetFemale,TeamSheetMale),$Y696,FALSE)</f>
        <v>0</v>
      </c>
      <c r="H696" s="363">
        <f>VLOOKUP($B691,IF($H691="F",TeamSheetFemale,TeamSheetMale),$Y696+1,FALSE)</f>
        <v>0</v>
      </c>
      <c r="I696" s="364">
        <f>VLOOKUP($B691,IF($H691="F",TeamSheetFemale,TeamSheetMale),$Y696+2,FALSE)</f>
        <v>0</v>
      </c>
      <c r="K696" s="341" t="s">
        <v>275</v>
      </c>
      <c r="L696" s="16" t="str">
        <f t="shared" si="614"/>
        <v/>
      </c>
      <c r="M696" s="927"/>
      <c r="N696" s="927"/>
      <c r="O696" s="353" t="str">
        <f>IF(LEN($M696)=1,VLOOKUP(LEFT($M696,1),B692:I699,5,FALSE),IF(LEN($M696)=2,VLOOKUP(LEFT($M696,1),B692:I699,7,FALSE),""))</f>
        <v/>
      </c>
      <c r="P696" s="373" t="str">
        <f>IF(LEN($M696)=1,VLOOKUP(LEFT($M696,1),B692:I699,6,FALSE),IF(LEN($M696)=2,VLOOKUP(LEFT($M696,1),B692:I699,8,FALSE),""))</f>
        <v/>
      </c>
      <c r="Q696" s="341" t="s">
        <v>275</v>
      </c>
      <c r="R696" s="146" t="str">
        <f t="shared" si="615"/>
        <v/>
      </c>
      <c r="S696" s="927"/>
      <c r="T696" s="927"/>
      <c r="U696" s="353" t="str">
        <f>IF(LEN($S696)=1,VLOOKUP(LEFT($S696,1),B692:I699,5,FALSE),IF(LEN($S696)=2,VLOOKUP(LEFT($S696,1),B692:I699,7,FALSE),""))</f>
        <v/>
      </c>
      <c r="V696" s="373" t="str">
        <f>IF(LEN($S696)=1,VLOOKUP(LEFT($S696,1),B692:I699,6,FALSE),IF(LEN($S696)=2,VLOOKUP(LEFT($S696,1),B692:I699,8,FALSE),""))</f>
        <v/>
      </c>
      <c r="W696" s="417">
        <f t="shared" si="622"/>
        <v>4</v>
      </c>
      <c r="Y696" s="417">
        <v>27</v>
      </c>
      <c r="Z696" s="16">
        <f t="shared" si="616"/>
        <v>0</v>
      </c>
      <c r="AA696" s="146">
        <f t="shared" si="617"/>
        <v>0</v>
      </c>
      <c r="AB696" s="32"/>
      <c r="AC696" s="16" t="str">
        <f t="shared" si="618"/>
        <v>M</v>
      </c>
      <c r="AD696" s="419" t="str">
        <f t="shared" si="618"/>
        <v>Solihull &amp; S.Heath</v>
      </c>
      <c r="AE696" s="419">
        <f>IF(ISNA(MATCH(AC696,N692:N701,0)),0,VLOOKUP(AC696,N692:S701,5,FALSE))</f>
        <v>0</v>
      </c>
      <c r="AF696" s="419" t="str">
        <f>IF(ISNA(MATCH(AC696,T692:T701,0))," ",VLOOKUP(AC696,T692:Y701,5,FALSE))</f>
        <v xml:space="preserve"> </v>
      </c>
      <c r="AG696" s="419">
        <f>IF(ISNA(MATCH(AC696,L692:L699,0)),0,VLOOKUP(AC696,L692:N699,3,FALSE))</f>
        <v>0</v>
      </c>
      <c r="AH696" s="419">
        <f>IF(ISNA(MATCH(AC696,R692:R699,0)),0,VLOOKUP(AC696,R692:T699,3,FALSE))</f>
        <v>0</v>
      </c>
      <c r="AI696" s="419">
        <f>IF(ISNA(MATCH(AC696,L692:L699,0)),0,VLOOKUP(AC696,L692:P699,4,FALSE))</f>
        <v>0</v>
      </c>
      <c r="AJ696" s="419">
        <f>IF(ISNA(MATCH(AC696,R692:R699,0)),0,VLOOKUP(AC696,R692:U699,4,FALSE))</f>
        <v>0</v>
      </c>
      <c r="AK696" s="32">
        <f t="shared" si="619"/>
        <v>0</v>
      </c>
      <c r="AL696" s="32">
        <f t="shared" si="620"/>
        <v>0</v>
      </c>
      <c r="AM696" s="32">
        <f>IF(ISNA(MATCH(AC696,L692:L699,0)),0,VLOOKUP(AC696,L692:W699,AM$1,FALSE))</f>
        <v>0</v>
      </c>
      <c r="AN696" s="146">
        <f>IF(ISNA(MATCH(AC696,R692:R699,0)),0,VLOOKUP(AC696,R692:W699,AN$1,FALSE))</f>
        <v>0</v>
      </c>
      <c r="AP696" s="927"/>
      <c r="AQ696" s="927"/>
    </row>
    <row r="697" spans="1:47" ht="15.6" x14ac:dyDescent="0.3">
      <c r="A697" s="417">
        <f t="shared" si="621"/>
        <v>626</v>
      </c>
      <c r="B697" s="362" t="str">
        <f>'Event Details'!D$27</f>
        <v>D</v>
      </c>
      <c r="C697" s="381" t="str">
        <f>'Event Details'!E$27</f>
        <v>Stratford</v>
      </c>
      <c r="D697" s="379"/>
      <c r="E697" s="378"/>
      <c r="F697" s="363" t="str">
        <f>VLOOKUP($B691,IF($H691="F",TeamSheetFemale,TeamSheetMale),$Y697-1,FALSE)</f>
        <v>D</v>
      </c>
      <c r="G697" s="380" t="str">
        <f>VLOOKUP($B691,IF($H691="F",TeamSheetFemale,TeamSheetMale),$Y697,FALSE)</f>
        <v>Tom Fisher</v>
      </c>
      <c r="H697" s="363" t="str">
        <f>VLOOKUP($B691,IF($H691="F",TeamSheetFemale,TeamSheetMale),$Y697+1,FALSE)</f>
        <v>DD</v>
      </c>
      <c r="I697" s="364">
        <f>VLOOKUP($B691,IF($H691="F",TeamSheetFemale,TeamSheetMale),$Y697+2,FALSE)</f>
        <v>0</v>
      </c>
      <c r="K697" s="341" t="s">
        <v>276</v>
      </c>
      <c r="L697" s="16" t="str">
        <f t="shared" si="614"/>
        <v/>
      </c>
      <c r="M697" s="927"/>
      <c r="N697" s="927"/>
      <c r="O697" s="353" t="str">
        <f>IF(LEN($M697)=1,VLOOKUP(LEFT($M697,1),B692:I699,5,FALSE),IF(LEN($M697)=2,VLOOKUP(LEFT($M697,1),B692:I699,7,FALSE),""))</f>
        <v/>
      </c>
      <c r="P697" s="373" t="str">
        <f>IF(LEN($M697)=1,VLOOKUP(LEFT($M697,1),B692:I699,6,FALSE),IF(LEN($M697)=2,VLOOKUP(LEFT($M697,1),B692:I699,8,FALSE),""))</f>
        <v/>
      </c>
      <c r="Q697" s="341" t="s">
        <v>276</v>
      </c>
      <c r="R697" s="146" t="str">
        <f t="shared" si="615"/>
        <v/>
      </c>
      <c r="S697" s="927"/>
      <c r="T697" s="927"/>
      <c r="U697" s="353" t="str">
        <f>IF(LEN($S697)=1,VLOOKUP(LEFT($S697,1),B692:I699,5,FALSE),IF(LEN($S697)=2,VLOOKUP(LEFT($S697,1),B692:I699,7,FALSE),""))</f>
        <v/>
      </c>
      <c r="V697" s="373" t="str">
        <f>IF(LEN($S697)=1,VLOOKUP(LEFT($S697,1),B692:I699,6,FALSE),IF(LEN($S697)=2,VLOOKUP(LEFT($S697,1),B692:I699,8,FALSE),""))</f>
        <v/>
      </c>
      <c r="W697" s="417">
        <f t="shared" si="622"/>
        <v>3</v>
      </c>
      <c r="Y697" s="417">
        <v>32</v>
      </c>
      <c r="Z697" s="16">
        <f t="shared" si="616"/>
        <v>0</v>
      </c>
      <c r="AA697" s="146">
        <f t="shared" si="617"/>
        <v>0</v>
      </c>
      <c r="AB697" s="32"/>
      <c r="AC697" s="16" t="str">
        <f t="shared" si="618"/>
        <v>D</v>
      </c>
      <c r="AD697" s="419" t="str">
        <f t="shared" si="618"/>
        <v>Stratford</v>
      </c>
      <c r="AE697" s="419">
        <f>IF(ISNA(MATCH(AC697,N692:N701,0)),0,VLOOKUP(AC697,N692:S701,5,FALSE))</f>
        <v>0</v>
      </c>
      <c r="AF697" s="419" t="str">
        <f>IF(ISNA(MATCH(AC697,T692:T701,0))," ",VLOOKUP(AC697,T692:Y701,5,FALSE))</f>
        <v xml:space="preserve"> </v>
      </c>
      <c r="AG697" s="419" t="str">
        <f>IF(ISNA(MATCH(AC697,L692:L699,0)),0,VLOOKUP(AC697,L692:N699,3,FALSE))</f>
        <v>4.09.2</v>
      </c>
      <c r="AH697" s="419">
        <f>IF(ISNA(MATCH(AC697,R692:R699,0)),0,VLOOKUP(AC697,R692:T699,3,FALSE))</f>
        <v>0</v>
      </c>
      <c r="AI697" s="419" t="str">
        <f>IF(ISNA(MATCH(AC697,L692:L699,0)),0,VLOOKUP(AC697,L692:P699,4,FALSE))</f>
        <v>D</v>
      </c>
      <c r="AJ697" s="419">
        <f>IF(ISNA(MATCH(AC697,R692:R699,0)),0,VLOOKUP(AC697,R692:U699,4,FALSE))</f>
        <v>0</v>
      </c>
      <c r="AK697" s="32">
        <f t="shared" si="619"/>
        <v>1</v>
      </c>
      <c r="AL697" s="32">
        <f t="shared" si="620"/>
        <v>0</v>
      </c>
      <c r="AM697" s="32">
        <f>IF(ISNA(MATCH(AC697,L692:L699,0)),0,VLOOKUP(AC697,L692:W699,AM$1,FALSE))</f>
        <v>8</v>
      </c>
      <c r="AN697" s="146">
        <f>IF(ISNA(MATCH(AC697,R692:R699,0)),0,VLOOKUP(AC697,R692:W699,AN$1,FALSE))</f>
        <v>0</v>
      </c>
      <c r="AP697" s="927"/>
      <c r="AQ697" s="927"/>
    </row>
    <row r="698" spans="1:47" ht="15.6" x14ac:dyDescent="0.3">
      <c r="A698" s="417">
        <f t="shared" si="621"/>
        <v>627</v>
      </c>
      <c r="B698" s="362" t="str">
        <f>'Event Details'!D$28</f>
        <v>F</v>
      </c>
      <c r="C698" s="381" t="str">
        <f>'Event Details'!E$28</f>
        <v>Tamworth</v>
      </c>
      <c r="D698" s="379"/>
      <c r="E698" s="378"/>
      <c r="F698" s="363" t="str">
        <f>VLOOKUP($B691,IF($H691="F",TeamSheetFemale,TeamSheetMale),$Y698-1,FALSE)</f>
        <v>F</v>
      </c>
      <c r="G698" s="380" t="str">
        <f>VLOOKUP($B691,IF($H691="F",TeamSheetFemale,TeamSheetMale),$Y698,FALSE)</f>
        <v>Oliver Ciszecki</v>
      </c>
      <c r="H698" s="363">
        <f>VLOOKUP($B691,IF($H691="F",TeamSheetFemale,TeamSheetMale),$Y698+1,FALSE)</f>
        <v>0</v>
      </c>
      <c r="I698" s="364">
        <f>VLOOKUP($B691,IF($H691="F",TeamSheetFemale,TeamSheetMale),$Y698+2,FALSE)</f>
        <v>0</v>
      </c>
      <c r="K698" s="341" t="s">
        <v>277</v>
      </c>
      <c r="L698" s="16" t="str">
        <f t="shared" si="614"/>
        <v/>
      </c>
      <c r="M698" s="931"/>
      <c r="N698" s="927"/>
      <c r="O698" s="353" t="str">
        <f>IF(LEN($M698)=1,VLOOKUP(LEFT($M698,1),B692:I699,5,FALSE),IF(LEN($M698)=2,VLOOKUP(LEFT($M698,1),B692:I699,7,FALSE),""))</f>
        <v/>
      </c>
      <c r="P698" s="373" t="str">
        <f>IF(LEN($M698)=1,VLOOKUP(LEFT($M698,1),B692:I699,6,FALSE),IF(LEN($M698)=2,VLOOKUP(LEFT($M698,1),B692:I699,8,FALSE),""))</f>
        <v/>
      </c>
      <c r="Q698" s="341" t="s">
        <v>277</v>
      </c>
      <c r="R698" s="146" t="str">
        <f t="shared" si="615"/>
        <v/>
      </c>
      <c r="S698" s="931"/>
      <c r="T698" s="927"/>
      <c r="U698" s="353" t="str">
        <f>IF(LEN($S698)=1,VLOOKUP(LEFT($S698,1),B692:I699,5,FALSE),IF(LEN($S698)=2,VLOOKUP(LEFT($S698,1),B692:I699,7,FALSE),""))</f>
        <v/>
      </c>
      <c r="V698" s="373" t="str">
        <f>IF(LEN($S698)=1,VLOOKUP(LEFT($S698,1),B692:I699,6,FALSE),IF(LEN($S698)=2,VLOOKUP(LEFT($S698,1),B692:I699,8,FALSE),""))</f>
        <v/>
      </c>
      <c r="W698" s="417">
        <f t="shared" si="622"/>
        <v>2</v>
      </c>
      <c r="Y698" s="417">
        <v>37</v>
      </c>
      <c r="Z698" s="16">
        <f t="shared" si="616"/>
        <v>0</v>
      </c>
      <c r="AA698" s="146">
        <f t="shared" si="617"/>
        <v>0</v>
      </c>
      <c r="AB698" s="32"/>
      <c r="AC698" s="16" t="str">
        <f t="shared" si="618"/>
        <v>F</v>
      </c>
      <c r="AD698" s="419" t="str">
        <f t="shared" si="618"/>
        <v>Tamworth</v>
      </c>
      <c r="AE698" s="419">
        <f>IF(ISNA(MATCH(AC698,N690:N699,0)),0,VLOOKUP(AC698,N690:S699,5,FALSE))</f>
        <v>0</v>
      </c>
      <c r="AF698" s="419" t="str">
        <f>IF(ISNA(MATCH(AC698,T690:T699,0))," ",VLOOKUP(AC698,T690:Y699,5,FALSE))</f>
        <v xml:space="preserve"> </v>
      </c>
      <c r="AG698" s="419" t="str">
        <f>IF(ISNA(MATCH(AC698,L692:L699,0)),0,VLOOKUP(AC698,L692:N699,3,FALSE))</f>
        <v>5.16.8</v>
      </c>
      <c r="AH698" s="419">
        <f>IF(ISNA(MATCH(AC698,R692:R699,0)),0,VLOOKUP(AC698,R692:T699,3,FALSE))</f>
        <v>0</v>
      </c>
      <c r="AI698" s="419" t="str">
        <f>IF(ISNA(MATCH(AC698,L692:L699,0)),0,VLOOKUP(AC698,L692:P699,4,FALSE))</f>
        <v>F</v>
      </c>
      <c r="AJ698" s="419">
        <f>IF(ISNA(MATCH(AC698,R692:R699,0)),0,VLOOKUP(AC698,R692:U699,4,FALSE))</f>
        <v>0</v>
      </c>
      <c r="AK698" s="32">
        <f t="shared" si="619"/>
        <v>4</v>
      </c>
      <c r="AL698" s="32">
        <f t="shared" si="620"/>
        <v>0</v>
      </c>
      <c r="AM698" s="32">
        <f>IF(ISNA(MATCH(AC698,L692:L699,0)),0,VLOOKUP(AC698,L692:W699,AM$1,FALSE))</f>
        <v>5</v>
      </c>
      <c r="AN698" s="146">
        <f>IF(ISNA(MATCH(AC698,R692:R699,0)),0,VLOOKUP(AC698,R692:W699,AN$1,FALSE))</f>
        <v>0</v>
      </c>
      <c r="AP698" s="931"/>
      <c r="AQ698" s="927"/>
    </row>
    <row r="699" spans="1:47" ht="16.2" thickBot="1" x14ac:dyDescent="0.35">
      <c r="A699" s="418">
        <f t="shared" si="621"/>
        <v>628</v>
      </c>
      <c r="B699" s="365" t="str">
        <f>'Event Details'!D$29</f>
        <v>Y</v>
      </c>
      <c r="C699" s="366" t="str">
        <f>'Event Details'!E$29</f>
        <v>Worcester</v>
      </c>
      <c r="D699" s="361"/>
      <c r="E699" s="370"/>
      <c r="F699" s="367">
        <f>VLOOKUP($B691,IF($H691="F",TeamSheetFemale,TeamSheetMale),$Y699-1,FALSE)</f>
        <v>0</v>
      </c>
      <c r="G699" s="368">
        <f>VLOOKUP($B691,IF($H691="F",TeamSheetFemale,TeamSheetMale),$Y699,FALSE)</f>
        <v>0</v>
      </c>
      <c r="H699" s="367">
        <f>VLOOKUP($B691,IF($H691="F",TeamSheetFemale,TeamSheetMale),$Y699+1,FALSE)</f>
        <v>0</v>
      </c>
      <c r="I699" s="369">
        <f>VLOOKUP($B691,IF($H691="F",TeamSheetFemale,TeamSheetMale),$Y699+2,FALSE)</f>
        <v>0</v>
      </c>
      <c r="K699" s="346" t="s">
        <v>278</v>
      </c>
      <c r="L699" s="25" t="str">
        <f t="shared" si="614"/>
        <v/>
      </c>
      <c r="M699" s="928" t="s">
        <v>148</v>
      </c>
      <c r="N699" s="932"/>
      <c r="O699" s="375" t="str">
        <f>IF(LEN($M699)=1,VLOOKUP(LEFT($M699,1),B692:I699,5,FALSE),IF(LEN($M699)=2,VLOOKUP(LEFT($M699,1),B692:I699,7,FALSE),""))</f>
        <v/>
      </c>
      <c r="P699" s="376" t="str">
        <f>IF(LEN($M699)=1,VLOOKUP(LEFT($M699,1),B692:I699,6,FALSE),IF(LEN($M699)=2,VLOOKUP(LEFT($M699,1),B692:I699,8,FALSE),""))</f>
        <v/>
      </c>
      <c r="Q699" s="346" t="s">
        <v>278</v>
      </c>
      <c r="R699" s="523" t="str">
        <f t="shared" si="615"/>
        <v/>
      </c>
      <c r="S699" s="928" t="s">
        <v>148</v>
      </c>
      <c r="T699" s="932"/>
      <c r="U699" s="375" t="str">
        <f>IF(LEN($S699)=1,VLOOKUP(LEFT($S699,1),B692:I699,5,FALSE),IF(LEN($S699)=2,VLOOKUP(LEFT($S699,1),B692:I699,7,FALSE),""))</f>
        <v/>
      </c>
      <c r="V699" s="376" t="str">
        <f>IF(LEN($S699)=1,VLOOKUP(LEFT($S699,1),B692:I699,6,FALSE),IF(LEN($S699)=2,VLOOKUP(LEFT($S699,1),B692:I699,8,FALSE),""))</f>
        <v/>
      </c>
      <c r="W699" s="418">
        <f t="shared" si="622"/>
        <v>1</v>
      </c>
      <c r="Y699" s="418">
        <v>42</v>
      </c>
      <c r="Z699" s="25">
        <f t="shared" si="616"/>
        <v>0</v>
      </c>
      <c r="AA699" s="523">
        <f t="shared" si="617"/>
        <v>0</v>
      </c>
      <c r="AB699" s="32"/>
      <c r="AC699" s="25" t="str">
        <f t="shared" si="618"/>
        <v>Y</v>
      </c>
      <c r="AD699" s="624" t="str">
        <f t="shared" si="618"/>
        <v>Worcester</v>
      </c>
      <c r="AE699" s="624">
        <f>IF(ISNA(MATCH(AC699,N691:N700,0)),0,VLOOKUP(AC699,N691:S700,5,FALSE))</f>
        <v>0</v>
      </c>
      <c r="AF699" s="624" t="str">
        <f t="shared" ref="AF699" si="623">IF(ISNA(MATCH(AC699,T691:T700,0))," ",VLOOKUP(AC699,T691:Y700,5,FALSE))</f>
        <v xml:space="preserve"> </v>
      </c>
      <c r="AG699" s="624">
        <f>IF(ISNA(MATCH(AC699,L692:L699,0)),0,VLOOKUP(AC699,L692:N699,3,FALSE))</f>
        <v>0</v>
      </c>
      <c r="AH699" s="624">
        <f>IF(ISNA(MATCH(AC699,R692:R699,0)),0,VLOOKUP(AC699,R692:T699,3,FALSE))</f>
        <v>0</v>
      </c>
      <c r="AI699" s="624">
        <f>IF(ISNA(MATCH(AC699,L692:L699,0)),0,VLOOKUP(AC699,L692:P699,4,FALSE))</f>
        <v>0</v>
      </c>
      <c r="AJ699" s="624">
        <f>IF(ISNA(MATCH(AC699,R692:R699,0)),0,VLOOKUP(AC699,R692:U699,4,FALSE))</f>
        <v>0</v>
      </c>
      <c r="AK699" s="116">
        <f t="shared" si="619"/>
        <v>0</v>
      </c>
      <c r="AL699" s="116">
        <f t="shared" si="620"/>
        <v>0</v>
      </c>
      <c r="AM699" s="116">
        <f>IF(ISNA(MATCH(AC699,L692:L699,0)),0,VLOOKUP(AC699,L692:W699,AM$1,FALSE))</f>
        <v>0</v>
      </c>
      <c r="AN699" s="523">
        <f>IF(ISNA(MATCH(AC699,R692:R699,0)),0,VLOOKUP(AC699,R692:W699,AN$1,FALSE))</f>
        <v>0</v>
      </c>
      <c r="AP699" s="928" t="s">
        <v>148</v>
      </c>
      <c r="AQ699" s="932"/>
    </row>
    <row r="700" spans="1:47" ht="15" thickBot="1" x14ac:dyDescent="0.35">
      <c r="M700" s="276"/>
      <c r="N700" s="307"/>
      <c r="S700" s="276"/>
      <c r="T700" s="307"/>
      <c r="AP700" s="276"/>
      <c r="AQ700" s="307"/>
    </row>
    <row r="701" spans="1:47" x14ac:dyDescent="0.3">
      <c r="B701" s="400" t="s">
        <v>258</v>
      </c>
      <c r="C701" s="398"/>
      <c r="D701" s="401" t="s">
        <v>165</v>
      </c>
      <c r="E701" s="398"/>
      <c r="F701" s="398"/>
      <c r="G701" s="402" t="s">
        <v>259</v>
      </c>
      <c r="H701" s="403" t="s">
        <v>249</v>
      </c>
      <c r="I701" s="404" t="s">
        <v>168</v>
      </c>
      <c r="K701" s="360"/>
      <c r="L701" s="661"/>
      <c r="M701" s="387" t="s">
        <v>260</v>
      </c>
      <c r="N701" s="387" t="s">
        <v>261</v>
      </c>
      <c r="O701" s="387" t="s">
        <v>262</v>
      </c>
      <c r="P701" s="388" t="s">
        <v>75</v>
      </c>
      <c r="Q701" s="412"/>
      <c r="R701" s="657"/>
      <c r="S701" s="387" t="s">
        <v>260</v>
      </c>
      <c r="T701" s="387" t="s">
        <v>261</v>
      </c>
      <c r="U701" s="387" t="s">
        <v>262</v>
      </c>
      <c r="V701" s="388" t="s">
        <v>75</v>
      </c>
      <c r="W701" s="672" t="s">
        <v>76</v>
      </c>
      <c r="Y701" s="654" t="s">
        <v>263</v>
      </c>
      <c r="Z701" s="656" t="s">
        <v>74</v>
      </c>
      <c r="AA701" s="657" t="s">
        <v>75</v>
      </c>
      <c r="AC701" s="665" t="s">
        <v>71</v>
      </c>
      <c r="AD701" s="657" t="s">
        <v>86</v>
      </c>
      <c r="AE701" s="661" t="s">
        <v>149</v>
      </c>
      <c r="AF701" s="661" t="s">
        <v>94</v>
      </c>
      <c r="AG701" s="661" t="s">
        <v>149</v>
      </c>
      <c r="AH701" s="661" t="s">
        <v>94</v>
      </c>
      <c r="AI701" s="661" t="s">
        <v>149</v>
      </c>
      <c r="AJ701" s="661" t="s">
        <v>94</v>
      </c>
      <c r="AK701" s="1332" t="s">
        <v>149</v>
      </c>
      <c r="AL701" s="661" t="s">
        <v>94</v>
      </c>
      <c r="AM701" s="1406" t="s">
        <v>76</v>
      </c>
      <c r="AN701" s="1407"/>
      <c r="AP701" s="387" t="s">
        <v>260</v>
      </c>
      <c r="AQ701" s="387" t="s">
        <v>261</v>
      </c>
      <c r="AS701" s="1218" t="s">
        <v>165</v>
      </c>
      <c r="AT701" s="1219" t="s">
        <v>79</v>
      </c>
      <c r="AU701" s="1220" t="s">
        <v>80</v>
      </c>
    </row>
    <row r="702" spans="1:47" ht="15" thickBot="1" x14ac:dyDescent="0.35">
      <c r="B702" s="405">
        <v>63</v>
      </c>
      <c r="C702" s="399"/>
      <c r="D702" s="385" t="str">
        <f>VLOOKUP($B702,EventOrder,6,FALSE)</f>
        <v xml:space="preserve">300m </v>
      </c>
      <c r="E702" s="399"/>
      <c r="F702" s="385"/>
      <c r="G702" s="386" t="str">
        <f>VLOOKUP($B702,EventOrder,4,FALSE)</f>
        <v>U16 Female</v>
      </c>
      <c r="H702" s="396" t="str">
        <f>IF(MID(G702,5,1)="F","F","M")</f>
        <v>F</v>
      </c>
      <c r="I702" s="397">
        <f>VLOOKUP($B702,EventOrder,2,FALSE)</f>
        <v>1.4</v>
      </c>
      <c r="K702" s="372"/>
      <c r="L702" s="667" t="s">
        <v>149</v>
      </c>
      <c r="M702" s="409" t="s">
        <v>264</v>
      </c>
      <c r="N702" s="409" t="s">
        <v>265</v>
      </c>
      <c r="O702" s="409" t="s">
        <v>266</v>
      </c>
      <c r="P702" s="408"/>
      <c r="Q702" s="413"/>
      <c r="R702" s="659" t="s">
        <v>94</v>
      </c>
      <c r="S702" s="409" t="s">
        <v>264</v>
      </c>
      <c r="T702" s="409" t="s">
        <v>265</v>
      </c>
      <c r="U702" s="409" t="s">
        <v>266</v>
      </c>
      <c r="V702" s="408"/>
      <c r="W702" s="671"/>
      <c r="Y702" s="655" t="s">
        <v>167</v>
      </c>
      <c r="Z702" s="658" t="s">
        <v>149</v>
      </c>
      <c r="AA702" s="659" t="s">
        <v>94</v>
      </c>
      <c r="AC702" s="666"/>
      <c r="AD702" s="668"/>
      <c r="AE702" s="768" t="s">
        <v>75</v>
      </c>
      <c r="AF702" s="768" t="s">
        <v>75</v>
      </c>
      <c r="AG702" s="768" t="s">
        <v>267</v>
      </c>
      <c r="AH702" s="768" t="s">
        <v>267</v>
      </c>
      <c r="AI702" s="768" t="s">
        <v>268</v>
      </c>
      <c r="AJ702" s="768" t="s">
        <v>268</v>
      </c>
      <c r="AK702" s="770" t="s">
        <v>269</v>
      </c>
      <c r="AL702" s="768" t="s">
        <v>269</v>
      </c>
      <c r="AM702" s="667" t="s">
        <v>149</v>
      </c>
      <c r="AN702" s="659" t="s">
        <v>94</v>
      </c>
      <c r="AP702" s="409" t="s">
        <v>264</v>
      </c>
      <c r="AQ702" s="409" t="s">
        <v>265</v>
      </c>
      <c r="AS702" s="1221" t="s">
        <v>270</v>
      </c>
      <c r="AT702" s="1222" t="s">
        <v>270</v>
      </c>
      <c r="AU702" s="1223" t="s">
        <v>270</v>
      </c>
    </row>
    <row r="703" spans="1:47" ht="15.6" x14ac:dyDescent="0.3">
      <c r="A703" s="416">
        <f>(B702*10)+1</f>
        <v>631</v>
      </c>
      <c r="B703" s="362" t="str">
        <f>'Event Details'!D$22</f>
        <v>S</v>
      </c>
      <c r="C703" s="381" t="str">
        <f>'Event Details'!E$22</f>
        <v>BRAT</v>
      </c>
      <c r="D703" s="379"/>
      <c r="E703" s="378"/>
      <c r="F703" s="363" t="str">
        <f>VLOOKUP($B702,IF($H702="F",TeamSheetFemale,TeamSheetMale),$Y703-1,FALSE)</f>
        <v>S</v>
      </c>
      <c r="G703" s="380" t="str">
        <f>VLOOKUP($B702,IF($H702="F",TeamSheetFemale,TeamSheetMale),$Y703,FALSE)</f>
        <v>Jessika Cox</v>
      </c>
      <c r="H703" s="363" t="str">
        <f>VLOOKUP($B702,IF($H702="F",TeamSheetFemale,TeamSheetMale),$Y703+1,FALSE)</f>
        <v>SS</v>
      </c>
      <c r="I703" s="364" t="str">
        <f>VLOOKUP($B702,IF($H702="F",TeamSheetFemale,TeamSheetMale),$Y703+2,FALSE)</f>
        <v>Josephine Colclough</v>
      </c>
      <c r="K703" s="393" t="s">
        <v>271</v>
      </c>
      <c r="L703" s="16" t="str">
        <f t="shared" ref="L703:L710" si="624">LEFT(M703,1)</f>
        <v>F</v>
      </c>
      <c r="M703" s="926" t="s">
        <v>142</v>
      </c>
      <c r="N703" s="926">
        <v>42.7</v>
      </c>
      <c r="O703" s="394" t="str">
        <f>IF(LEN($M703)=1,VLOOKUP(LEFT($M703,1),B703:I710,5,FALSE),IF(LEN($M703)=2,VLOOKUP(LEFT($M703,1),B703:I710,7,FALSE),""))</f>
        <v>F</v>
      </c>
      <c r="P703" s="395" t="str">
        <f>IF(LEN($M703)=1,VLOOKUP(LEFT($M703,1),B703:I710,6,FALSE),IF(LEN($M703)=2,VLOOKUP(LEFT($M703,1),B703:I710,8,FALSE),""))</f>
        <v>Rosa Farmer</v>
      </c>
      <c r="Q703" s="406" t="s">
        <v>271</v>
      </c>
      <c r="R703" s="146" t="str">
        <f t="shared" ref="R703:R710" si="625">LEFT(S703,1)</f>
        <v>F</v>
      </c>
      <c r="S703" s="926" t="s">
        <v>576</v>
      </c>
      <c r="T703" s="926">
        <v>42.8</v>
      </c>
      <c r="U703" s="394" t="str">
        <f>IF(LEN($S703)=1,VLOOKUP(LEFT($S703,1),B703:I710,5,FALSE),IF(LEN($S703)=2,VLOOKUP(LEFT($S703,1),B703:I710,7,FALSE),""))</f>
        <v>FF</v>
      </c>
      <c r="V703" s="395" t="str">
        <f>IF(LEN($S703)=1,VLOOKUP(LEFT($S703,1),B703:I710,6,FALSE),IF(LEN($S703)=2,VLOOKUP(LEFT($S703,1),B703:I710,8,FALSE),""))</f>
        <v>Tilly Farmer</v>
      </c>
      <c r="W703" s="417">
        <f>AN$6</f>
        <v>8</v>
      </c>
      <c r="Y703" s="653">
        <v>7</v>
      </c>
      <c r="Z703" s="653" t="str">
        <f t="shared" ref="Z703:Z710" si="626">IF(LEN(M703)&gt;0,VLOOKUP(LEFT(M703,1),ShortName,5,FALSE),0)</f>
        <v>Tam</v>
      </c>
      <c r="AA703" s="138" t="str">
        <f t="shared" ref="AA703:AA710" si="627">IF(LEN(S703)&gt;0,VLOOKUP(LEFT(S703,1),ShortName,5,FALSE),0)</f>
        <v>Tam</v>
      </c>
      <c r="AC703" s="16" t="str">
        <f t="shared" ref="AC703:AD710" si="628">B703</f>
        <v>S</v>
      </c>
      <c r="AD703" s="419" t="str">
        <f t="shared" si="628"/>
        <v>BRAT</v>
      </c>
      <c r="AE703" s="635">
        <f>IF(ISNA(MATCH(AC703,N703:N712,0)),0,VLOOKUP(AC703,N703:S712,5,FALSE))</f>
        <v>0</v>
      </c>
      <c r="AF703" s="635" t="str">
        <f>IF(ISNA(MATCH(AC703,T703:T712,0))," ",VLOOKUP(AC703,T703:Y712,5,FALSE))</f>
        <v xml:space="preserve"> </v>
      </c>
      <c r="AG703" s="635">
        <f>IF(ISNA(MATCH(AC703,L703:L710,0)),0,VLOOKUP(AC703,L703:N710,3,FALSE))</f>
        <v>45.1</v>
      </c>
      <c r="AH703" s="635">
        <f>IF(ISNA(MATCH(AC703,R703:R710,0)),0,VLOOKUP(AC703,R703:T710,3,FALSE))</f>
        <v>48.8</v>
      </c>
      <c r="AI703" s="635" t="str">
        <f>IF(ISNA(MATCH(AC703,L703:L710,0)),0,VLOOKUP(AC703,L703:P710,4,FALSE))</f>
        <v>S</v>
      </c>
      <c r="AJ703" s="635" t="str">
        <f>IF(ISNA(MATCH(AC703,R703:R710,0)),0,VLOOKUP(AC703,R703:U710,4,FALSE))</f>
        <v>SS</v>
      </c>
      <c r="AK703" s="49">
        <f t="shared" ref="AK703:AK710" si="629">IF(AM703=0,0,AN$6-(AM703-1))</f>
        <v>6</v>
      </c>
      <c r="AL703" s="49">
        <f t="shared" ref="AL703:AL710" si="630">IF(AN703=0,0,AN$6-(AN703-1))</f>
        <v>5</v>
      </c>
      <c r="AM703" s="49">
        <f>IF(ISNA(MATCH(AC703,L703:L710,0)),0,VLOOKUP(AC703,L703:W710,AM$1,FALSE))</f>
        <v>3</v>
      </c>
      <c r="AN703" s="138">
        <f>IF(ISNA(MATCH(AC703,R703:R710,0)),0,VLOOKUP(AC703,R703:W710,AN$1,FALSE))</f>
        <v>4</v>
      </c>
      <c r="AP703" s="926"/>
      <c r="AQ703" s="926"/>
      <c r="AS703" s="32">
        <f>IF(LEN(N703)&gt;0,1,0)</f>
        <v>1</v>
      </c>
      <c r="AT703" s="32">
        <f>IF(AND(AS703=1,H702="M"),1,0)</f>
        <v>0</v>
      </c>
      <c r="AU703" s="32">
        <f>IF(AND(AS703=1,H702="F"),1,0)</f>
        <v>1</v>
      </c>
    </row>
    <row r="704" spans="1:47" ht="15.6" x14ac:dyDescent="0.3">
      <c r="A704" s="417">
        <f>A703+1</f>
        <v>632</v>
      </c>
      <c r="B704" s="362" t="str">
        <f>'Event Details'!D$23</f>
        <v>U</v>
      </c>
      <c r="C704" s="381" t="str">
        <f>'Event Details'!E$23</f>
        <v>Kidder &amp; Stourport</v>
      </c>
      <c r="D704" s="379"/>
      <c r="E704" s="378"/>
      <c r="F704" s="363" t="str">
        <f>VLOOKUP($B702,IF($H702="F",TeamSheetFemale,TeamSheetMale),$Y704-1,FALSE)</f>
        <v>U</v>
      </c>
      <c r="G704" s="380" t="str">
        <f>VLOOKUP($B702,IF($H702="F",TeamSheetFemale,TeamSheetMale),$Y704,FALSE)</f>
        <v>Georgia Kiernan</v>
      </c>
      <c r="H704" s="363" t="str">
        <f>VLOOKUP($B702,IF($H702="F",TeamSheetFemale,TeamSheetMale),$Y704+1,FALSE)</f>
        <v>UU</v>
      </c>
      <c r="I704" s="364" t="str">
        <f>VLOOKUP($B702,IF($H702="F",TeamSheetFemale,TeamSheetMale),$Y704+2,FALSE)</f>
        <v>Nicole Bevan</v>
      </c>
      <c r="K704" s="341" t="s">
        <v>272</v>
      </c>
      <c r="L704" s="16" t="str">
        <f t="shared" si="624"/>
        <v>G</v>
      </c>
      <c r="M704" s="927" t="s">
        <v>110</v>
      </c>
      <c r="N704" s="927">
        <v>43.3</v>
      </c>
      <c r="O704" s="354" t="str">
        <f>IF(LEN($M704)=1,VLOOKUP(LEFT($M704,1),B703:I710,5,FALSE),IF(LEN($M704)=2,VLOOKUP(LEFT($M704,1),B703:I710,7,FALSE),""))</f>
        <v>G</v>
      </c>
      <c r="P704" s="410" t="str">
        <f>IF(LEN($M704)=1,VLOOKUP(LEFT($M704,1),B703:I710,6,FALSE),IF(LEN($M704)=2,VLOOKUP(LEFT($M704,1),B703:I710,8,FALSE),""))</f>
        <v>Jessica Spiby</v>
      </c>
      <c r="Q704" s="371" t="s">
        <v>272</v>
      </c>
      <c r="R704" s="146" t="str">
        <f t="shared" si="625"/>
        <v>D</v>
      </c>
      <c r="S704" s="927" t="s">
        <v>513</v>
      </c>
      <c r="T704" s="927">
        <v>44.7</v>
      </c>
      <c r="U704" s="354" t="str">
        <f>IF(LEN($S704)=1,VLOOKUP(LEFT($S704,1),B703:I710,5,FALSE),IF(LEN($S704)=2,VLOOKUP(LEFT($S704,1),B703:I710,7,FALSE),""))</f>
        <v>DD</v>
      </c>
      <c r="V704" s="410" t="str">
        <f>IF(LEN($S704)=1,VLOOKUP(LEFT($S704,1),B703:I710,6,FALSE),IF(LEN($S704)=2,VLOOKUP(LEFT($S704,1),B703:I710,8,FALSE),""))</f>
        <v>Lottie Willis</v>
      </c>
      <c r="W704" s="417">
        <f>W703-1</f>
        <v>7</v>
      </c>
      <c r="Y704" s="16">
        <v>12</v>
      </c>
      <c r="Z704" s="16" t="str">
        <f t="shared" si="626"/>
        <v>Royal</v>
      </c>
      <c r="AA704" s="146" t="str">
        <f t="shared" si="627"/>
        <v>Strat</v>
      </c>
      <c r="AC704" s="16" t="str">
        <f t="shared" si="628"/>
        <v>U</v>
      </c>
      <c r="AD704" s="419" t="str">
        <f t="shared" si="628"/>
        <v>Kidder &amp; Stourport</v>
      </c>
      <c r="AE704" s="419">
        <f>IF(ISNA(MATCH(AC704,N703:N712,0)),0,VLOOKUP(AC704,N703:S712,5,FALSE))</f>
        <v>0</v>
      </c>
      <c r="AF704" s="419" t="str">
        <f>IF(ISNA(MATCH(AC704,T703:T712,0))," ",VLOOKUP(AC704,T703:Y712,5,FALSE))</f>
        <v xml:space="preserve"> </v>
      </c>
      <c r="AG704" s="419">
        <f>IF(ISNA(MATCH(AC704,L703:L710,0)),0,VLOOKUP(AC704,L703:N710,3,FALSE))</f>
        <v>43.4</v>
      </c>
      <c r="AH704" s="419">
        <f>IF(ISNA(MATCH(AC704,R703:R710,0)),0,VLOOKUP(AC704,R703:T710,3,FALSE))</f>
        <v>45.9</v>
      </c>
      <c r="AI704" s="419" t="str">
        <f>IF(ISNA(MATCH(AC704,L703:L710,0)),0,VLOOKUP(AC704,L703:P710,4,FALSE))</f>
        <v>U</v>
      </c>
      <c r="AJ704" s="419" t="str">
        <f>IF(ISNA(MATCH(AC704,R703:R710,0)),0,VLOOKUP(AC704,R703:U710,4,FALSE))</f>
        <v>UU</v>
      </c>
      <c r="AK704" s="32">
        <f t="shared" si="629"/>
        <v>3</v>
      </c>
      <c r="AL704" s="32">
        <f t="shared" si="630"/>
        <v>3</v>
      </c>
      <c r="AM704" s="32">
        <f>IF(ISNA(MATCH(AC704,L703:L710,0)),0,VLOOKUP(AC704,L703:W710,AM$1,FALSE))</f>
        <v>6</v>
      </c>
      <c r="AN704" s="146">
        <f>IF(ISNA(MATCH(AC704,R703:R710,0)),0,VLOOKUP(AC704,R703:W710,AN$1,FALSE))</f>
        <v>6</v>
      </c>
      <c r="AP704" s="927"/>
      <c r="AQ704" s="927"/>
    </row>
    <row r="705" spans="1:47" ht="15.6" x14ac:dyDescent="0.3">
      <c r="A705" s="417">
        <f t="shared" ref="A705:A710" si="631">A704+1</f>
        <v>633</v>
      </c>
      <c r="B705" s="362" t="str">
        <f>'Event Details'!D$24</f>
        <v>G</v>
      </c>
      <c r="C705" s="381" t="str">
        <f>'Event Details'!E$24</f>
        <v>Royal Sutton</v>
      </c>
      <c r="D705" s="379"/>
      <c r="E705" s="378"/>
      <c r="F705" s="363" t="str">
        <f>VLOOKUP($B702,IF($H702="F",TeamSheetFemale,TeamSheetMale),$Y705-1,FALSE)</f>
        <v>G</v>
      </c>
      <c r="G705" s="380" t="str">
        <f>VLOOKUP($B702,IF($H702="F",TeamSheetFemale,TeamSheetMale),$Y705,FALSE)</f>
        <v>Jessica Spiby</v>
      </c>
      <c r="H705" s="363" t="str">
        <f>VLOOKUP($B702,IF($H702="F",TeamSheetFemale,TeamSheetMale),$Y705+1,FALSE)</f>
        <v>GG</v>
      </c>
      <c r="I705" s="364" t="str">
        <f>VLOOKUP($B702,IF($H702="F",TeamSheetFemale,TeamSheetMale),$Y705+2,FALSE)</f>
        <v>Zareen Ulhaq</v>
      </c>
      <c r="K705" s="341" t="s">
        <v>273</v>
      </c>
      <c r="L705" s="16" t="str">
        <f t="shared" si="624"/>
        <v>U</v>
      </c>
      <c r="M705" s="927" t="s">
        <v>130</v>
      </c>
      <c r="N705" s="927">
        <v>43.4</v>
      </c>
      <c r="O705" s="354" t="str">
        <f>IF(LEN($M705)=1,VLOOKUP(LEFT($M705,1),B703:I710,5,FALSE),IF(LEN($M705)=2,VLOOKUP(LEFT($M705,1),B703:I710,7,FALSE),""))</f>
        <v>U</v>
      </c>
      <c r="P705" s="410" t="str">
        <f>IF(LEN($M705)=1,VLOOKUP(LEFT($M705,1),B703:I710,6,FALSE),IF(LEN($M705)=2,VLOOKUP(LEFT($M705,1),B703:I710,8,FALSE),""))</f>
        <v>Georgia Kiernan</v>
      </c>
      <c r="Q705" s="371" t="s">
        <v>273</v>
      </c>
      <c r="R705" s="146" t="str">
        <f t="shared" si="625"/>
        <v>U</v>
      </c>
      <c r="S705" s="927" t="s">
        <v>726</v>
      </c>
      <c r="T705" s="927">
        <v>45.9</v>
      </c>
      <c r="U705" s="354" t="str">
        <f>IF(LEN($S705)=1,VLOOKUP(LEFT($S705,1),B703:I710,5,FALSE),IF(LEN($S705)=2,VLOOKUP(LEFT($S705,1),B703:I710,7,FALSE),""))</f>
        <v>UU</v>
      </c>
      <c r="V705" s="410" t="str">
        <f>IF(LEN($S705)=1,VLOOKUP(LEFT($S705,1),B703:I710,6,FALSE),IF(LEN($S705)=2,VLOOKUP(LEFT($S705,1),B703:I710,8,FALSE),""))</f>
        <v>Nicole Bevan</v>
      </c>
      <c r="W705" s="417">
        <f t="shared" ref="W705:W710" si="632">W704-1</f>
        <v>6</v>
      </c>
      <c r="Y705" s="16">
        <v>17</v>
      </c>
      <c r="Z705" s="16" t="str">
        <f t="shared" si="626"/>
        <v>K&amp;S</v>
      </c>
      <c r="AA705" s="146" t="str">
        <f t="shared" si="627"/>
        <v>K&amp;S</v>
      </c>
      <c r="AC705" s="16" t="str">
        <f t="shared" si="628"/>
        <v>G</v>
      </c>
      <c r="AD705" s="419" t="str">
        <f t="shared" si="628"/>
        <v>Royal Sutton</v>
      </c>
      <c r="AE705" s="419">
        <f>IF(ISNA(MATCH(AC705,N703:N712,0)),0,VLOOKUP(AC705,N703:S712,5,FALSE))</f>
        <v>0</v>
      </c>
      <c r="AF705" s="419" t="str">
        <f>IF(ISNA(MATCH(AC705,T703:T712,0))," ",VLOOKUP(AC705,T703:Y712,5,FALSE))</f>
        <v xml:space="preserve"> </v>
      </c>
      <c r="AG705" s="419">
        <f>IF(ISNA(MATCH(AC705,L703:L710,0)),0,VLOOKUP(AC705,L703:N710,3,FALSE))</f>
        <v>43.3</v>
      </c>
      <c r="AH705" s="419">
        <f>IF(ISNA(MATCH(AC705,R703:R710,0)),0,VLOOKUP(AC705,R703:T710,3,FALSE))</f>
        <v>51.4</v>
      </c>
      <c r="AI705" s="419" t="str">
        <f>IF(ISNA(MATCH(AC705,L703:L710,0)),0,VLOOKUP(AC705,L703:P710,4,FALSE))</f>
        <v>G</v>
      </c>
      <c r="AJ705" s="419" t="str">
        <f>IF(ISNA(MATCH(AC705,R703:R710,0)),0,VLOOKUP(AC705,R703:U710,4,FALSE))</f>
        <v>GG</v>
      </c>
      <c r="AK705" s="32">
        <f t="shared" si="629"/>
        <v>2</v>
      </c>
      <c r="AL705" s="32">
        <f t="shared" si="630"/>
        <v>8</v>
      </c>
      <c r="AM705" s="32">
        <f>IF(ISNA(MATCH(AC705,L703:L710,0)),0,VLOOKUP(AC705,L703:W710,AM$1,FALSE))</f>
        <v>7</v>
      </c>
      <c r="AN705" s="146">
        <f>IF(ISNA(MATCH(AC705,R703:R710,0)),0,VLOOKUP(AC705,R703:W710,AN$1,FALSE))</f>
        <v>1</v>
      </c>
      <c r="AP705" s="927"/>
      <c r="AQ705" s="927"/>
    </row>
    <row r="706" spans="1:47" ht="15.6" x14ac:dyDescent="0.3">
      <c r="A706" s="417">
        <f t="shared" si="631"/>
        <v>634</v>
      </c>
      <c r="B706" s="362" t="str">
        <f>'Event Details'!D$25</f>
        <v>R</v>
      </c>
      <c r="C706" s="381" t="str">
        <f>'Event Details'!E$25</f>
        <v>Rugby &amp; N'hampton</v>
      </c>
      <c r="D706" s="379"/>
      <c r="E706" s="378"/>
      <c r="F706" s="363" t="str">
        <f>VLOOKUP($B702,IF($H702="F",TeamSheetFemale,TeamSheetMale),$Y706-1,FALSE)</f>
        <v>R</v>
      </c>
      <c r="G706" s="380" t="str">
        <f>VLOOKUP($B702,IF($H702="F",TeamSheetFemale,TeamSheetMale),$Y706,FALSE)</f>
        <v>Chloe Pallett</v>
      </c>
      <c r="H706" s="363" t="str">
        <f>VLOOKUP($B702,IF($H702="F",TeamSheetFemale,TeamSheetMale),$Y706+1,FALSE)</f>
        <v>RR</v>
      </c>
      <c r="I706" s="364" t="str">
        <f>VLOOKUP($B702,IF($H702="F",TeamSheetFemale,TeamSheetMale),$Y706+2,FALSE)</f>
        <v>Orla Gibson</v>
      </c>
      <c r="K706" s="341" t="s">
        <v>274</v>
      </c>
      <c r="L706" s="16" t="str">
        <f t="shared" si="624"/>
        <v>R</v>
      </c>
      <c r="M706" s="927" t="s">
        <v>118</v>
      </c>
      <c r="N706" s="927">
        <v>43.7</v>
      </c>
      <c r="O706" s="354" t="str">
        <f>IF(LEN($M706)=1,VLOOKUP(LEFT($M706,1),B703:I710,5,FALSE),IF(LEN($M706)=2,VLOOKUP(LEFT($M706,1),B703:I710,7,FALSE),""))</f>
        <v>R</v>
      </c>
      <c r="P706" s="410" t="str">
        <f>IF(LEN($M706)=1,VLOOKUP(LEFT($M706,1),B703:I710,6,FALSE),IF(LEN($M706)=2,VLOOKUP(LEFT($M706,1),B703:I710,8,FALSE),""))</f>
        <v>Chloe Pallett</v>
      </c>
      <c r="Q706" s="371" t="s">
        <v>274</v>
      </c>
      <c r="R706" s="146" t="str">
        <f t="shared" si="625"/>
        <v>R</v>
      </c>
      <c r="S706" s="927" t="s">
        <v>819</v>
      </c>
      <c r="T706" s="927">
        <v>47.7</v>
      </c>
      <c r="U706" s="354" t="str">
        <f>IF(LEN($S706)=1,VLOOKUP(LEFT($S706,1),B703:I710,5,FALSE),IF(LEN($S706)=2,VLOOKUP(LEFT($S706,1),B703:I710,7,FALSE),""))</f>
        <v>RR</v>
      </c>
      <c r="V706" s="410" t="str">
        <f>IF(LEN($S706)=1,VLOOKUP(LEFT($S706,1),B703:I710,6,FALSE),IF(LEN($S706)=2,VLOOKUP(LEFT($S706,1),B703:I710,8,FALSE),""))</f>
        <v>Orla Gibson</v>
      </c>
      <c r="W706" s="417">
        <f t="shared" si="632"/>
        <v>5</v>
      </c>
      <c r="Y706" s="16">
        <v>22</v>
      </c>
      <c r="Z706" s="16" t="str">
        <f t="shared" si="626"/>
        <v>Rugby</v>
      </c>
      <c r="AA706" s="146" t="str">
        <f t="shared" si="627"/>
        <v>Rugby</v>
      </c>
      <c r="AC706" s="16" t="str">
        <f t="shared" si="628"/>
        <v>R</v>
      </c>
      <c r="AD706" s="419" t="str">
        <f t="shared" si="628"/>
        <v>Rugby &amp; N'hampton</v>
      </c>
      <c r="AE706" s="419">
        <f>IF(ISNA(MATCH(AC706,N703:N712,0)),0,VLOOKUP(AC706,N703:S712,5,FALSE))</f>
        <v>0</v>
      </c>
      <c r="AF706" s="419" t="str">
        <f>IF(ISNA(MATCH(AC706,T703:T712,0))," ",VLOOKUP(AC706,T703:Y712,5,FALSE))</f>
        <v xml:space="preserve"> </v>
      </c>
      <c r="AG706" s="419">
        <f>IF(ISNA(MATCH(AC706,L703:L710,0)),0,VLOOKUP(AC706,L703:N710,3,FALSE))</f>
        <v>43.7</v>
      </c>
      <c r="AH706" s="419">
        <f>IF(ISNA(MATCH(AC706,R703:R710,0)),0,VLOOKUP(AC706,R703:T710,3,FALSE))</f>
        <v>47.7</v>
      </c>
      <c r="AI706" s="419" t="str">
        <f>IF(ISNA(MATCH(AC706,L703:L710,0)),0,VLOOKUP(AC706,L703:P710,4,FALSE))</f>
        <v>R</v>
      </c>
      <c r="AJ706" s="419" t="str">
        <f>IF(ISNA(MATCH(AC706,R703:R710,0)),0,VLOOKUP(AC706,R703:U710,4,FALSE))</f>
        <v>RR</v>
      </c>
      <c r="AK706" s="32">
        <f t="shared" si="629"/>
        <v>4</v>
      </c>
      <c r="AL706" s="32">
        <f t="shared" si="630"/>
        <v>4</v>
      </c>
      <c r="AM706" s="32">
        <f>IF(ISNA(MATCH(AC706,L703:L710,0)),0,VLOOKUP(AC706,L703:W710,AM$1,FALSE))</f>
        <v>5</v>
      </c>
      <c r="AN706" s="146">
        <f>IF(ISNA(MATCH(AC706,R703:R710,0)),0,VLOOKUP(AC706,R703:W710,AN$1,FALSE))</f>
        <v>5</v>
      </c>
      <c r="AP706" s="927"/>
      <c r="AQ706" s="927"/>
    </row>
    <row r="707" spans="1:47" ht="15.6" x14ac:dyDescent="0.3">
      <c r="A707" s="417">
        <f t="shared" si="631"/>
        <v>635</v>
      </c>
      <c r="B707" s="362" t="str">
        <f>'Event Details'!D$26</f>
        <v>M</v>
      </c>
      <c r="C707" s="381" t="str">
        <f>'Event Details'!E$26</f>
        <v>Solihull &amp; S.Heath</v>
      </c>
      <c r="D707" s="379"/>
      <c r="E707" s="378"/>
      <c r="F707" s="363" t="str">
        <f>VLOOKUP($B702,IF($H702="F",TeamSheetFemale,TeamSheetMale),$Y707-1,FALSE)</f>
        <v>M</v>
      </c>
      <c r="G707" s="380" t="str">
        <f>VLOOKUP($B702,IF($H702="F",TeamSheetFemale,TeamSheetMale),$Y707,FALSE)</f>
        <v>Orlagh Murphy</v>
      </c>
      <c r="H707" s="363" t="str">
        <f>VLOOKUP($B702,IF($H702="F",TeamSheetFemale,TeamSheetMale),$Y707+1,FALSE)</f>
        <v>MM</v>
      </c>
      <c r="I707" s="364" t="str">
        <f>VLOOKUP($B702,IF($H702="F",TeamSheetFemale,TeamSheetMale),$Y707+2,FALSE)</f>
        <v>Ava Thompson</v>
      </c>
      <c r="K707" s="341" t="s">
        <v>275</v>
      </c>
      <c r="L707" s="16" t="str">
        <f t="shared" si="624"/>
        <v>Y</v>
      </c>
      <c r="M707" s="927" t="s">
        <v>151</v>
      </c>
      <c r="N707" s="927">
        <v>44.4</v>
      </c>
      <c r="O707" s="354" t="str">
        <f>IF(LEN($M707)=1,VLOOKUP(LEFT($M707,1),B703:I710,5,FALSE),IF(LEN($M707)=2,VLOOKUP(LEFT($M707,1),B703:I710,7,FALSE),""))</f>
        <v>Y</v>
      </c>
      <c r="P707" s="410" t="str">
        <f>IF(LEN($M707)=1,VLOOKUP(LEFT($M707,1),B703:I710,6,FALSE),IF(LEN($M707)=2,VLOOKUP(LEFT($M707,1),B703:I710,8,FALSE),""))</f>
        <v>Felicity Moore</v>
      </c>
      <c r="Q707" s="371" t="s">
        <v>275</v>
      </c>
      <c r="R707" s="146" t="str">
        <f t="shared" si="625"/>
        <v>S</v>
      </c>
      <c r="S707" s="927" t="s">
        <v>818</v>
      </c>
      <c r="T707" s="927">
        <v>48.8</v>
      </c>
      <c r="U707" s="354" t="str">
        <f>IF(LEN($S707)=1,VLOOKUP(LEFT($S707,1),B703:I710,5,FALSE),IF(LEN($S707)=2,VLOOKUP(LEFT($S707,1),B703:I710,7,FALSE),""))</f>
        <v>SS</v>
      </c>
      <c r="V707" s="410" t="str">
        <f>IF(LEN($S707)=1,VLOOKUP(LEFT($S707,1),B703:I710,6,FALSE),IF(LEN($S707)=2,VLOOKUP(LEFT($S707,1),B703:I710,8,FALSE),""))</f>
        <v>Josephine Colclough</v>
      </c>
      <c r="W707" s="417">
        <f t="shared" si="632"/>
        <v>4</v>
      </c>
      <c r="Y707" s="16">
        <v>27</v>
      </c>
      <c r="Z707" s="16" t="str">
        <f t="shared" si="626"/>
        <v>Worc</v>
      </c>
      <c r="AA707" s="146" t="str">
        <f t="shared" si="627"/>
        <v>BRAT</v>
      </c>
      <c r="AC707" s="16" t="str">
        <f t="shared" si="628"/>
        <v>M</v>
      </c>
      <c r="AD707" s="419" t="str">
        <f t="shared" si="628"/>
        <v>Solihull &amp; S.Heath</v>
      </c>
      <c r="AE707" s="419">
        <f>IF(ISNA(MATCH(AC707,N703:N712,0)),0,VLOOKUP(AC707,N703:S712,5,FALSE))</f>
        <v>0</v>
      </c>
      <c r="AF707" s="419" t="str">
        <f>IF(ISNA(MATCH(AC707,T703:T712,0))," ",VLOOKUP(AC707,T703:Y712,5,FALSE))</f>
        <v xml:space="preserve"> </v>
      </c>
      <c r="AG707" s="419">
        <f>IF(ISNA(MATCH(AC707,L703:L710,0)),0,VLOOKUP(AC707,L703:N710,3,FALSE))</f>
        <v>45.4</v>
      </c>
      <c r="AH707" s="419">
        <f>IF(ISNA(MATCH(AC707,R703:R710,0)),0,VLOOKUP(AC707,R703:T710,3,FALSE))</f>
        <v>49</v>
      </c>
      <c r="AI707" s="419" t="str">
        <f>IF(ISNA(MATCH(AC707,L703:L710,0)),0,VLOOKUP(AC707,L703:P710,4,FALSE))</f>
        <v>M</v>
      </c>
      <c r="AJ707" s="419" t="str">
        <f>IF(ISNA(MATCH(AC707,R703:R710,0)),0,VLOOKUP(AC707,R703:U710,4,FALSE))</f>
        <v>MM</v>
      </c>
      <c r="AK707" s="32">
        <f t="shared" si="629"/>
        <v>7</v>
      </c>
      <c r="AL707" s="32">
        <f t="shared" si="630"/>
        <v>6</v>
      </c>
      <c r="AM707" s="32">
        <f>IF(ISNA(MATCH(AC707,L703:L710,0)),0,VLOOKUP(AC707,L703:W710,AM$1,FALSE))</f>
        <v>2</v>
      </c>
      <c r="AN707" s="146">
        <f>IF(ISNA(MATCH(AC707,R703:R710,0)),0,VLOOKUP(AC707,R703:W710,AN$1,FALSE))</f>
        <v>3</v>
      </c>
      <c r="AP707" s="927"/>
      <c r="AQ707" s="927"/>
    </row>
    <row r="708" spans="1:47" ht="15.6" x14ac:dyDescent="0.3">
      <c r="A708" s="417">
        <f t="shared" si="631"/>
        <v>636</v>
      </c>
      <c r="B708" s="362" t="str">
        <f>'Event Details'!D$27</f>
        <v>D</v>
      </c>
      <c r="C708" s="381" t="str">
        <f>'Event Details'!E$27</f>
        <v>Stratford</v>
      </c>
      <c r="D708" s="379"/>
      <c r="E708" s="378"/>
      <c r="F708" s="363" t="str">
        <f>VLOOKUP($B702,IF($H702="F",TeamSheetFemale,TeamSheetMale),$Y708-1,FALSE)</f>
        <v>D</v>
      </c>
      <c r="G708" s="380" t="str">
        <f>VLOOKUP($B702,IF($H702="F",TeamSheetFemale,TeamSheetMale),$Y708,FALSE)</f>
        <v>Lolita Newby Vincent</v>
      </c>
      <c r="H708" s="363" t="str">
        <f>VLOOKUP($B702,IF($H702="F",TeamSheetFemale,TeamSheetMale),$Y708+1,FALSE)</f>
        <v>DD</v>
      </c>
      <c r="I708" s="364" t="str">
        <f>VLOOKUP($B702,IF($H702="F",TeamSheetFemale,TeamSheetMale),$Y708+2,FALSE)</f>
        <v>Lottie Willis</v>
      </c>
      <c r="K708" s="341" t="s">
        <v>276</v>
      </c>
      <c r="L708" s="16" t="str">
        <f t="shared" si="624"/>
        <v>S</v>
      </c>
      <c r="M708" s="927" t="s">
        <v>100</v>
      </c>
      <c r="N708" s="927">
        <v>45.1</v>
      </c>
      <c r="O708" s="354" t="str">
        <f>IF(LEN($M708)=1,VLOOKUP(LEFT($M708,1),B703:I710,5,FALSE),IF(LEN($M708)=2,VLOOKUP(LEFT($M708,1),B703:I710,7,FALSE),""))</f>
        <v>S</v>
      </c>
      <c r="P708" s="410" t="str">
        <f>IF(LEN($M708)=1,VLOOKUP(LEFT($M708,1),B703:I710,6,FALSE),IF(LEN($M708)=2,VLOOKUP(LEFT($M708,1),B703:I710,8,FALSE),""))</f>
        <v>Jessika Cox</v>
      </c>
      <c r="Q708" s="371" t="s">
        <v>276</v>
      </c>
      <c r="R708" s="146" t="str">
        <f t="shared" si="625"/>
        <v>M</v>
      </c>
      <c r="S708" s="927" t="s">
        <v>821</v>
      </c>
      <c r="T708" s="927">
        <v>49</v>
      </c>
      <c r="U708" s="354" t="str">
        <f>IF(LEN($S708)=1,VLOOKUP(LEFT($S708,1),B703:I710,5,FALSE),IF(LEN($S708)=2,VLOOKUP(LEFT($S708,1),B703:I710,7,FALSE),""))</f>
        <v>MM</v>
      </c>
      <c r="V708" s="410" t="str">
        <f>IF(LEN($S708)=1,VLOOKUP(LEFT($S708,1),B703:I710,6,FALSE),IF(LEN($S708)=2,VLOOKUP(LEFT($S708,1),B703:I710,8,FALSE),""))</f>
        <v>Ava Thompson</v>
      </c>
      <c r="W708" s="417">
        <f t="shared" si="632"/>
        <v>3</v>
      </c>
      <c r="Y708" s="16">
        <v>32</v>
      </c>
      <c r="Z708" s="16" t="str">
        <f t="shared" si="626"/>
        <v>BRAT</v>
      </c>
      <c r="AA708" s="146" t="str">
        <f t="shared" si="627"/>
        <v>Sol</v>
      </c>
      <c r="AC708" s="16" t="str">
        <f t="shared" si="628"/>
        <v>D</v>
      </c>
      <c r="AD708" s="419" t="str">
        <f t="shared" si="628"/>
        <v>Stratford</v>
      </c>
      <c r="AE708" s="419">
        <f>IF(ISNA(MATCH(AC708,N703:N712,0)),0,VLOOKUP(AC708,N703:S712,5,FALSE))</f>
        <v>0</v>
      </c>
      <c r="AF708" s="419" t="str">
        <f>IF(ISNA(MATCH(AC708,T703:T712,0))," ",VLOOKUP(AC708,T703:Y712,5,FALSE))</f>
        <v xml:space="preserve"> </v>
      </c>
      <c r="AG708" s="419">
        <f>IF(ISNA(MATCH(AC708,L703:L710,0)),0,VLOOKUP(AC708,L703:N710,3,FALSE))</f>
        <v>0</v>
      </c>
      <c r="AH708" s="419">
        <f>IF(ISNA(MATCH(AC708,R703:R710,0)),0,VLOOKUP(AC708,R703:T710,3,FALSE))</f>
        <v>44.7</v>
      </c>
      <c r="AI708" s="419">
        <f>IF(ISNA(MATCH(AC708,L703:L710,0)),0,VLOOKUP(AC708,L703:P710,4,FALSE))</f>
        <v>0</v>
      </c>
      <c r="AJ708" s="419" t="str">
        <f>IF(ISNA(MATCH(AC708,R703:R710,0)),0,VLOOKUP(AC708,R703:U710,4,FALSE))</f>
        <v>DD</v>
      </c>
      <c r="AK708" s="32">
        <f t="shared" si="629"/>
        <v>0</v>
      </c>
      <c r="AL708" s="32">
        <f t="shared" si="630"/>
        <v>2</v>
      </c>
      <c r="AM708" s="32">
        <f>IF(ISNA(MATCH(AC708,L703:L710,0)),0,VLOOKUP(AC708,L703:W710,AM$1,FALSE))</f>
        <v>0</v>
      </c>
      <c r="AN708" s="146">
        <f>IF(ISNA(MATCH(AC708,R703:R710,0)),0,VLOOKUP(AC708,R703:W710,AN$1,FALSE))</f>
        <v>7</v>
      </c>
      <c r="AP708" s="927"/>
      <c r="AQ708" s="927"/>
    </row>
    <row r="709" spans="1:47" ht="15.6" x14ac:dyDescent="0.3">
      <c r="A709" s="417">
        <f t="shared" si="631"/>
        <v>637</v>
      </c>
      <c r="B709" s="362" t="str">
        <f>'Event Details'!D$28</f>
        <v>F</v>
      </c>
      <c r="C709" s="381" t="str">
        <f>'Event Details'!E$28</f>
        <v>Tamworth</v>
      </c>
      <c r="D709" s="379"/>
      <c r="E709" s="378"/>
      <c r="F709" s="363" t="str">
        <f>VLOOKUP($B702,IF($H702="F",TeamSheetFemale,TeamSheetMale),$Y709-1,FALSE)</f>
        <v>F</v>
      </c>
      <c r="G709" s="380" t="str">
        <f>VLOOKUP($B702,IF($H702="F",TeamSheetFemale,TeamSheetMale),$Y709,FALSE)</f>
        <v>Rosa Farmer</v>
      </c>
      <c r="H709" s="363" t="str">
        <f>VLOOKUP($B702,IF($H702="F",TeamSheetFemale,TeamSheetMale),$Y709+1,FALSE)</f>
        <v>FF</v>
      </c>
      <c r="I709" s="364" t="str">
        <f>VLOOKUP($B702,IF($H702="F",TeamSheetFemale,TeamSheetMale),$Y709+2,FALSE)</f>
        <v>Tilly Farmer</v>
      </c>
      <c r="K709" s="341" t="s">
        <v>277</v>
      </c>
      <c r="L709" s="16" t="str">
        <f t="shared" si="624"/>
        <v>M</v>
      </c>
      <c r="M709" s="931" t="s">
        <v>127</v>
      </c>
      <c r="N709" s="927">
        <v>45.4</v>
      </c>
      <c r="O709" s="354" t="str">
        <f>IF(LEN($M709)=1,VLOOKUP(LEFT($M709,1),B703:I710,5,FALSE),IF(LEN($M709)=2,VLOOKUP(LEFT($M709,1),B703:I710,7,FALSE),""))</f>
        <v>M</v>
      </c>
      <c r="P709" s="410" t="str">
        <f>IF(LEN($M709)=1,VLOOKUP(LEFT($M709,1),B703:I710,6,FALSE),IF(LEN($M709)=2,VLOOKUP(LEFT($M709,1),B703:I710,8,FALSE),""))</f>
        <v>Orlagh Murphy</v>
      </c>
      <c r="Q709" s="371" t="s">
        <v>277</v>
      </c>
      <c r="R709" s="146" t="str">
        <f t="shared" si="625"/>
        <v>Y</v>
      </c>
      <c r="S709" s="931" t="s">
        <v>822</v>
      </c>
      <c r="T709" s="927">
        <v>50</v>
      </c>
      <c r="U709" s="354" t="str">
        <f>IF(LEN($S709)=1,VLOOKUP(LEFT($S709,1),B703:I710,5,FALSE),IF(LEN($S709)=2,VLOOKUP(LEFT($S709,1),B703:I710,7,FALSE),""))</f>
        <v>YY</v>
      </c>
      <c r="V709" s="410" t="str">
        <f>IF(LEN($S709)=1,VLOOKUP(LEFT($S709,1),B703:I710,6,FALSE),IF(LEN($S709)=2,VLOOKUP(LEFT($S709,1),B703:I710,8,FALSE),""))</f>
        <v>Lucy Collins</v>
      </c>
      <c r="W709" s="417">
        <f t="shared" si="632"/>
        <v>2</v>
      </c>
      <c r="Y709" s="16">
        <v>37</v>
      </c>
      <c r="Z709" s="16" t="str">
        <f t="shared" si="626"/>
        <v>Sol</v>
      </c>
      <c r="AA709" s="146" t="str">
        <f t="shared" si="627"/>
        <v>Worc</v>
      </c>
      <c r="AC709" s="16" t="str">
        <f t="shared" si="628"/>
        <v>F</v>
      </c>
      <c r="AD709" s="419" t="str">
        <f t="shared" si="628"/>
        <v>Tamworth</v>
      </c>
      <c r="AE709" s="419">
        <f>IF(ISNA(MATCH(AC709,N701:N710,0)),0,VLOOKUP(AC709,N701:S710,5,FALSE))</f>
        <v>0</v>
      </c>
      <c r="AF709" s="419" t="str">
        <f>IF(ISNA(MATCH(AC709,T701:T710,0))," ",VLOOKUP(AC709,T701:Y710,5,FALSE))</f>
        <v xml:space="preserve"> </v>
      </c>
      <c r="AG709" s="419">
        <f>IF(ISNA(MATCH(AC709,L703:L710,0)),0,VLOOKUP(AC709,L703:N710,3,FALSE))</f>
        <v>42.7</v>
      </c>
      <c r="AH709" s="419">
        <f>IF(ISNA(MATCH(AC709,R703:R710,0)),0,VLOOKUP(AC709,R703:T710,3,FALSE))</f>
        <v>42.8</v>
      </c>
      <c r="AI709" s="419" t="str">
        <f>IF(ISNA(MATCH(AC709,L703:L710,0)),0,VLOOKUP(AC709,L703:P710,4,FALSE))</f>
        <v>F</v>
      </c>
      <c r="AJ709" s="419" t="str">
        <f>IF(ISNA(MATCH(AC709,R703:R710,0)),0,VLOOKUP(AC709,R703:U710,4,FALSE))</f>
        <v>FF</v>
      </c>
      <c r="AK709" s="32">
        <f t="shared" si="629"/>
        <v>1</v>
      </c>
      <c r="AL709" s="32">
        <f t="shared" si="630"/>
        <v>1</v>
      </c>
      <c r="AM709" s="32">
        <f>IF(ISNA(MATCH(AC709,L703:L710,0)),0,VLOOKUP(AC709,L703:W710,AM$1,FALSE))</f>
        <v>8</v>
      </c>
      <c r="AN709" s="146">
        <f>IF(ISNA(MATCH(AC709,R703:R710,0)),0,VLOOKUP(AC709,R703:W710,AN$1,FALSE))</f>
        <v>8</v>
      </c>
      <c r="AP709" s="931"/>
      <c r="AQ709" s="927"/>
    </row>
    <row r="710" spans="1:47" ht="16.2" thickBot="1" x14ac:dyDescent="0.35">
      <c r="A710" s="418">
        <f t="shared" si="631"/>
        <v>638</v>
      </c>
      <c r="B710" s="365" t="str">
        <f>'Event Details'!D$29</f>
        <v>Y</v>
      </c>
      <c r="C710" s="366" t="str">
        <f>'Event Details'!E$29</f>
        <v>Worcester</v>
      </c>
      <c r="D710" s="361"/>
      <c r="E710" s="370"/>
      <c r="F710" s="367" t="str">
        <f>VLOOKUP($B702,IF($H702="F",TeamSheetFemale,TeamSheetMale),$Y710-1,FALSE)</f>
        <v>Y</v>
      </c>
      <c r="G710" s="368" t="str">
        <f>VLOOKUP($B702,IF($H702="F",TeamSheetFemale,TeamSheetMale),$Y710,FALSE)</f>
        <v>Felicity Moore</v>
      </c>
      <c r="H710" s="367" t="str">
        <f>VLOOKUP($B702,IF($H702="F",TeamSheetFemale,TeamSheetMale),$Y710+1,FALSE)</f>
        <v>YY</v>
      </c>
      <c r="I710" s="369" t="str">
        <f>VLOOKUP($B702,IF($H702="F",TeamSheetFemale,TeamSheetMale),$Y710+2,FALSE)</f>
        <v>Lucy Collins</v>
      </c>
      <c r="K710" s="346" t="s">
        <v>278</v>
      </c>
      <c r="L710" s="25" t="str">
        <f t="shared" si="624"/>
        <v/>
      </c>
      <c r="M710" s="928"/>
      <c r="N710" s="932"/>
      <c r="O710" s="374" t="str">
        <f>IF(LEN($M710)=1,VLOOKUP(LEFT($M710,1),B703:I710,5,FALSE),IF(LEN($M710)=2,VLOOKUP(LEFT($M710,1),B703:I710,7,FALSE),""))</f>
        <v/>
      </c>
      <c r="P710" s="411" t="str">
        <f>IF(LEN($M710)=1,VLOOKUP(LEFT($M710,1),B703:I710,6,FALSE),IF(LEN($M710)=2,VLOOKUP(LEFT($M710,1),B703:I710,8,FALSE),""))</f>
        <v/>
      </c>
      <c r="Q710" s="407" t="s">
        <v>278</v>
      </c>
      <c r="R710" s="523" t="str">
        <f t="shared" si="625"/>
        <v>G</v>
      </c>
      <c r="S710" s="928" t="s">
        <v>820</v>
      </c>
      <c r="T710" s="932">
        <v>51.4</v>
      </c>
      <c r="U710" s="374" t="str">
        <f>IF(LEN($S710)=1,VLOOKUP(LEFT($S710,1),B703:I710,5,FALSE),IF(LEN($S710)=2,VLOOKUP(LEFT($S710,1),B703:I710,7,FALSE),""))</f>
        <v>GG</v>
      </c>
      <c r="V710" s="411" t="str">
        <f>IF(LEN($S710)=1,VLOOKUP(LEFT($S710,1),B703:I710,6,FALSE),IF(LEN($S710)=2,VLOOKUP(LEFT($S710,1),B703:I710,8,FALSE),""))</f>
        <v>Zareen Ulhaq</v>
      </c>
      <c r="W710" s="418">
        <f t="shared" si="632"/>
        <v>1</v>
      </c>
      <c r="Y710" s="25">
        <v>42</v>
      </c>
      <c r="Z710" s="25">
        <f t="shared" si="626"/>
        <v>0</v>
      </c>
      <c r="AA710" s="523" t="str">
        <f t="shared" si="627"/>
        <v>Royal</v>
      </c>
      <c r="AC710" s="25" t="str">
        <f t="shared" si="628"/>
        <v>Y</v>
      </c>
      <c r="AD710" s="624" t="str">
        <f t="shared" si="628"/>
        <v>Worcester</v>
      </c>
      <c r="AE710" s="624">
        <f>IF(ISNA(MATCH(AC710,N702:N711,0)),0,VLOOKUP(AC710,N702:S711,5,FALSE))</f>
        <v>0</v>
      </c>
      <c r="AF710" s="624" t="str">
        <f t="shared" ref="AF710" si="633">IF(ISNA(MATCH(AC710,T702:T711,0))," ",VLOOKUP(AC710,T702:Y711,5,FALSE))</f>
        <v xml:space="preserve"> </v>
      </c>
      <c r="AG710" s="624">
        <f>IF(ISNA(MATCH(AC710,L703:L710,0)),0,VLOOKUP(AC710,L703:N710,3,FALSE))</f>
        <v>44.4</v>
      </c>
      <c r="AH710" s="624">
        <f>IF(ISNA(MATCH(AC710,R703:R710,0)),0,VLOOKUP(AC710,R703:T710,3,FALSE))</f>
        <v>50</v>
      </c>
      <c r="AI710" s="624" t="str">
        <f>IF(ISNA(MATCH(AC710,L703:L710,0)),0,VLOOKUP(AC710,L703:P710,4,FALSE))</f>
        <v>Y</v>
      </c>
      <c r="AJ710" s="624" t="str">
        <f>IF(ISNA(MATCH(AC710,R703:R710,0)),0,VLOOKUP(AC710,R703:U710,4,FALSE))</f>
        <v>YY</v>
      </c>
      <c r="AK710" s="116">
        <f t="shared" si="629"/>
        <v>5</v>
      </c>
      <c r="AL710" s="116">
        <f t="shared" si="630"/>
        <v>7</v>
      </c>
      <c r="AM710" s="116">
        <f>IF(ISNA(MATCH(AC710,L703:L710,0)),0,VLOOKUP(AC710,L703:W710,AM$1,FALSE))</f>
        <v>4</v>
      </c>
      <c r="AN710" s="523">
        <f>IF(ISNA(MATCH(AC710,R703:R710,0)),0,VLOOKUP(AC710,R703:W710,AN$1,FALSE))</f>
        <v>2</v>
      </c>
      <c r="AP710" s="928"/>
      <c r="AQ710" s="932"/>
    </row>
    <row r="711" spans="1:47" ht="15" thickBot="1" x14ac:dyDescent="0.35">
      <c r="M711" s="276"/>
      <c r="N711" s="307"/>
      <c r="S711" s="276"/>
      <c r="T711" s="307"/>
      <c r="AP711" s="276"/>
      <c r="AQ711" s="307"/>
    </row>
    <row r="712" spans="1:47" x14ac:dyDescent="0.3">
      <c r="B712" s="400" t="s">
        <v>258</v>
      </c>
      <c r="C712" s="398"/>
      <c r="D712" s="401" t="s">
        <v>165</v>
      </c>
      <c r="E712" s="398"/>
      <c r="F712" s="398"/>
      <c r="G712" s="402" t="s">
        <v>259</v>
      </c>
      <c r="H712" s="403" t="s">
        <v>249</v>
      </c>
      <c r="I712" s="404" t="s">
        <v>168</v>
      </c>
      <c r="K712" s="360"/>
      <c r="L712" s="661"/>
      <c r="M712" s="387" t="s">
        <v>260</v>
      </c>
      <c r="N712" s="387" t="s">
        <v>261</v>
      </c>
      <c r="O712" s="387" t="s">
        <v>262</v>
      </c>
      <c r="P712" s="388" t="s">
        <v>75</v>
      </c>
      <c r="Q712" s="389"/>
      <c r="R712" s="657"/>
      <c r="S712" s="387" t="s">
        <v>260</v>
      </c>
      <c r="T712" s="387" t="s">
        <v>261</v>
      </c>
      <c r="U712" s="387" t="s">
        <v>262</v>
      </c>
      <c r="V712" s="388" t="s">
        <v>75</v>
      </c>
      <c r="W712" s="672" t="s">
        <v>76</v>
      </c>
      <c r="Y712" s="414" t="s">
        <v>263</v>
      </c>
      <c r="Z712" s="656" t="s">
        <v>74</v>
      </c>
      <c r="AA712" s="657" t="s">
        <v>75</v>
      </c>
      <c r="AC712" s="665" t="s">
        <v>71</v>
      </c>
      <c r="AD712" s="657" t="s">
        <v>86</v>
      </c>
      <c r="AE712" s="661" t="s">
        <v>149</v>
      </c>
      <c r="AF712" s="661" t="s">
        <v>94</v>
      </c>
      <c r="AG712" s="661" t="s">
        <v>149</v>
      </c>
      <c r="AH712" s="661" t="s">
        <v>94</v>
      </c>
      <c r="AI712" s="661" t="s">
        <v>149</v>
      </c>
      <c r="AJ712" s="661" t="s">
        <v>94</v>
      </c>
      <c r="AK712" s="1332" t="s">
        <v>149</v>
      </c>
      <c r="AL712" s="661" t="s">
        <v>94</v>
      </c>
      <c r="AM712" s="1406" t="s">
        <v>76</v>
      </c>
      <c r="AN712" s="1407"/>
      <c r="AP712" s="387" t="s">
        <v>260</v>
      </c>
      <c r="AQ712" s="387" t="s">
        <v>261</v>
      </c>
      <c r="AS712" s="1218" t="s">
        <v>165</v>
      </c>
      <c r="AT712" s="1219" t="s">
        <v>79</v>
      </c>
      <c r="AU712" s="1220" t="s">
        <v>80</v>
      </c>
    </row>
    <row r="713" spans="1:47" ht="15" thickBot="1" x14ac:dyDescent="0.35">
      <c r="B713" s="405">
        <v>64</v>
      </c>
      <c r="C713" s="399"/>
      <c r="D713" s="385" t="str">
        <f>VLOOKUP($B713,EventOrder,6,FALSE)</f>
        <v xml:space="preserve">300m  </v>
      </c>
      <c r="E713" s="399"/>
      <c r="F713" s="385"/>
      <c r="G713" s="386" t="str">
        <f>VLOOKUP($B713,EventOrder,4,FALSE)</f>
        <v>U16 Male</v>
      </c>
      <c r="H713" s="396" t="str">
        <f>IF(MID(G713,5,1)="F","F","M")</f>
        <v>M</v>
      </c>
      <c r="I713" s="397">
        <f>VLOOKUP($B713,EventOrder,2,FALSE)</f>
        <v>1.45</v>
      </c>
      <c r="K713" s="377"/>
      <c r="L713" s="667" t="s">
        <v>149</v>
      </c>
      <c r="M713" s="409" t="s">
        <v>264</v>
      </c>
      <c r="N713" s="409" t="s">
        <v>265</v>
      </c>
      <c r="O713" s="390" t="s">
        <v>266</v>
      </c>
      <c r="P713" s="391"/>
      <c r="Q713" s="392"/>
      <c r="R713" s="659" t="s">
        <v>94</v>
      </c>
      <c r="S713" s="409" t="s">
        <v>264</v>
      </c>
      <c r="T713" s="409" t="s">
        <v>265</v>
      </c>
      <c r="U713" s="390" t="s">
        <v>266</v>
      </c>
      <c r="V713" s="391"/>
      <c r="W713" s="671"/>
      <c r="Y713" s="415" t="s">
        <v>167</v>
      </c>
      <c r="Z713" s="658" t="s">
        <v>149</v>
      </c>
      <c r="AA713" s="659" t="s">
        <v>94</v>
      </c>
      <c r="AC713" s="666"/>
      <c r="AD713" s="668"/>
      <c r="AE713" s="768" t="s">
        <v>75</v>
      </c>
      <c r="AF713" s="768" t="s">
        <v>75</v>
      </c>
      <c r="AG713" s="768" t="s">
        <v>267</v>
      </c>
      <c r="AH713" s="768" t="s">
        <v>267</v>
      </c>
      <c r="AI713" s="768" t="s">
        <v>268</v>
      </c>
      <c r="AJ713" s="768" t="s">
        <v>268</v>
      </c>
      <c r="AK713" s="770" t="s">
        <v>269</v>
      </c>
      <c r="AL713" s="768" t="s">
        <v>269</v>
      </c>
      <c r="AM713" s="667" t="s">
        <v>149</v>
      </c>
      <c r="AN713" s="659" t="s">
        <v>94</v>
      </c>
      <c r="AP713" s="409" t="s">
        <v>264</v>
      </c>
      <c r="AQ713" s="409" t="s">
        <v>265</v>
      </c>
      <c r="AS713" s="1221" t="s">
        <v>270</v>
      </c>
      <c r="AT713" s="1222" t="s">
        <v>270</v>
      </c>
      <c r="AU713" s="1223" t="s">
        <v>270</v>
      </c>
    </row>
    <row r="714" spans="1:47" ht="15.6" x14ac:dyDescent="0.3">
      <c r="A714" s="416">
        <f>(B713*10)+1</f>
        <v>641</v>
      </c>
      <c r="B714" s="362" t="str">
        <f>'Event Details'!D$22</f>
        <v>S</v>
      </c>
      <c r="C714" s="381" t="str">
        <f>'Event Details'!E$22</f>
        <v>BRAT</v>
      </c>
      <c r="D714" s="379"/>
      <c r="E714" s="378"/>
      <c r="F714" s="363" t="str">
        <f>VLOOKUP($B713,IF($H713="F",TeamSheetFemale,TeamSheetMale),$Y714-1,FALSE)</f>
        <v>S</v>
      </c>
      <c r="G714" s="380" t="str">
        <f>VLOOKUP($B713,IF($H713="F",TeamSheetFemale,TeamSheetMale),$Y714,FALSE)</f>
        <v>Muayyad Mohamed</v>
      </c>
      <c r="H714" s="363" t="str">
        <f>VLOOKUP($B713,IF($H713="F",TeamSheetFemale,TeamSheetMale),$Y714+1,FALSE)</f>
        <v>SS</v>
      </c>
      <c r="I714" s="364" t="str">
        <f>VLOOKUP($B713,IF($H713="F",TeamSheetFemale,TeamSheetMale),$Y714+2,FALSE)</f>
        <v>Leo Rice</v>
      </c>
      <c r="K714" s="393" t="s">
        <v>271</v>
      </c>
      <c r="L714" s="16" t="str">
        <f t="shared" ref="L714:L721" si="634">LEFT(M714,1)</f>
        <v>G</v>
      </c>
      <c r="M714" s="926" t="s">
        <v>110</v>
      </c>
      <c r="N714" s="926">
        <v>37.4</v>
      </c>
      <c r="O714" s="394" t="str">
        <f>IF(LEN($M714)=1,VLOOKUP(LEFT($M714,1),B714:I721,5,FALSE),IF(LEN($M714)=2,VLOOKUP(LEFT($M714,1),B714:I721,7,FALSE),""))</f>
        <v>G</v>
      </c>
      <c r="P714" s="395" t="str">
        <f>IF(LEN($M714)=1,VLOOKUP(LEFT($M714,1),B714:I721,6,FALSE),IF(LEN($M714)=2,VLOOKUP(LEFT($M714,1),B714:I721,8,FALSE),""))</f>
        <v>Louis Matthews</v>
      </c>
      <c r="Q714" s="393" t="s">
        <v>271</v>
      </c>
      <c r="R714" s="146" t="str">
        <f t="shared" ref="R714:R721" si="635">LEFT(S714,1)</f>
        <v>S</v>
      </c>
      <c r="S714" s="926" t="s">
        <v>818</v>
      </c>
      <c r="T714" s="926">
        <v>40.299999999999997</v>
      </c>
      <c r="U714" s="394" t="str">
        <f>IF(LEN($S714)=1,VLOOKUP(LEFT($S714,1),B714:I721,5,FALSE),IF(LEN($S714)=2,VLOOKUP(LEFT($S714,1),B714:I721,7,FALSE),""))</f>
        <v>SS</v>
      </c>
      <c r="V714" s="395" t="str">
        <f>IF(LEN($S714)=1,VLOOKUP(LEFT($S714,1),B714:I721,6,FALSE),IF(LEN($S714)=2,VLOOKUP(LEFT($S714,1),B714:I721,8,FALSE),""))</f>
        <v>Leo Rice</v>
      </c>
      <c r="W714" s="417">
        <f>AN$6</f>
        <v>8</v>
      </c>
      <c r="Y714" s="416">
        <v>7</v>
      </c>
      <c r="Z714" s="653" t="str">
        <f t="shared" ref="Z714:Z721" si="636">IF(LEN(M714)&gt;0,VLOOKUP(LEFT(M714,1),ShortName,5,FALSE),0)</f>
        <v>Royal</v>
      </c>
      <c r="AA714" s="138" t="str">
        <f t="shared" ref="AA714:AA721" si="637">IF(LEN(S714)&gt;0,VLOOKUP(LEFT(S714,1),ShortName,5,FALSE),0)</f>
        <v>BRAT</v>
      </c>
      <c r="AC714" s="16" t="str">
        <f t="shared" ref="AC714:AD721" si="638">B714</f>
        <v>S</v>
      </c>
      <c r="AD714" s="419" t="str">
        <f t="shared" si="638"/>
        <v>BRAT</v>
      </c>
      <c r="AE714" s="635">
        <f>IF(ISNA(MATCH(AC714,N714:N723,0)),0,VLOOKUP(AC714,N714:S723,5,FALSE))</f>
        <v>0</v>
      </c>
      <c r="AF714" s="635" t="str">
        <f>IF(ISNA(MATCH(AC714,T714:T723,0))," ",VLOOKUP(AC714,T714:Y723,5,FALSE))</f>
        <v xml:space="preserve"> </v>
      </c>
      <c r="AG714" s="635">
        <f>IF(ISNA(MATCH(AC714,L714:L721,0)),0,VLOOKUP(AC714,L714:N721,3,FALSE))</f>
        <v>38.299999999999997</v>
      </c>
      <c r="AH714" s="635">
        <f>IF(ISNA(MATCH(AC714,R714:R721,0)),0,VLOOKUP(AC714,R714:T721,3,FALSE))</f>
        <v>40.299999999999997</v>
      </c>
      <c r="AI714" s="635" t="str">
        <f>IF(ISNA(MATCH(AC714,L714:L721,0)),0,VLOOKUP(AC714,L714:P721,4,FALSE))</f>
        <v>S</v>
      </c>
      <c r="AJ714" s="635" t="str">
        <f>IF(ISNA(MATCH(AC714,R714:R721,0)),0,VLOOKUP(AC714,R714:U721,4,FALSE))</f>
        <v>SS</v>
      </c>
      <c r="AK714" s="49">
        <f t="shared" ref="AK714:AK721" si="639">IF(AM714=0,0,AN$6-(AM714-1))</f>
        <v>2</v>
      </c>
      <c r="AL714" s="49">
        <f t="shared" ref="AL714:AL721" si="640">IF(AN714=0,0,AN$6-(AN714-1))</f>
        <v>1</v>
      </c>
      <c r="AM714" s="49">
        <f>IF(ISNA(MATCH(AC714,L714:L721,0)),0,VLOOKUP(AC714,L714:W721,AM$1,FALSE))</f>
        <v>7</v>
      </c>
      <c r="AN714" s="138">
        <f>IF(ISNA(MATCH(AC714,R714:R721,0)),0,VLOOKUP(AC714,R714:W721,AN$1,FALSE))</f>
        <v>8</v>
      </c>
      <c r="AP714" s="926"/>
      <c r="AQ714" s="926"/>
      <c r="AS714" s="32">
        <f>IF(LEN(N714)&gt;0,1,0)</f>
        <v>1</v>
      </c>
      <c r="AT714" s="32">
        <f>IF(AND(AS714=1,H713="M"),1,0)</f>
        <v>1</v>
      </c>
      <c r="AU714" s="32">
        <f>IF(AND(AS714=1,H713="F"),1,0)</f>
        <v>0</v>
      </c>
    </row>
    <row r="715" spans="1:47" ht="15.6" x14ac:dyDescent="0.3">
      <c r="A715" s="417">
        <f>A714+1</f>
        <v>642</v>
      </c>
      <c r="B715" s="362" t="str">
        <f>'Event Details'!D$23</f>
        <v>U</v>
      </c>
      <c r="C715" s="381" t="str">
        <f>'Event Details'!E$23</f>
        <v>Kidder &amp; Stourport</v>
      </c>
      <c r="D715" s="379"/>
      <c r="E715" s="378"/>
      <c r="F715" s="363">
        <f>VLOOKUP($B713,IF($H713="F",TeamSheetFemale,TeamSheetMale),$Y715-1,FALSE)</f>
        <v>0</v>
      </c>
      <c r="G715" s="380">
        <f>VLOOKUP($B713,IF($H713="F",TeamSheetFemale,TeamSheetMale),$Y715,FALSE)</f>
        <v>0</v>
      </c>
      <c r="H715" s="363">
        <f>VLOOKUP($B713,IF($H713="F",TeamSheetFemale,TeamSheetMale),$Y715+1,FALSE)</f>
        <v>0</v>
      </c>
      <c r="I715" s="364">
        <f>VLOOKUP($B713,IF($H713="F",TeamSheetFemale,TeamSheetMale),$Y715+2,FALSE)</f>
        <v>0</v>
      </c>
      <c r="K715" s="341" t="s">
        <v>272</v>
      </c>
      <c r="L715" s="16" t="str">
        <f t="shared" si="634"/>
        <v>S</v>
      </c>
      <c r="M715" s="927" t="s">
        <v>100</v>
      </c>
      <c r="N715" s="927">
        <v>38.299999999999997</v>
      </c>
      <c r="O715" s="353" t="str">
        <f>IF(LEN($M715)=1,VLOOKUP(LEFT($M715,1),B714:I721,5,FALSE),IF(LEN($M715)=2,VLOOKUP(LEFT($M715,1),B714:I721,7,FALSE),""))</f>
        <v>S</v>
      </c>
      <c r="P715" s="373" t="str">
        <f>IF(LEN($M715)=1,VLOOKUP(LEFT($M715,1),B714:I721,6,FALSE),IF(LEN($M715)=2,VLOOKUP(LEFT($M715,1),B714:I721,8,FALSE),""))</f>
        <v>Muayyad Mohamed</v>
      </c>
      <c r="Q715" s="341" t="s">
        <v>272</v>
      </c>
      <c r="R715" s="146" t="str">
        <f t="shared" si="635"/>
        <v>M</v>
      </c>
      <c r="S715" s="927" t="s">
        <v>821</v>
      </c>
      <c r="T715" s="927">
        <v>41.2</v>
      </c>
      <c r="U715" s="353" t="str">
        <f>IF(LEN($S715)=1,VLOOKUP(LEFT($S715,1),B714:I721,5,FALSE),IF(LEN($S715)=2,VLOOKUP(LEFT($S715,1),B714:I721,7,FALSE),""))</f>
        <v>MM</v>
      </c>
      <c r="V715" s="373" t="str">
        <f>IF(LEN($S715)=1,VLOOKUP(LEFT($S715,1),B714:I721,6,FALSE),IF(LEN($S715)=2,VLOOKUP(LEFT($S715,1),B714:I721,8,FALSE),""))</f>
        <v>Luca Woodley</v>
      </c>
      <c r="W715" s="417">
        <f>W714-1</f>
        <v>7</v>
      </c>
      <c r="Y715" s="417">
        <v>12</v>
      </c>
      <c r="Z715" s="16" t="str">
        <f t="shared" si="636"/>
        <v>BRAT</v>
      </c>
      <c r="AA715" s="146" t="str">
        <f t="shared" si="637"/>
        <v>Sol</v>
      </c>
      <c r="AC715" s="16" t="str">
        <f t="shared" si="638"/>
        <v>U</v>
      </c>
      <c r="AD715" s="419" t="str">
        <f t="shared" si="638"/>
        <v>Kidder &amp; Stourport</v>
      </c>
      <c r="AE715" s="419">
        <f>IF(ISNA(MATCH(AC715,N714:N723,0)),0,VLOOKUP(AC715,N714:S723,5,FALSE))</f>
        <v>0</v>
      </c>
      <c r="AF715" s="419" t="str">
        <f>IF(ISNA(MATCH(AC715,T714:T723,0))," ",VLOOKUP(AC715,T714:Y723,5,FALSE))</f>
        <v xml:space="preserve"> </v>
      </c>
      <c r="AG715" s="419">
        <f>IF(ISNA(MATCH(AC715,L714:L721,0)),0,VLOOKUP(AC715,L714:N721,3,FALSE))</f>
        <v>0</v>
      </c>
      <c r="AH715" s="419">
        <f>IF(ISNA(MATCH(AC715,R714:R721,0)),0,VLOOKUP(AC715,R714:T721,3,FALSE))</f>
        <v>0</v>
      </c>
      <c r="AI715" s="419">
        <f>IF(ISNA(MATCH(AC715,L714:L721,0)),0,VLOOKUP(AC715,L714:P721,4,FALSE))</f>
        <v>0</v>
      </c>
      <c r="AJ715" s="419">
        <f>IF(ISNA(MATCH(AC715,R714:R721,0)),0,VLOOKUP(AC715,R714:U721,4,FALSE))</f>
        <v>0</v>
      </c>
      <c r="AK715" s="32">
        <f t="shared" si="639"/>
        <v>0</v>
      </c>
      <c r="AL715" s="32">
        <f t="shared" si="640"/>
        <v>0</v>
      </c>
      <c r="AM715" s="32">
        <f>IF(ISNA(MATCH(AC715,L714:L721,0)),0,VLOOKUP(AC715,L714:W721,AM$1,FALSE))</f>
        <v>0</v>
      </c>
      <c r="AN715" s="146">
        <f>IF(ISNA(MATCH(AC715,R714:R721,0)),0,VLOOKUP(AC715,R714:W721,AN$1,FALSE))</f>
        <v>0</v>
      </c>
      <c r="AP715" s="927"/>
      <c r="AQ715" s="927"/>
    </row>
    <row r="716" spans="1:47" ht="15.6" x14ac:dyDescent="0.3">
      <c r="A716" s="417">
        <f t="shared" ref="A716:A721" si="641">A715+1</f>
        <v>643</v>
      </c>
      <c r="B716" s="362" t="str">
        <f>'Event Details'!D$24</f>
        <v>G</v>
      </c>
      <c r="C716" s="381" t="str">
        <f>'Event Details'!E$24</f>
        <v>Royal Sutton</v>
      </c>
      <c r="D716" s="379"/>
      <c r="E716" s="378"/>
      <c r="F716" s="363" t="str">
        <f>VLOOKUP($B713,IF($H713="F",TeamSheetFemale,TeamSheetMale),$Y716-1,FALSE)</f>
        <v>G</v>
      </c>
      <c r="G716" s="380" t="str">
        <f>VLOOKUP($B713,IF($H713="F",TeamSheetFemale,TeamSheetMale),$Y716,FALSE)</f>
        <v>Louis Matthews</v>
      </c>
      <c r="H716" s="363" t="str">
        <f>VLOOKUP($B713,IF($H713="F",TeamSheetFemale,TeamSheetMale),$Y716+1,FALSE)</f>
        <v>GG</v>
      </c>
      <c r="I716" s="364" t="str">
        <f>VLOOKUP($B713,IF($H713="F",TeamSheetFemale,TeamSheetMale),$Y716+2,FALSE)</f>
        <v>Nathaniel Chapman</v>
      </c>
      <c r="K716" s="341" t="s">
        <v>273</v>
      </c>
      <c r="L716" s="16" t="str">
        <f t="shared" si="634"/>
        <v>D</v>
      </c>
      <c r="M716" s="927" t="s">
        <v>136</v>
      </c>
      <c r="N716" s="927">
        <v>39.5</v>
      </c>
      <c r="O716" s="353" t="str">
        <f>IF(LEN($M716)=1,VLOOKUP(LEFT($M716,1),B714:I721,5,FALSE),IF(LEN($M716)=2,VLOOKUP(LEFT($M716,1),B714:I721,7,FALSE),""))</f>
        <v>D</v>
      </c>
      <c r="P716" s="373" t="str">
        <f>IF(LEN($M716)=1,VLOOKUP(LEFT($M716,1),B714:I721,6,FALSE),IF(LEN($M716)=2,VLOOKUP(LEFT($M716,1),B714:I721,8,FALSE),""))</f>
        <v>Finn Jackson</v>
      </c>
      <c r="Q716" s="341" t="s">
        <v>273</v>
      </c>
      <c r="R716" s="146" t="str">
        <f t="shared" si="635"/>
        <v>D</v>
      </c>
      <c r="S716" s="927" t="s">
        <v>513</v>
      </c>
      <c r="T716" s="927">
        <v>41.6</v>
      </c>
      <c r="U716" s="353" t="str">
        <f>IF(LEN($S716)=1,VLOOKUP(LEFT($S716,1),B714:I721,5,FALSE),IF(LEN($S716)=2,VLOOKUP(LEFT($S716,1),B714:I721,7,FALSE),""))</f>
        <v>DD</v>
      </c>
      <c r="V716" s="373" t="str">
        <f>IF(LEN($S716)=1,VLOOKUP(LEFT($S716,1),B714:I721,6,FALSE),IF(LEN($S716)=2,VLOOKUP(LEFT($S716,1),B714:I721,8,FALSE),""))</f>
        <v xml:space="preserve">Carter Mckenzie </v>
      </c>
      <c r="W716" s="417">
        <f t="shared" ref="W716:W721" si="642">W715-1</f>
        <v>6</v>
      </c>
      <c r="Y716" s="417">
        <v>17</v>
      </c>
      <c r="Z716" s="16" t="str">
        <f t="shared" si="636"/>
        <v>Strat</v>
      </c>
      <c r="AA716" s="146" t="str">
        <f t="shared" si="637"/>
        <v>Strat</v>
      </c>
      <c r="AB716" s="32"/>
      <c r="AC716" s="16" t="str">
        <f t="shared" si="638"/>
        <v>G</v>
      </c>
      <c r="AD716" s="419" t="str">
        <f t="shared" si="638"/>
        <v>Royal Sutton</v>
      </c>
      <c r="AE716" s="419">
        <f>IF(ISNA(MATCH(AC716,N714:N723,0)),0,VLOOKUP(AC716,N714:S723,5,FALSE))</f>
        <v>0</v>
      </c>
      <c r="AF716" s="419" t="str">
        <f>IF(ISNA(MATCH(AC716,T714:T723,0))," ",VLOOKUP(AC716,T714:Y723,5,FALSE))</f>
        <v xml:space="preserve"> </v>
      </c>
      <c r="AG716" s="419">
        <f>IF(ISNA(MATCH(AC716,L714:L721,0)),0,VLOOKUP(AC716,L714:N721,3,FALSE))</f>
        <v>37.4</v>
      </c>
      <c r="AH716" s="419">
        <f>IF(ISNA(MATCH(AC716,R714:R721,0)),0,VLOOKUP(AC716,R714:T721,3,FALSE))</f>
        <v>42.3</v>
      </c>
      <c r="AI716" s="419" t="str">
        <f>IF(ISNA(MATCH(AC716,L714:L721,0)),0,VLOOKUP(AC716,L714:P721,4,FALSE))</f>
        <v>G</v>
      </c>
      <c r="AJ716" s="419" t="str">
        <f>IF(ISNA(MATCH(AC716,R714:R721,0)),0,VLOOKUP(AC716,R714:U721,4,FALSE))</f>
        <v>GG</v>
      </c>
      <c r="AK716" s="32">
        <f t="shared" si="639"/>
        <v>1</v>
      </c>
      <c r="AL716" s="32">
        <f t="shared" si="640"/>
        <v>4</v>
      </c>
      <c r="AM716" s="32">
        <f>IF(ISNA(MATCH(AC716,L714:L721,0)),0,VLOOKUP(AC716,L714:W721,AM$1,FALSE))</f>
        <v>8</v>
      </c>
      <c r="AN716" s="146">
        <f>IF(ISNA(MATCH(AC716,R714:R721,0)),0,VLOOKUP(AC716,R714:W721,AN$1,FALSE))</f>
        <v>5</v>
      </c>
      <c r="AP716" s="927"/>
      <c r="AQ716" s="927"/>
    </row>
    <row r="717" spans="1:47" ht="15.6" x14ac:dyDescent="0.3">
      <c r="A717" s="417">
        <f t="shared" si="641"/>
        <v>644</v>
      </c>
      <c r="B717" s="362" t="str">
        <f>'Event Details'!D$25</f>
        <v>R</v>
      </c>
      <c r="C717" s="381" t="str">
        <f>'Event Details'!E$25</f>
        <v>Rugby &amp; N'hampton</v>
      </c>
      <c r="D717" s="379"/>
      <c r="E717" s="378"/>
      <c r="F717" s="363" t="str">
        <f>VLOOKUP($B713,IF($H713="F",TeamSheetFemale,TeamSheetMale),$Y717-1,FALSE)</f>
        <v>R</v>
      </c>
      <c r="G717" s="380" t="str">
        <f>VLOOKUP($B713,IF($H713="F",TeamSheetFemale,TeamSheetMale),$Y717,FALSE)</f>
        <v>Oliver Thomas</v>
      </c>
      <c r="H717" s="363">
        <f>VLOOKUP($B713,IF($H713="F",TeamSheetFemale,TeamSheetMale),$Y717+1,FALSE)</f>
        <v>0</v>
      </c>
      <c r="I717" s="364">
        <f>VLOOKUP($B713,IF($H713="F",TeamSheetFemale,TeamSheetMale),$Y717+2,FALSE)</f>
        <v>0</v>
      </c>
      <c r="K717" s="341" t="s">
        <v>274</v>
      </c>
      <c r="L717" s="16" t="str">
        <f t="shared" si="634"/>
        <v>F</v>
      </c>
      <c r="M717" s="927" t="s">
        <v>142</v>
      </c>
      <c r="N717" s="927">
        <v>39.9</v>
      </c>
      <c r="O717" s="353" t="str">
        <f>IF(LEN($M717)=1,VLOOKUP(LEFT($M717,1),B714:I721,5,FALSE),IF(LEN($M717)=2,VLOOKUP(LEFT($M717,1),B714:I721,7,FALSE),""))</f>
        <v>F</v>
      </c>
      <c r="P717" s="373" t="str">
        <f>IF(LEN($M717)=1,VLOOKUP(LEFT($M717,1),B714:I721,6,FALSE),IF(LEN($M717)=2,VLOOKUP(LEFT($M717,1),B714:I721,8,FALSE),""))</f>
        <v>Lucas Lee</v>
      </c>
      <c r="Q717" s="341" t="s">
        <v>274</v>
      </c>
      <c r="R717" s="146" t="str">
        <f t="shared" si="635"/>
        <v>G</v>
      </c>
      <c r="S717" s="927" t="s">
        <v>820</v>
      </c>
      <c r="T717" s="927">
        <v>42.3</v>
      </c>
      <c r="U717" s="353" t="str">
        <f>IF(LEN($S717)=1,VLOOKUP(LEFT($S717,1),B714:I721,5,FALSE),IF(LEN($S717)=2,VLOOKUP(LEFT($S717,1),B714:I721,7,FALSE),""))</f>
        <v>GG</v>
      </c>
      <c r="V717" s="373" t="str">
        <f>IF(LEN($S717)=1,VLOOKUP(LEFT($S717,1),B714:I721,6,FALSE),IF(LEN($S717)=2,VLOOKUP(LEFT($S717,1),B714:I721,8,FALSE),""))</f>
        <v>Nathaniel Chapman</v>
      </c>
      <c r="W717" s="417">
        <f t="shared" si="642"/>
        <v>5</v>
      </c>
      <c r="Y717" s="417">
        <v>22</v>
      </c>
      <c r="Z717" s="16" t="str">
        <f t="shared" si="636"/>
        <v>Tam</v>
      </c>
      <c r="AA717" s="146" t="str">
        <f t="shared" si="637"/>
        <v>Royal</v>
      </c>
      <c r="AB717" s="32"/>
      <c r="AC717" s="16" t="str">
        <f t="shared" si="638"/>
        <v>R</v>
      </c>
      <c r="AD717" s="419" t="str">
        <f t="shared" si="638"/>
        <v>Rugby &amp; N'hampton</v>
      </c>
      <c r="AE717" s="419">
        <f>IF(ISNA(MATCH(AC717,N714:N723,0)),0,VLOOKUP(AC717,N714:S723,5,FALSE))</f>
        <v>0</v>
      </c>
      <c r="AF717" s="419" t="str">
        <f>IF(ISNA(MATCH(AC717,T714:T723,0))," ",VLOOKUP(AC717,T714:Y723,5,FALSE))</f>
        <v xml:space="preserve"> </v>
      </c>
      <c r="AG717" s="419">
        <f>IF(ISNA(MATCH(AC717,L714:L721,0)),0,VLOOKUP(AC717,L714:N721,3,FALSE))</f>
        <v>40.5</v>
      </c>
      <c r="AH717" s="419">
        <f>IF(ISNA(MATCH(AC717,R714:R721,0)),0,VLOOKUP(AC717,R714:T721,3,FALSE))</f>
        <v>0</v>
      </c>
      <c r="AI717" s="419" t="str">
        <f>IF(ISNA(MATCH(AC717,L714:L721,0)),0,VLOOKUP(AC717,L714:P721,4,FALSE))</f>
        <v>R</v>
      </c>
      <c r="AJ717" s="419">
        <f>IF(ISNA(MATCH(AC717,R714:R721,0)),0,VLOOKUP(AC717,R714:U721,4,FALSE))</f>
        <v>0</v>
      </c>
      <c r="AK717" s="32">
        <f t="shared" si="639"/>
        <v>6</v>
      </c>
      <c r="AL717" s="32">
        <f t="shared" si="640"/>
        <v>0</v>
      </c>
      <c r="AM717" s="32">
        <f>IF(ISNA(MATCH(AC717,L714:L721,0)),0,VLOOKUP(AC717,L714:W721,AM$1,FALSE))</f>
        <v>3</v>
      </c>
      <c r="AN717" s="146">
        <f>IF(ISNA(MATCH(AC717,R714:R721,0)),0,VLOOKUP(AC717,R714:W721,AN$1,FALSE))</f>
        <v>0</v>
      </c>
      <c r="AP717" s="927"/>
      <c r="AQ717" s="927"/>
    </row>
    <row r="718" spans="1:47" ht="15.6" x14ac:dyDescent="0.3">
      <c r="A718" s="417">
        <f t="shared" si="641"/>
        <v>645</v>
      </c>
      <c r="B718" s="362" t="str">
        <f>'Event Details'!D$26</f>
        <v>M</v>
      </c>
      <c r="C718" s="381" t="str">
        <f>'Event Details'!E$26</f>
        <v>Solihull &amp; S.Heath</v>
      </c>
      <c r="D718" s="379"/>
      <c r="E718" s="378"/>
      <c r="F718" s="363" t="str">
        <f>VLOOKUP($B713,IF($H713="F",TeamSheetFemale,TeamSheetMale),$Y718-1,FALSE)</f>
        <v>M</v>
      </c>
      <c r="G718" s="380" t="str">
        <f>VLOOKUP($B713,IF($H713="F",TeamSheetFemale,TeamSheetMale),$Y718,FALSE)</f>
        <v>Zakariya Rush</v>
      </c>
      <c r="H718" s="363" t="str">
        <f>VLOOKUP($B713,IF($H713="F",TeamSheetFemale,TeamSheetMale),$Y718+1,FALSE)</f>
        <v>MM</v>
      </c>
      <c r="I718" s="364" t="str">
        <f>VLOOKUP($B713,IF($H713="F",TeamSheetFemale,TeamSheetMale),$Y718+2,FALSE)</f>
        <v>Luca Woodley</v>
      </c>
      <c r="K718" s="341" t="s">
        <v>275</v>
      </c>
      <c r="L718" s="16" t="str">
        <f t="shared" si="634"/>
        <v>M</v>
      </c>
      <c r="M718" s="927" t="s">
        <v>127</v>
      </c>
      <c r="N718" s="927">
        <v>40.200000000000003</v>
      </c>
      <c r="O718" s="353" t="str">
        <f>IF(LEN($M718)=1,VLOOKUP(LEFT($M718,1),B714:I721,5,FALSE),IF(LEN($M718)=2,VLOOKUP(LEFT($M718,1),B714:I721,7,FALSE),""))</f>
        <v>M</v>
      </c>
      <c r="P718" s="373" t="str">
        <f>IF(LEN($M718)=1,VLOOKUP(LEFT($M718,1),B714:I721,6,FALSE),IF(LEN($M718)=2,VLOOKUP(LEFT($M718,1),B714:I721,8,FALSE),""))</f>
        <v>Zakariya Rush</v>
      </c>
      <c r="Q718" s="341" t="s">
        <v>275</v>
      </c>
      <c r="R718" s="146" t="str">
        <f t="shared" si="635"/>
        <v>Y</v>
      </c>
      <c r="S718" s="927" t="s">
        <v>822</v>
      </c>
      <c r="T718" s="927">
        <v>43.1</v>
      </c>
      <c r="U718" s="353" t="str">
        <f>IF(LEN($S718)=1,VLOOKUP(LEFT($S718,1),B714:I721,5,FALSE),IF(LEN($S718)=2,VLOOKUP(LEFT($S718,1),B714:I721,7,FALSE),""))</f>
        <v>YY</v>
      </c>
      <c r="V718" s="373" t="str">
        <f>IF(LEN($S718)=1,VLOOKUP(LEFT($S718,1),B714:I721,6,FALSE),IF(LEN($S718)=2,VLOOKUP(LEFT($S718,1),B714:I721,8,FALSE),""))</f>
        <v>Huw Mabey</v>
      </c>
      <c r="W718" s="417">
        <f t="shared" si="642"/>
        <v>4</v>
      </c>
      <c r="Y718" s="417">
        <v>27</v>
      </c>
      <c r="Z718" s="16" t="str">
        <f t="shared" si="636"/>
        <v>Sol</v>
      </c>
      <c r="AA718" s="146" t="str">
        <f t="shared" si="637"/>
        <v>Worc</v>
      </c>
      <c r="AB718" s="32"/>
      <c r="AC718" s="16" t="str">
        <f t="shared" si="638"/>
        <v>M</v>
      </c>
      <c r="AD718" s="419" t="str">
        <f t="shared" si="638"/>
        <v>Solihull &amp; S.Heath</v>
      </c>
      <c r="AE718" s="419">
        <f>IF(ISNA(MATCH(AC718,N714:N723,0)),0,VLOOKUP(AC718,N714:S723,5,FALSE))</f>
        <v>0</v>
      </c>
      <c r="AF718" s="419" t="str">
        <f>IF(ISNA(MATCH(AC718,T714:T723,0))," ",VLOOKUP(AC718,T714:Y723,5,FALSE))</f>
        <v xml:space="preserve"> </v>
      </c>
      <c r="AG718" s="419">
        <f>IF(ISNA(MATCH(AC718,L714:L721,0)),0,VLOOKUP(AC718,L714:N721,3,FALSE))</f>
        <v>40.200000000000003</v>
      </c>
      <c r="AH718" s="419">
        <f>IF(ISNA(MATCH(AC718,R714:R721,0)),0,VLOOKUP(AC718,R714:T721,3,FALSE))</f>
        <v>41.2</v>
      </c>
      <c r="AI718" s="419" t="str">
        <f>IF(ISNA(MATCH(AC718,L714:L721,0)),0,VLOOKUP(AC718,L714:P721,4,FALSE))</f>
        <v>M</v>
      </c>
      <c r="AJ718" s="419" t="str">
        <f>IF(ISNA(MATCH(AC718,R714:R721,0)),0,VLOOKUP(AC718,R714:U721,4,FALSE))</f>
        <v>MM</v>
      </c>
      <c r="AK718" s="32">
        <f t="shared" si="639"/>
        <v>5</v>
      </c>
      <c r="AL718" s="32">
        <f t="shared" si="640"/>
        <v>2</v>
      </c>
      <c r="AM718" s="32">
        <f>IF(ISNA(MATCH(AC718,L714:L721,0)),0,VLOOKUP(AC718,L714:W721,AM$1,FALSE))</f>
        <v>4</v>
      </c>
      <c r="AN718" s="146">
        <f>IF(ISNA(MATCH(AC718,R714:R721,0)),0,VLOOKUP(AC718,R714:W721,AN$1,FALSE))</f>
        <v>7</v>
      </c>
      <c r="AP718" s="927"/>
      <c r="AQ718" s="927"/>
    </row>
    <row r="719" spans="1:47" ht="15.6" x14ac:dyDescent="0.3">
      <c r="A719" s="417">
        <f t="shared" si="641"/>
        <v>646</v>
      </c>
      <c r="B719" s="362" t="str">
        <f>'Event Details'!D$27</f>
        <v>D</v>
      </c>
      <c r="C719" s="381" t="str">
        <f>'Event Details'!E$27</f>
        <v>Stratford</v>
      </c>
      <c r="D719" s="379"/>
      <c r="E719" s="378"/>
      <c r="F719" s="363" t="str">
        <f>VLOOKUP($B713,IF($H713="F",TeamSheetFemale,TeamSheetMale),$Y719-1,FALSE)</f>
        <v>D</v>
      </c>
      <c r="G719" s="380" t="str">
        <f>VLOOKUP($B713,IF($H713="F",TeamSheetFemale,TeamSheetMale),$Y719,FALSE)</f>
        <v>Finn Jackson</v>
      </c>
      <c r="H719" s="363" t="str">
        <f>VLOOKUP($B713,IF($H713="F",TeamSheetFemale,TeamSheetMale),$Y719+1,FALSE)</f>
        <v>DD</v>
      </c>
      <c r="I719" s="364" t="str">
        <f>VLOOKUP($B713,IF($H713="F",TeamSheetFemale,TeamSheetMale),$Y719+2,FALSE)</f>
        <v xml:space="preserve">Carter Mckenzie </v>
      </c>
      <c r="K719" s="341" t="s">
        <v>276</v>
      </c>
      <c r="L719" s="16" t="str">
        <f t="shared" si="634"/>
        <v>R</v>
      </c>
      <c r="M719" s="927" t="s">
        <v>118</v>
      </c>
      <c r="N719" s="927">
        <v>40.5</v>
      </c>
      <c r="O719" s="353" t="str">
        <f>IF(LEN($M719)=1,VLOOKUP(LEFT($M719,1),B714:I721,5,FALSE),IF(LEN($M719)=2,VLOOKUP(LEFT($M719,1),B714:I721,7,FALSE),""))</f>
        <v>R</v>
      </c>
      <c r="P719" s="373" t="str">
        <f>IF(LEN($M719)=1,VLOOKUP(LEFT($M719,1),B714:I721,6,FALSE),IF(LEN($M719)=2,VLOOKUP(LEFT($M719,1),B714:I721,8,FALSE),""))</f>
        <v>Oliver Thomas</v>
      </c>
      <c r="Q719" s="341" t="s">
        <v>276</v>
      </c>
      <c r="R719" s="146" t="str">
        <f t="shared" si="635"/>
        <v>F</v>
      </c>
      <c r="S719" s="927" t="s">
        <v>576</v>
      </c>
      <c r="T719" s="927">
        <v>43.2</v>
      </c>
      <c r="U719" s="353" t="str">
        <f>IF(LEN($S719)=1,VLOOKUP(LEFT($S719,1),B714:I721,5,FALSE),IF(LEN($S719)=2,VLOOKUP(LEFT($S719,1),B714:I721,7,FALSE),""))</f>
        <v>FF</v>
      </c>
      <c r="V719" s="373" t="str">
        <f>IF(LEN($S719)=1,VLOOKUP(LEFT($S719,1),B714:I721,6,FALSE),IF(LEN($S719)=2,VLOOKUP(LEFT($S719,1),B714:I721,8,FALSE),""))</f>
        <v>Alex Hall</v>
      </c>
      <c r="W719" s="417">
        <f t="shared" si="642"/>
        <v>3</v>
      </c>
      <c r="Y719" s="417">
        <v>32</v>
      </c>
      <c r="Z719" s="16" t="str">
        <f t="shared" si="636"/>
        <v>Rugby</v>
      </c>
      <c r="AA719" s="146" t="str">
        <f t="shared" si="637"/>
        <v>Tam</v>
      </c>
      <c r="AB719" s="32"/>
      <c r="AC719" s="16" t="str">
        <f t="shared" si="638"/>
        <v>D</v>
      </c>
      <c r="AD719" s="419" t="str">
        <f t="shared" si="638"/>
        <v>Stratford</v>
      </c>
      <c r="AE719" s="419">
        <f>IF(ISNA(MATCH(AC719,N714:N723,0)),0,VLOOKUP(AC719,N714:S723,5,FALSE))</f>
        <v>0</v>
      </c>
      <c r="AF719" s="419" t="str">
        <f>IF(ISNA(MATCH(AC719,T714:T723,0))," ",VLOOKUP(AC719,T714:Y723,5,FALSE))</f>
        <v xml:space="preserve"> </v>
      </c>
      <c r="AG719" s="419">
        <f>IF(ISNA(MATCH(AC719,L714:L721,0)),0,VLOOKUP(AC719,L714:N721,3,FALSE))</f>
        <v>39.5</v>
      </c>
      <c r="AH719" s="419">
        <f>IF(ISNA(MATCH(AC719,R714:R721,0)),0,VLOOKUP(AC719,R714:T721,3,FALSE))</f>
        <v>41.6</v>
      </c>
      <c r="AI719" s="419" t="str">
        <f>IF(ISNA(MATCH(AC719,L714:L721,0)),0,VLOOKUP(AC719,L714:P721,4,FALSE))</f>
        <v>D</v>
      </c>
      <c r="AJ719" s="419" t="str">
        <f>IF(ISNA(MATCH(AC719,R714:R721,0)),0,VLOOKUP(AC719,R714:U721,4,FALSE))</f>
        <v>DD</v>
      </c>
      <c r="AK719" s="32">
        <f t="shared" si="639"/>
        <v>3</v>
      </c>
      <c r="AL719" s="32">
        <f t="shared" si="640"/>
        <v>3</v>
      </c>
      <c r="AM719" s="32">
        <f>IF(ISNA(MATCH(AC719,L714:L721,0)),0,VLOOKUP(AC719,L714:W721,AM$1,FALSE))</f>
        <v>6</v>
      </c>
      <c r="AN719" s="146">
        <f>IF(ISNA(MATCH(AC719,R714:R721,0)),0,VLOOKUP(AC719,R714:W721,AN$1,FALSE))</f>
        <v>6</v>
      </c>
      <c r="AP719" s="927"/>
      <c r="AQ719" s="927"/>
    </row>
    <row r="720" spans="1:47" ht="15.6" x14ac:dyDescent="0.3">
      <c r="A720" s="417">
        <f t="shared" si="641"/>
        <v>647</v>
      </c>
      <c r="B720" s="362" t="str">
        <f>'Event Details'!D$28</f>
        <v>F</v>
      </c>
      <c r="C720" s="381" t="str">
        <f>'Event Details'!E$28</f>
        <v>Tamworth</v>
      </c>
      <c r="D720" s="379"/>
      <c r="E720" s="378"/>
      <c r="F720" s="363" t="str">
        <f>VLOOKUP($B713,IF($H713="F",TeamSheetFemale,TeamSheetMale),$Y720-1,FALSE)</f>
        <v>F</v>
      </c>
      <c r="G720" s="380" t="str">
        <f>VLOOKUP($B713,IF($H713="F",TeamSheetFemale,TeamSheetMale),$Y720,FALSE)</f>
        <v>Lucas Lee</v>
      </c>
      <c r="H720" s="363" t="str">
        <f>VLOOKUP($B713,IF($H713="F",TeamSheetFemale,TeamSheetMale),$Y720+1,FALSE)</f>
        <v>FF</v>
      </c>
      <c r="I720" s="364" t="str">
        <f>VLOOKUP($B713,IF($H713="F",TeamSheetFemale,TeamSheetMale),$Y720+2,FALSE)</f>
        <v>Alex Hall</v>
      </c>
      <c r="K720" s="341" t="s">
        <v>277</v>
      </c>
      <c r="L720" s="16" t="str">
        <f t="shared" si="634"/>
        <v>Y</v>
      </c>
      <c r="M720" s="927" t="s">
        <v>151</v>
      </c>
      <c r="N720" s="927">
        <v>40.9</v>
      </c>
      <c r="O720" s="353" t="str">
        <f>IF(LEN($M720)=1,VLOOKUP(LEFT($M720,1),B714:I721,5,FALSE),IF(LEN($M720)=2,VLOOKUP(LEFT($M720,1),B714:I721,7,FALSE),""))</f>
        <v>Y</v>
      </c>
      <c r="P720" s="373" t="str">
        <f>IF(LEN($M720)=1,VLOOKUP(LEFT($M720,1),B714:I721,6,FALSE),IF(LEN($M720)=2,VLOOKUP(LEFT($M720,1),B714:I721,8,FALSE),""))</f>
        <v>Oscar Farmer</v>
      </c>
      <c r="Q720" s="341" t="s">
        <v>277</v>
      </c>
      <c r="R720" s="146" t="str">
        <f t="shared" si="635"/>
        <v/>
      </c>
      <c r="S720" s="927"/>
      <c r="T720" s="927"/>
      <c r="U720" s="353" t="str">
        <f>IF(LEN($S720)=1,VLOOKUP(LEFT($S720,1),B714:I721,5,FALSE),IF(LEN($S720)=2,VLOOKUP(LEFT($S720,1),B714:I721,7,FALSE),""))</f>
        <v/>
      </c>
      <c r="V720" s="373" t="str">
        <f>IF(LEN($S720)=1,VLOOKUP(LEFT($S720,1),B714:I721,6,FALSE),IF(LEN($S720)=2,VLOOKUP(LEFT($S720,1),B714:I721,8,FALSE),""))</f>
        <v/>
      </c>
      <c r="W720" s="417">
        <f t="shared" si="642"/>
        <v>2</v>
      </c>
      <c r="Y720" s="417">
        <v>37</v>
      </c>
      <c r="Z720" s="16" t="str">
        <f t="shared" si="636"/>
        <v>Worc</v>
      </c>
      <c r="AA720" s="146">
        <f t="shared" si="637"/>
        <v>0</v>
      </c>
      <c r="AB720" s="32"/>
      <c r="AC720" s="16" t="str">
        <f t="shared" si="638"/>
        <v>F</v>
      </c>
      <c r="AD720" s="419" t="str">
        <f t="shared" si="638"/>
        <v>Tamworth</v>
      </c>
      <c r="AE720" s="419">
        <f>IF(ISNA(MATCH(AC720,N712:N721,0)),0,VLOOKUP(AC720,N712:S721,5,FALSE))</f>
        <v>0</v>
      </c>
      <c r="AF720" s="419" t="str">
        <f>IF(ISNA(MATCH(AC720,T712:T721,0))," ",VLOOKUP(AC720,T712:Y721,5,FALSE))</f>
        <v xml:space="preserve"> </v>
      </c>
      <c r="AG720" s="419">
        <f>IF(ISNA(MATCH(AC720,L714:L721,0)),0,VLOOKUP(AC720,L714:N721,3,FALSE))</f>
        <v>39.9</v>
      </c>
      <c r="AH720" s="419">
        <f>IF(ISNA(MATCH(AC720,R714:R721,0)),0,VLOOKUP(AC720,R714:T721,3,FALSE))</f>
        <v>43.2</v>
      </c>
      <c r="AI720" s="419" t="str">
        <f>IF(ISNA(MATCH(AC720,L714:L721,0)),0,VLOOKUP(AC720,L714:P721,4,FALSE))</f>
        <v>F</v>
      </c>
      <c r="AJ720" s="419" t="str">
        <f>IF(ISNA(MATCH(AC720,R714:R721,0)),0,VLOOKUP(AC720,R714:U721,4,FALSE))</f>
        <v>FF</v>
      </c>
      <c r="AK720" s="32">
        <f t="shared" si="639"/>
        <v>4</v>
      </c>
      <c r="AL720" s="32">
        <f t="shared" si="640"/>
        <v>6</v>
      </c>
      <c r="AM720" s="32">
        <f>IF(ISNA(MATCH(AC720,L714:L721,0)),0,VLOOKUP(AC720,L714:W721,AM$1,FALSE))</f>
        <v>5</v>
      </c>
      <c r="AN720" s="146">
        <f>IF(ISNA(MATCH(AC720,R714:R721,0)),0,VLOOKUP(AC720,R714:W721,AN$1,FALSE))</f>
        <v>3</v>
      </c>
      <c r="AP720" s="927"/>
      <c r="AQ720" s="927"/>
    </row>
    <row r="721" spans="1:47" ht="16.2" thickBot="1" x14ac:dyDescent="0.35">
      <c r="A721" s="418">
        <f t="shared" si="641"/>
        <v>648</v>
      </c>
      <c r="B721" s="365" t="str">
        <f>'Event Details'!D$29</f>
        <v>Y</v>
      </c>
      <c r="C721" s="366" t="str">
        <f>'Event Details'!E$29</f>
        <v>Worcester</v>
      </c>
      <c r="D721" s="361"/>
      <c r="E721" s="370"/>
      <c r="F721" s="367" t="str">
        <f>VLOOKUP($B713,IF($H713="F",TeamSheetFemale,TeamSheetMale),$Y721-1,FALSE)</f>
        <v>Y</v>
      </c>
      <c r="G721" s="368" t="str">
        <f>VLOOKUP($B713,IF($H713="F",TeamSheetFemale,TeamSheetMale),$Y721,FALSE)</f>
        <v>Oscar Farmer</v>
      </c>
      <c r="H721" s="367" t="str">
        <f>VLOOKUP($B713,IF($H713="F",TeamSheetFemale,TeamSheetMale),$Y721+1,FALSE)</f>
        <v>YY</v>
      </c>
      <c r="I721" s="369" t="str">
        <f>VLOOKUP($B713,IF($H713="F",TeamSheetFemale,TeamSheetMale),$Y721+2,FALSE)</f>
        <v>Huw Mabey</v>
      </c>
      <c r="K721" s="346" t="s">
        <v>278</v>
      </c>
      <c r="L721" s="25" t="str">
        <f t="shared" si="634"/>
        <v/>
      </c>
      <c r="M721" s="932"/>
      <c r="N721" s="932"/>
      <c r="O721" s="375" t="str">
        <f>IF(LEN($M721)=1,VLOOKUP(LEFT($M721,1),B714:I721,5,FALSE),IF(LEN($M721)=2,VLOOKUP(LEFT($M721,1),B714:I721,7,FALSE),""))</f>
        <v/>
      </c>
      <c r="P721" s="376" t="str">
        <f>IF(LEN($M721)=1,VLOOKUP(LEFT($M721,1),B714:I721,6,FALSE),IF(LEN($M721)=2,VLOOKUP(LEFT($M721,1),B714:I721,8,FALSE),""))</f>
        <v/>
      </c>
      <c r="Q721" s="346" t="s">
        <v>278</v>
      </c>
      <c r="R721" s="523" t="str">
        <f t="shared" si="635"/>
        <v/>
      </c>
      <c r="S721" s="932"/>
      <c r="T721" s="932"/>
      <c r="U721" s="375" t="str">
        <f>IF(LEN($S721)=1,VLOOKUP(LEFT($S721,1),B714:I721,5,FALSE),IF(LEN($S721)=2,VLOOKUP(LEFT($S721,1),B714:I721,7,FALSE),""))</f>
        <v/>
      </c>
      <c r="V721" s="376" t="str">
        <f>IF(LEN($S721)=1,VLOOKUP(LEFT($S721,1),B714:I721,6,FALSE),IF(LEN($S721)=2,VLOOKUP(LEFT($S721,1),B714:I721,8,FALSE),""))</f>
        <v/>
      </c>
      <c r="W721" s="418">
        <f t="shared" si="642"/>
        <v>1</v>
      </c>
      <c r="Y721" s="418">
        <v>42</v>
      </c>
      <c r="Z721" s="25">
        <f t="shared" si="636"/>
        <v>0</v>
      </c>
      <c r="AA721" s="523">
        <f t="shared" si="637"/>
        <v>0</v>
      </c>
      <c r="AB721" s="32"/>
      <c r="AC721" s="25" t="str">
        <f t="shared" si="638"/>
        <v>Y</v>
      </c>
      <c r="AD721" s="624" t="str">
        <f t="shared" si="638"/>
        <v>Worcester</v>
      </c>
      <c r="AE721" s="624">
        <f>IF(ISNA(MATCH(AC721,N713:N722,0)),0,VLOOKUP(AC721,N713:S722,5,FALSE))</f>
        <v>0</v>
      </c>
      <c r="AF721" s="624" t="str">
        <f t="shared" ref="AF721" si="643">IF(ISNA(MATCH(AC721,T713:T722,0))," ",VLOOKUP(AC721,T713:Y722,5,FALSE))</f>
        <v xml:space="preserve"> </v>
      </c>
      <c r="AG721" s="624">
        <f>IF(ISNA(MATCH(AC721,L714:L721,0)),0,VLOOKUP(AC721,L714:N721,3,FALSE))</f>
        <v>40.9</v>
      </c>
      <c r="AH721" s="624">
        <f>IF(ISNA(MATCH(AC721,R714:R721,0)),0,VLOOKUP(AC721,R714:T721,3,FALSE))</f>
        <v>43.1</v>
      </c>
      <c r="AI721" s="624" t="str">
        <f>IF(ISNA(MATCH(AC721,L714:L721,0)),0,VLOOKUP(AC721,L714:P721,4,FALSE))</f>
        <v>Y</v>
      </c>
      <c r="AJ721" s="624" t="str">
        <f>IF(ISNA(MATCH(AC721,R714:R721,0)),0,VLOOKUP(AC721,R714:U721,4,FALSE))</f>
        <v>YY</v>
      </c>
      <c r="AK721" s="116">
        <f t="shared" si="639"/>
        <v>7</v>
      </c>
      <c r="AL721" s="116">
        <f t="shared" si="640"/>
        <v>5</v>
      </c>
      <c r="AM721" s="116">
        <f>IF(ISNA(MATCH(AC721,L714:L721,0)),0,VLOOKUP(AC721,L714:W721,AM$1,FALSE))</f>
        <v>2</v>
      </c>
      <c r="AN721" s="523">
        <f>IF(ISNA(MATCH(AC721,R714:R721,0)),0,VLOOKUP(AC721,R714:W721,AN$1,FALSE))</f>
        <v>4</v>
      </c>
      <c r="AP721" s="932"/>
      <c r="AQ721" s="932"/>
    </row>
    <row r="722" spans="1:47" ht="15" thickBot="1" x14ac:dyDescent="0.35">
      <c r="M722" s="276"/>
      <c r="N722" s="307"/>
      <c r="S722" s="276"/>
      <c r="T722" s="307"/>
      <c r="AP722" s="276"/>
      <c r="AQ722" s="307"/>
    </row>
    <row r="723" spans="1:47" x14ac:dyDescent="0.3">
      <c r="B723" s="400" t="s">
        <v>258</v>
      </c>
      <c r="C723" s="398"/>
      <c r="D723" s="401" t="s">
        <v>165</v>
      </c>
      <c r="E723" s="398"/>
      <c r="F723" s="398"/>
      <c r="G723" s="402" t="s">
        <v>259</v>
      </c>
      <c r="H723" s="403" t="s">
        <v>249</v>
      </c>
      <c r="I723" s="404" t="s">
        <v>168</v>
      </c>
      <c r="K723" s="360"/>
      <c r="L723" s="661"/>
      <c r="M723" s="387" t="s">
        <v>260</v>
      </c>
      <c r="N723" s="387" t="s">
        <v>261</v>
      </c>
      <c r="O723" s="387" t="s">
        <v>262</v>
      </c>
      <c r="P723" s="388" t="s">
        <v>75</v>
      </c>
      <c r="Q723" s="412"/>
      <c r="R723" s="657"/>
      <c r="S723" s="387" t="s">
        <v>260</v>
      </c>
      <c r="T723" s="387" t="s">
        <v>261</v>
      </c>
      <c r="U723" s="387" t="s">
        <v>262</v>
      </c>
      <c r="V723" s="388" t="s">
        <v>75</v>
      </c>
      <c r="W723" s="672" t="s">
        <v>76</v>
      </c>
      <c r="Y723" s="654" t="s">
        <v>263</v>
      </c>
      <c r="Z723" s="656" t="s">
        <v>74</v>
      </c>
      <c r="AA723" s="657" t="s">
        <v>75</v>
      </c>
      <c r="AC723" s="665" t="s">
        <v>71</v>
      </c>
      <c r="AD723" s="657" t="s">
        <v>86</v>
      </c>
      <c r="AE723" s="661" t="s">
        <v>149</v>
      </c>
      <c r="AF723" s="661" t="s">
        <v>94</v>
      </c>
      <c r="AG723" s="661" t="s">
        <v>149</v>
      </c>
      <c r="AH723" s="661" t="s">
        <v>94</v>
      </c>
      <c r="AI723" s="661" t="s">
        <v>149</v>
      </c>
      <c r="AJ723" s="661" t="s">
        <v>94</v>
      </c>
      <c r="AK723" s="1332" t="s">
        <v>149</v>
      </c>
      <c r="AL723" s="661" t="s">
        <v>94</v>
      </c>
      <c r="AM723" s="1406" t="s">
        <v>76</v>
      </c>
      <c r="AN723" s="1407"/>
      <c r="AP723" s="387" t="s">
        <v>260</v>
      </c>
      <c r="AQ723" s="387" t="s">
        <v>261</v>
      </c>
      <c r="AS723" s="1218" t="s">
        <v>165</v>
      </c>
      <c r="AT723" s="1219" t="s">
        <v>79</v>
      </c>
      <c r="AU723" s="1220" t="s">
        <v>80</v>
      </c>
    </row>
    <row r="724" spans="1:47" ht="15" thickBot="1" x14ac:dyDescent="0.35">
      <c r="B724" s="405">
        <v>65</v>
      </c>
      <c r="C724" s="399"/>
      <c r="D724" s="385" t="e">
        <f>VLOOKUP($B724,EventOrder,6,FALSE)</f>
        <v>#N/A</v>
      </c>
      <c r="E724" s="399"/>
      <c r="F724" s="385"/>
      <c r="G724" s="386" t="e">
        <f>VLOOKUP($B724,EventOrder,4,FALSE)</f>
        <v>#N/A</v>
      </c>
      <c r="H724" s="396" t="e">
        <f>IF(MID(G724,5,1)="F","F","M")</f>
        <v>#N/A</v>
      </c>
      <c r="I724" s="397" t="e">
        <f>VLOOKUP($B724,EventOrder,2,FALSE)</f>
        <v>#N/A</v>
      </c>
      <c r="K724" s="372"/>
      <c r="L724" s="667" t="s">
        <v>149</v>
      </c>
      <c r="M724" s="409" t="s">
        <v>264</v>
      </c>
      <c r="N724" s="409" t="s">
        <v>265</v>
      </c>
      <c r="O724" s="409" t="s">
        <v>266</v>
      </c>
      <c r="P724" s="408"/>
      <c r="Q724" s="413"/>
      <c r="R724" s="659" t="s">
        <v>94</v>
      </c>
      <c r="S724" s="409" t="s">
        <v>264</v>
      </c>
      <c r="T724" s="409" t="s">
        <v>265</v>
      </c>
      <c r="U724" s="409" t="s">
        <v>266</v>
      </c>
      <c r="V724" s="408"/>
      <c r="W724" s="671"/>
      <c r="Y724" s="655" t="s">
        <v>167</v>
      </c>
      <c r="Z724" s="658" t="s">
        <v>149</v>
      </c>
      <c r="AA724" s="659" t="s">
        <v>94</v>
      </c>
      <c r="AC724" s="666"/>
      <c r="AD724" s="668"/>
      <c r="AE724" s="768" t="s">
        <v>75</v>
      </c>
      <c r="AF724" s="768" t="s">
        <v>75</v>
      </c>
      <c r="AG724" s="768" t="s">
        <v>267</v>
      </c>
      <c r="AH724" s="768" t="s">
        <v>267</v>
      </c>
      <c r="AI724" s="768" t="s">
        <v>268</v>
      </c>
      <c r="AJ724" s="768" t="s">
        <v>268</v>
      </c>
      <c r="AK724" s="770" t="s">
        <v>269</v>
      </c>
      <c r="AL724" s="768" t="s">
        <v>269</v>
      </c>
      <c r="AM724" s="667" t="s">
        <v>149</v>
      </c>
      <c r="AN724" s="659" t="s">
        <v>94</v>
      </c>
      <c r="AP724" s="409" t="s">
        <v>264</v>
      </c>
      <c r="AQ724" s="409" t="s">
        <v>265</v>
      </c>
      <c r="AS724" s="1221" t="s">
        <v>270</v>
      </c>
      <c r="AT724" s="1222" t="s">
        <v>270</v>
      </c>
      <c r="AU724" s="1223" t="s">
        <v>270</v>
      </c>
    </row>
    <row r="725" spans="1:47" ht="15.6" x14ac:dyDescent="0.3">
      <c r="A725" s="416">
        <f>(B724*10)+1</f>
        <v>651</v>
      </c>
      <c r="B725" s="362" t="str">
        <f>'Event Details'!D$22</f>
        <v>S</v>
      </c>
      <c r="C725" s="381" t="str">
        <f>'Event Details'!E$22</f>
        <v>BRAT</v>
      </c>
      <c r="D725" s="379"/>
      <c r="E725" s="378"/>
      <c r="F725" s="363" t="e">
        <f>VLOOKUP($B724,IF($H724="F",TeamSheetFemale,TeamSheetMale),$Y725-1,FALSE)</f>
        <v>#N/A</v>
      </c>
      <c r="G725" s="380" t="e">
        <f>VLOOKUP($B724,IF($H724="F",TeamSheetFemale,TeamSheetMale),$Y725,FALSE)</f>
        <v>#N/A</v>
      </c>
      <c r="H725" s="363" t="e">
        <f>VLOOKUP($B724,IF($H724="F",TeamSheetFemale,TeamSheetMale),$Y725+1,FALSE)</f>
        <v>#N/A</v>
      </c>
      <c r="I725" s="364" t="e">
        <f>VLOOKUP($B724,IF($H724="F",TeamSheetFemale,TeamSheetMale),$Y725+2,FALSE)</f>
        <v>#N/A</v>
      </c>
      <c r="K725" s="393" t="s">
        <v>271</v>
      </c>
      <c r="L725" s="16" t="str">
        <f t="shared" ref="L725:L732" si="644">LEFT(M725,1)</f>
        <v/>
      </c>
      <c r="M725" s="926"/>
      <c r="N725" s="926"/>
      <c r="O725" s="394" t="str">
        <f>IF(LEN($M725)=1,VLOOKUP(LEFT($M725,1),B725:I732,5,FALSE),IF(LEN($M725)=2,VLOOKUP(LEFT($M725,1),B725:I732,7,FALSE),""))</f>
        <v/>
      </c>
      <c r="P725" s="395" t="str">
        <f>IF(LEN($M725)=1,VLOOKUP(LEFT($M725,1),B725:I732,6,FALSE),IF(LEN($M725)=2,VLOOKUP(LEFT($M725,1),B725:I732,8,FALSE),""))</f>
        <v/>
      </c>
      <c r="Q725" s="406" t="s">
        <v>271</v>
      </c>
      <c r="R725" s="146" t="str">
        <f t="shared" ref="R725:R732" si="645">LEFT(S725,1)</f>
        <v/>
      </c>
      <c r="S725" s="926"/>
      <c r="T725" s="926"/>
      <c r="U725" s="394" t="str">
        <f>IF(LEN($S725)=1,VLOOKUP(LEFT($S725,1),B725:I732,5,FALSE),IF(LEN($S725)=2,VLOOKUP(LEFT($S725,1),B725:I732,7,FALSE),""))</f>
        <v/>
      </c>
      <c r="V725" s="395" t="str">
        <f>IF(LEN($S725)=1,VLOOKUP(LEFT($S725,1),B725:I732,6,FALSE),IF(LEN($S725)=2,VLOOKUP(LEFT($S725,1),B725:I732,8,FALSE),""))</f>
        <v/>
      </c>
      <c r="W725" s="417">
        <f>AN$6</f>
        <v>8</v>
      </c>
      <c r="Y725" s="653">
        <v>7</v>
      </c>
      <c r="Z725" s="653">
        <f t="shared" ref="Z725:Z732" si="646">IF(LEN(M725)&gt;0,VLOOKUP(LEFT(M725,1),ShortName,5,FALSE),0)</f>
        <v>0</v>
      </c>
      <c r="AA725" s="138">
        <f t="shared" ref="AA725:AA732" si="647">IF(LEN(S725)&gt;0,VLOOKUP(LEFT(S725,1),ShortName,5,FALSE),0)</f>
        <v>0</v>
      </c>
      <c r="AC725" s="16" t="str">
        <f t="shared" ref="AC725:AD732" si="648">B725</f>
        <v>S</v>
      </c>
      <c r="AD725" s="419" t="str">
        <f t="shared" si="648"/>
        <v>BRAT</v>
      </c>
      <c r="AE725" s="635">
        <f>IF(ISNA(MATCH(AC725,N725:N734,0)),0,VLOOKUP(AC725,N725:S734,5,FALSE))</f>
        <v>0</v>
      </c>
      <c r="AF725" s="635" t="str">
        <f>IF(ISNA(MATCH(AC725,T725:T734,0))," ",VLOOKUP(AC725,T725:Y734,5,FALSE))</f>
        <v xml:space="preserve"> </v>
      </c>
      <c r="AG725" s="635">
        <f>IF(ISNA(MATCH(AC725,L725:L732,0)),0,VLOOKUP(AC725,L725:N732,3,FALSE))</f>
        <v>0</v>
      </c>
      <c r="AH725" s="635">
        <f>IF(ISNA(MATCH(AC725,R725:R732,0)),0,VLOOKUP(AC725,R725:T732,3,FALSE))</f>
        <v>0</v>
      </c>
      <c r="AI725" s="635">
        <f>IF(ISNA(MATCH(AC725,L725:L732,0)),0,VLOOKUP(AC725,L725:P732,4,FALSE))</f>
        <v>0</v>
      </c>
      <c r="AJ725" s="635">
        <f>IF(ISNA(MATCH(AC725,R725:R732,0)),0,VLOOKUP(AC725,R725:U732,4,FALSE))</f>
        <v>0</v>
      </c>
      <c r="AK725" s="49">
        <f t="shared" ref="AK725:AK732" si="649">IF(AM725=0,0,AN$6-(AM725-1))</f>
        <v>0</v>
      </c>
      <c r="AL725" s="49">
        <f t="shared" ref="AL725:AL732" si="650">IF(AN725=0,0,AN$6-(AN725-1))</f>
        <v>0</v>
      </c>
      <c r="AM725" s="49">
        <f>IF(ISNA(MATCH(AC725,L725:L732,0)),0,VLOOKUP(AC725,L725:W732,AM$1,FALSE))</f>
        <v>0</v>
      </c>
      <c r="AN725" s="138">
        <f>IF(ISNA(MATCH(AC725,R725:R732,0)),0,VLOOKUP(AC725,R725:W732,AN$1,FALSE))</f>
        <v>0</v>
      </c>
      <c r="AP725" s="926"/>
      <c r="AQ725" s="926"/>
      <c r="AS725" s="32">
        <f>IF(LEN(N725)&gt;0,1,0)</f>
        <v>0</v>
      </c>
      <c r="AT725" s="32" t="e">
        <f>IF(AND(AS725=1,H724="M"),1,0)</f>
        <v>#N/A</v>
      </c>
      <c r="AU725" s="32" t="e">
        <f>IF(AND(AS725=1,H724="F"),1,0)</f>
        <v>#N/A</v>
      </c>
    </row>
    <row r="726" spans="1:47" ht="15.6" x14ac:dyDescent="0.3">
      <c r="A726" s="417">
        <f>A725+1</f>
        <v>652</v>
      </c>
      <c r="B726" s="362" t="str">
        <f>'Event Details'!D$23</f>
        <v>U</v>
      </c>
      <c r="C726" s="381" t="str">
        <f>'Event Details'!E$23</f>
        <v>Kidder &amp; Stourport</v>
      </c>
      <c r="D726" s="379"/>
      <c r="E726" s="378"/>
      <c r="F726" s="363" t="e">
        <f>VLOOKUP($B724,IF($H724="F",TeamSheetFemale,TeamSheetMale),$Y726-1,FALSE)</f>
        <v>#N/A</v>
      </c>
      <c r="G726" s="380" t="e">
        <f>VLOOKUP($B724,IF($H724="F",TeamSheetFemale,TeamSheetMale),$Y726,FALSE)</f>
        <v>#N/A</v>
      </c>
      <c r="H726" s="363" t="e">
        <f>VLOOKUP($B724,IF($H724="F",TeamSheetFemale,TeamSheetMale),$Y726+1,FALSE)</f>
        <v>#N/A</v>
      </c>
      <c r="I726" s="364" t="e">
        <f>VLOOKUP($B724,IF($H724="F",TeamSheetFemale,TeamSheetMale),$Y726+2,FALSE)</f>
        <v>#N/A</v>
      </c>
      <c r="K726" s="341" t="s">
        <v>272</v>
      </c>
      <c r="L726" s="16" t="str">
        <f t="shared" si="644"/>
        <v/>
      </c>
      <c r="M726" s="927"/>
      <c r="N726" s="927"/>
      <c r="O726" s="354" t="str">
        <f>IF(LEN($M726)=1,VLOOKUP(LEFT($M726,1),B725:I732,5,FALSE),IF(LEN($M726)=2,VLOOKUP(LEFT($M726,1),B725:I732,7,FALSE),""))</f>
        <v/>
      </c>
      <c r="P726" s="410" t="str">
        <f>IF(LEN($M726)=1,VLOOKUP(LEFT($M726,1),B725:I732,6,FALSE),IF(LEN($M726)=2,VLOOKUP(LEFT($M726,1),B725:I732,8,FALSE),""))</f>
        <v/>
      </c>
      <c r="Q726" s="371" t="s">
        <v>272</v>
      </c>
      <c r="R726" s="146" t="str">
        <f t="shared" si="645"/>
        <v/>
      </c>
      <c r="S726" s="927"/>
      <c r="T726" s="927"/>
      <c r="U726" s="354" t="str">
        <f>IF(LEN($S726)=1,VLOOKUP(LEFT($S726,1),B725:I732,5,FALSE),IF(LEN($S726)=2,VLOOKUP(LEFT($S726,1),B725:I732,7,FALSE),""))</f>
        <v/>
      </c>
      <c r="V726" s="410" t="str">
        <f>IF(LEN($S726)=1,VLOOKUP(LEFT($S726,1),B725:I732,6,FALSE),IF(LEN($S726)=2,VLOOKUP(LEFT($S726,1),B725:I732,8,FALSE),""))</f>
        <v/>
      </c>
      <c r="W726" s="417">
        <f>W725-1</f>
        <v>7</v>
      </c>
      <c r="Y726" s="16">
        <v>12</v>
      </c>
      <c r="Z726" s="16">
        <f t="shared" si="646"/>
        <v>0</v>
      </c>
      <c r="AA726" s="146">
        <f t="shared" si="647"/>
        <v>0</v>
      </c>
      <c r="AC726" s="16" t="str">
        <f t="shared" si="648"/>
        <v>U</v>
      </c>
      <c r="AD726" s="419" t="str">
        <f t="shared" si="648"/>
        <v>Kidder &amp; Stourport</v>
      </c>
      <c r="AE726" s="419">
        <f>IF(ISNA(MATCH(AC726,N725:N734,0)),0,VLOOKUP(AC726,N725:S734,5,FALSE))</f>
        <v>0</v>
      </c>
      <c r="AF726" s="419" t="str">
        <f>IF(ISNA(MATCH(AC726,T725:T734,0))," ",VLOOKUP(AC726,T725:Y734,5,FALSE))</f>
        <v xml:space="preserve"> </v>
      </c>
      <c r="AG726" s="419">
        <f>IF(ISNA(MATCH(AC726,L725:L732,0)),0,VLOOKUP(AC726,L725:N732,3,FALSE))</f>
        <v>0</v>
      </c>
      <c r="AH726" s="419">
        <f>IF(ISNA(MATCH(AC726,R725:R732,0)),0,VLOOKUP(AC726,R725:T732,3,FALSE))</f>
        <v>0</v>
      </c>
      <c r="AI726" s="419">
        <f>IF(ISNA(MATCH(AC726,L725:L732,0)),0,VLOOKUP(AC726,L725:P732,4,FALSE))</f>
        <v>0</v>
      </c>
      <c r="AJ726" s="419">
        <f>IF(ISNA(MATCH(AC726,R725:R732,0)),0,VLOOKUP(AC726,R725:U732,4,FALSE))</f>
        <v>0</v>
      </c>
      <c r="AK726" s="32">
        <f t="shared" si="649"/>
        <v>0</v>
      </c>
      <c r="AL726" s="32">
        <f t="shared" si="650"/>
        <v>0</v>
      </c>
      <c r="AM726" s="32">
        <f>IF(ISNA(MATCH(AC726,L725:L732,0)),0,VLOOKUP(AC726,L725:W732,AM$1,FALSE))</f>
        <v>0</v>
      </c>
      <c r="AN726" s="146">
        <f>IF(ISNA(MATCH(AC726,R725:R732,0)),0,VLOOKUP(AC726,R725:W732,AN$1,FALSE))</f>
        <v>0</v>
      </c>
      <c r="AP726" s="927"/>
      <c r="AQ726" s="927"/>
    </row>
    <row r="727" spans="1:47" ht="15.6" x14ac:dyDescent="0.3">
      <c r="A727" s="417">
        <f t="shared" ref="A727:A732" si="651">A726+1</f>
        <v>653</v>
      </c>
      <c r="B727" s="362" t="str">
        <f>'Event Details'!D$24</f>
        <v>G</v>
      </c>
      <c r="C727" s="381" t="str">
        <f>'Event Details'!E$24</f>
        <v>Royal Sutton</v>
      </c>
      <c r="D727" s="379"/>
      <c r="E727" s="378"/>
      <c r="F727" s="363" t="e">
        <f>VLOOKUP($B724,IF($H724="F",TeamSheetFemale,TeamSheetMale),$Y727-1,FALSE)</f>
        <v>#N/A</v>
      </c>
      <c r="G727" s="380" t="e">
        <f>VLOOKUP($B724,IF($H724="F",TeamSheetFemale,TeamSheetMale),$Y727,FALSE)</f>
        <v>#N/A</v>
      </c>
      <c r="H727" s="363" t="e">
        <f>VLOOKUP($B724,IF($H724="F",TeamSheetFemale,TeamSheetMale),$Y727+1,FALSE)</f>
        <v>#N/A</v>
      </c>
      <c r="I727" s="364" t="e">
        <f>VLOOKUP($B724,IF($H724="F",TeamSheetFemale,TeamSheetMale),$Y727+2,FALSE)</f>
        <v>#N/A</v>
      </c>
      <c r="K727" s="341" t="s">
        <v>273</v>
      </c>
      <c r="L727" s="16" t="str">
        <f t="shared" si="644"/>
        <v/>
      </c>
      <c r="M727" s="927"/>
      <c r="N727" s="927"/>
      <c r="O727" s="354" t="str">
        <f>IF(LEN($M727)=1,VLOOKUP(LEFT($M727,1),B725:I732,5,FALSE),IF(LEN($M727)=2,VLOOKUP(LEFT($M727,1),B725:I732,7,FALSE),""))</f>
        <v/>
      </c>
      <c r="P727" s="410" t="str">
        <f>IF(LEN($M727)=1,VLOOKUP(LEFT($M727,1),B725:I732,6,FALSE),IF(LEN($M727)=2,VLOOKUP(LEFT($M727,1),B725:I732,8,FALSE),""))</f>
        <v/>
      </c>
      <c r="Q727" s="371" t="s">
        <v>273</v>
      </c>
      <c r="R727" s="146" t="str">
        <f t="shared" si="645"/>
        <v/>
      </c>
      <c r="S727" s="927"/>
      <c r="T727" s="927"/>
      <c r="U727" s="354" t="str">
        <f>IF(LEN($S727)=1,VLOOKUP(LEFT($S727,1),B725:I732,5,FALSE),IF(LEN($S727)=2,VLOOKUP(LEFT($S727,1),B725:I732,7,FALSE),""))</f>
        <v/>
      </c>
      <c r="V727" s="410" t="str">
        <f>IF(LEN($S727)=1,VLOOKUP(LEFT($S727,1),B725:I732,6,FALSE),IF(LEN($S727)=2,VLOOKUP(LEFT($S727,1),B725:I732,8,FALSE),""))</f>
        <v/>
      </c>
      <c r="W727" s="417">
        <f t="shared" ref="W727:W732" si="652">W726-1</f>
        <v>6</v>
      </c>
      <c r="Y727" s="16">
        <v>17</v>
      </c>
      <c r="Z727" s="16">
        <f t="shared" si="646"/>
        <v>0</v>
      </c>
      <c r="AA727" s="146">
        <f t="shared" si="647"/>
        <v>0</v>
      </c>
      <c r="AC727" s="16" t="str">
        <f t="shared" si="648"/>
        <v>G</v>
      </c>
      <c r="AD727" s="419" t="str">
        <f t="shared" si="648"/>
        <v>Royal Sutton</v>
      </c>
      <c r="AE727" s="419">
        <f>IF(ISNA(MATCH(AC727,N725:N734,0)),0,VLOOKUP(AC727,N725:S734,5,FALSE))</f>
        <v>0</v>
      </c>
      <c r="AF727" s="419" t="str">
        <f>IF(ISNA(MATCH(AC727,T725:T734,0))," ",VLOOKUP(AC727,T725:Y734,5,FALSE))</f>
        <v xml:space="preserve"> </v>
      </c>
      <c r="AG727" s="419">
        <f>IF(ISNA(MATCH(AC727,L725:L732,0)),0,VLOOKUP(AC727,L725:N732,3,FALSE))</f>
        <v>0</v>
      </c>
      <c r="AH727" s="419">
        <f>IF(ISNA(MATCH(AC727,R725:R732,0)),0,VLOOKUP(AC727,R725:T732,3,FALSE))</f>
        <v>0</v>
      </c>
      <c r="AI727" s="419">
        <f>IF(ISNA(MATCH(AC727,L725:L732,0)),0,VLOOKUP(AC727,L725:P732,4,FALSE))</f>
        <v>0</v>
      </c>
      <c r="AJ727" s="419">
        <f>IF(ISNA(MATCH(AC727,R725:R732,0)),0,VLOOKUP(AC727,R725:U732,4,FALSE))</f>
        <v>0</v>
      </c>
      <c r="AK727" s="32">
        <f t="shared" si="649"/>
        <v>0</v>
      </c>
      <c r="AL727" s="32">
        <f t="shared" si="650"/>
        <v>0</v>
      </c>
      <c r="AM727" s="32">
        <f>IF(ISNA(MATCH(AC727,L725:L732,0)),0,VLOOKUP(AC727,L725:W732,AM$1,FALSE))</f>
        <v>0</v>
      </c>
      <c r="AN727" s="146">
        <f>IF(ISNA(MATCH(AC727,R725:R732,0)),0,VLOOKUP(AC727,R725:W732,AN$1,FALSE))</f>
        <v>0</v>
      </c>
      <c r="AP727" s="927"/>
      <c r="AQ727" s="927"/>
    </row>
    <row r="728" spans="1:47" ht="15.6" x14ac:dyDescent="0.3">
      <c r="A728" s="417">
        <f t="shared" si="651"/>
        <v>654</v>
      </c>
      <c r="B728" s="362" t="str">
        <f>'Event Details'!D$25</f>
        <v>R</v>
      </c>
      <c r="C728" s="381" t="str">
        <f>'Event Details'!E$25</f>
        <v>Rugby &amp; N'hampton</v>
      </c>
      <c r="D728" s="379"/>
      <c r="E728" s="378"/>
      <c r="F728" s="363" t="e">
        <f>VLOOKUP($B724,IF($H724="F",TeamSheetFemale,TeamSheetMale),$Y728-1,FALSE)</f>
        <v>#N/A</v>
      </c>
      <c r="G728" s="380" t="e">
        <f>VLOOKUP($B724,IF($H724="F",TeamSheetFemale,TeamSheetMale),$Y728,FALSE)</f>
        <v>#N/A</v>
      </c>
      <c r="H728" s="363" t="e">
        <f>VLOOKUP($B724,IF($H724="F",TeamSheetFemale,TeamSheetMale),$Y728+1,FALSE)</f>
        <v>#N/A</v>
      </c>
      <c r="I728" s="364" t="e">
        <f>VLOOKUP($B724,IF($H724="F",TeamSheetFemale,TeamSheetMale),$Y728+2,FALSE)</f>
        <v>#N/A</v>
      </c>
      <c r="K728" s="341" t="s">
        <v>274</v>
      </c>
      <c r="L728" s="16" t="str">
        <f t="shared" si="644"/>
        <v/>
      </c>
      <c r="M728" s="927"/>
      <c r="N728" s="927"/>
      <c r="O728" s="354" t="str">
        <f>IF(LEN($M728)=1,VLOOKUP(LEFT($M728,1),B725:I732,5,FALSE),IF(LEN($M728)=2,VLOOKUP(LEFT($M728,1),B725:I732,7,FALSE),""))</f>
        <v/>
      </c>
      <c r="P728" s="410" t="str">
        <f>IF(LEN($M728)=1,VLOOKUP(LEFT($M728,1),B725:I732,6,FALSE),IF(LEN($M728)=2,VLOOKUP(LEFT($M728,1),B725:I732,8,FALSE),""))</f>
        <v/>
      </c>
      <c r="Q728" s="371" t="s">
        <v>274</v>
      </c>
      <c r="R728" s="146" t="str">
        <f t="shared" si="645"/>
        <v/>
      </c>
      <c r="S728" s="927"/>
      <c r="T728" s="927"/>
      <c r="U728" s="354" t="str">
        <f>IF(LEN($S728)=1,VLOOKUP(LEFT($S728,1),B725:I732,5,FALSE),IF(LEN($S728)=2,VLOOKUP(LEFT($S728,1),B725:I732,7,FALSE),""))</f>
        <v/>
      </c>
      <c r="V728" s="410" t="str">
        <f>IF(LEN($S728)=1,VLOOKUP(LEFT($S728,1),B725:I732,6,FALSE),IF(LEN($S728)=2,VLOOKUP(LEFT($S728,1),B725:I732,8,FALSE),""))</f>
        <v/>
      </c>
      <c r="W728" s="417">
        <f t="shared" si="652"/>
        <v>5</v>
      </c>
      <c r="Y728" s="16">
        <v>22</v>
      </c>
      <c r="Z728" s="16">
        <f t="shared" si="646"/>
        <v>0</v>
      </c>
      <c r="AA728" s="146">
        <f t="shared" si="647"/>
        <v>0</v>
      </c>
      <c r="AC728" s="16" t="str">
        <f t="shared" si="648"/>
        <v>R</v>
      </c>
      <c r="AD728" s="419" t="str">
        <f t="shared" si="648"/>
        <v>Rugby &amp; N'hampton</v>
      </c>
      <c r="AE728" s="419">
        <f>IF(ISNA(MATCH(AC728,N725:N734,0)),0,VLOOKUP(AC728,N725:S734,5,FALSE))</f>
        <v>0</v>
      </c>
      <c r="AF728" s="419" t="str">
        <f>IF(ISNA(MATCH(AC728,T725:T734,0))," ",VLOOKUP(AC728,T725:Y734,5,FALSE))</f>
        <v xml:space="preserve"> </v>
      </c>
      <c r="AG728" s="419">
        <f>IF(ISNA(MATCH(AC728,L725:L732,0)),0,VLOOKUP(AC728,L725:N732,3,FALSE))</f>
        <v>0</v>
      </c>
      <c r="AH728" s="419">
        <f>IF(ISNA(MATCH(AC728,R725:R732,0)),0,VLOOKUP(AC728,R725:T732,3,FALSE))</f>
        <v>0</v>
      </c>
      <c r="AI728" s="419">
        <f>IF(ISNA(MATCH(AC728,L725:L732,0)),0,VLOOKUP(AC728,L725:P732,4,FALSE))</f>
        <v>0</v>
      </c>
      <c r="AJ728" s="419">
        <f>IF(ISNA(MATCH(AC728,R725:R732,0)),0,VLOOKUP(AC728,R725:U732,4,FALSE))</f>
        <v>0</v>
      </c>
      <c r="AK728" s="32">
        <f t="shared" si="649"/>
        <v>0</v>
      </c>
      <c r="AL728" s="32">
        <f t="shared" si="650"/>
        <v>0</v>
      </c>
      <c r="AM728" s="32">
        <f>IF(ISNA(MATCH(AC728,L725:L732,0)),0,VLOOKUP(AC728,L725:W732,AM$1,FALSE))</f>
        <v>0</v>
      </c>
      <c r="AN728" s="146">
        <f>IF(ISNA(MATCH(AC728,R725:R732,0)),0,VLOOKUP(AC728,R725:W732,AN$1,FALSE))</f>
        <v>0</v>
      </c>
      <c r="AP728" s="927"/>
      <c r="AQ728" s="927"/>
    </row>
    <row r="729" spans="1:47" ht="15.6" x14ac:dyDescent="0.3">
      <c r="A729" s="417">
        <f t="shared" si="651"/>
        <v>655</v>
      </c>
      <c r="B729" s="362" t="str">
        <f>'Event Details'!D$26</f>
        <v>M</v>
      </c>
      <c r="C729" s="381" t="str">
        <f>'Event Details'!E$26</f>
        <v>Solihull &amp; S.Heath</v>
      </c>
      <c r="D729" s="379"/>
      <c r="E729" s="378"/>
      <c r="F729" s="363" t="e">
        <f>VLOOKUP($B724,IF($H724="F",TeamSheetFemale,TeamSheetMale),$Y729-1,FALSE)</f>
        <v>#N/A</v>
      </c>
      <c r="G729" s="380" t="e">
        <f>VLOOKUP($B724,IF($H724="F",TeamSheetFemale,TeamSheetMale),$Y729,FALSE)</f>
        <v>#N/A</v>
      </c>
      <c r="H729" s="363" t="e">
        <f>VLOOKUP($B724,IF($H724="F",TeamSheetFemale,TeamSheetMale),$Y729+1,FALSE)</f>
        <v>#N/A</v>
      </c>
      <c r="I729" s="364" t="e">
        <f>VLOOKUP($B724,IF($H724="F",TeamSheetFemale,TeamSheetMale),$Y729+2,FALSE)</f>
        <v>#N/A</v>
      </c>
      <c r="K729" s="341" t="s">
        <v>275</v>
      </c>
      <c r="L729" s="16" t="str">
        <f t="shared" si="644"/>
        <v/>
      </c>
      <c r="M729" s="927"/>
      <c r="N729" s="927"/>
      <c r="O729" s="354" t="str">
        <f>IF(LEN($M729)=1,VLOOKUP(LEFT($M729,1),B725:I732,5,FALSE),IF(LEN($M729)=2,VLOOKUP(LEFT($M729,1),B725:I732,7,FALSE),""))</f>
        <v/>
      </c>
      <c r="P729" s="410" t="str">
        <f>IF(LEN($M729)=1,VLOOKUP(LEFT($M729,1),B725:I732,6,FALSE),IF(LEN($M729)=2,VLOOKUP(LEFT($M729,1),B725:I732,8,FALSE),""))</f>
        <v/>
      </c>
      <c r="Q729" s="371" t="s">
        <v>275</v>
      </c>
      <c r="R729" s="146" t="str">
        <f t="shared" si="645"/>
        <v/>
      </c>
      <c r="S729" s="927"/>
      <c r="T729" s="927"/>
      <c r="U729" s="354" t="str">
        <f>IF(LEN($S729)=1,VLOOKUP(LEFT($S729,1),B725:I732,5,FALSE),IF(LEN($S729)=2,VLOOKUP(LEFT($S729,1),B725:I732,7,FALSE),""))</f>
        <v/>
      </c>
      <c r="V729" s="410" t="str">
        <f>IF(LEN($S729)=1,VLOOKUP(LEFT($S729,1),B725:I732,6,FALSE),IF(LEN($S729)=2,VLOOKUP(LEFT($S729,1),B725:I732,8,FALSE),""))</f>
        <v/>
      </c>
      <c r="W729" s="417">
        <f t="shared" si="652"/>
        <v>4</v>
      </c>
      <c r="Y729" s="16">
        <v>27</v>
      </c>
      <c r="Z729" s="16">
        <f t="shared" si="646"/>
        <v>0</v>
      </c>
      <c r="AA729" s="146">
        <f t="shared" si="647"/>
        <v>0</v>
      </c>
      <c r="AC729" s="16" t="str">
        <f t="shared" si="648"/>
        <v>M</v>
      </c>
      <c r="AD729" s="419" t="str">
        <f t="shared" si="648"/>
        <v>Solihull &amp; S.Heath</v>
      </c>
      <c r="AE729" s="419">
        <f>IF(ISNA(MATCH(AC729,N725:N734,0)),0,VLOOKUP(AC729,N725:S734,5,FALSE))</f>
        <v>0</v>
      </c>
      <c r="AF729" s="419" t="str">
        <f>IF(ISNA(MATCH(AC729,T725:T734,0))," ",VLOOKUP(AC729,T725:Y734,5,FALSE))</f>
        <v xml:space="preserve"> </v>
      </c>
      <c r="AG729" s="419">
        <f>IF(ISNA(MATCH(AC729,L725:L732,0)),0,VLOOKUP(AC729,L725:N732,3,FALSE))</f>
        <v>0</v>
      </c>
      <c r="AH729" s="419">
        <f>IF(ISNA(MATCH(AC729,R725:R732,0)),0,VLOOKUP(AC729,R725:T732,3,FALSE))</f>
        <v>0</v>
      </c>
      <c r="AI729" s="419">
        <f>IF(ISNA(MATCH(AC729,L725:L732,0)),0,VLOOKUP(AC729,L725:P732,4,FALSE))</f>
        <v>0</v>
      </c>
      <c r="AJ729" s="419">
        <f>IF(ISNA(MATCH(AC729,R725:R732,0)),0,VLOOKUP(AC729,R725:U732,4,FALSE))</f>
        <v>0</v>
      </c>
      <c r="AK729" s="32">
        <f t="shared" si="649"/>
        <v>0</v>
      </c>
      <c r="AL729" s="32">
        <f t="shared" si="650"/>
        <v>0</v>
      </c>
      <c r="AM729" s="32">
        <f>IF(ISNA(MATCH(AC729,L725:L732,0)),0,VLOOKUP(AC729,L725:W732,AM$1,FALSE))</f>
        <v>0</v>
      </c>
      <c r="AN729" s="146">
        <f>IF(ISNA(MATCH(AC729,R725:R732,0)),0,VLOOKUP(AC729,R725:W732,AN$1,FALSE))</f>
        <v>0</v>
      </c>
      <c r="AP729" s="927"/>
      <c r="AQ729" s="927"/>
    </row>
    <row r="730" spans="1:47" ht="15.6" x14ac:dyDescent="0.3">
      <c r="A730" s="417">
        <f t="shared" si="651"/>
        <v>656</v>
      </c>
      <c r="B730" s="362" t="str">
        <f>'Event Details'!D$27</f>
        <v>D</v>
      </c>
      <c r="C730" s="381" t="str">
        <f>'Event Details'!E$27</f>
        <v>Stratford</v>
      </c>
      <c r="D730" s="379"/>
      <c r="E730" s="378"/>
      <c r="F730" s="363" t="e">
        <f>VLOOKUP($B724,IF($H724="F",TeamSheetFemale,TeamSheetMale),$Y730-1,FALSE)</f>
        <v>#N/A</v>
      </c>
      <c r="G730" s="380" t="e">
        <f>VLOOKUP($B724,IF($H724="F",TeamSheetFemale,TeamSheetMale),$Y730,FALSE)</f>
        <v>#N/A</v>
      </c>
      <c r="H730" s="363" t="e">
        <f>VLOOKUP($B724,IF($H724="F",TeamSheetFemale,TeamSheetMale),$Y730+1,FALSE)</f>
        <v>#N/A</v>
      </c>
      <c r="I730" s="364" t="e">
        <f>VLOOKUP($B724,IF($H724="F",TeamSheetFemale,TeamSheetMale),$Y730+2,FALSE)</f>
        <v>#N/A</v>
      </c>
      <c r="K730" s="341" t="s">
        <v>276</v>
      </c>
      <c r="L730" s="16" t="str">
        <f t="shared" si="644"/>
        <v/>
      </c>
      <c r="M730" s="927"/>
      <c r="N730" s="927"/>
      <c r="O730" s="354" t="str">
        <f>IF(LEN($M730)=1,VLOOKUP(LEFT($M730,1),B725:I732,5,FALSE),IF(LEN($M730)=2,VLOOKUP(LEFT($M730,1),B725:I732,7,FALSE),""))</f>
        <v/>
      </c>
      <c r="P730" s="410" t="str">
        <f>IF(LEN($M730)=1,VLOOKUP(LEFT($M730,1),B725:I732,6,FALSE),IF(LEN($M730)=2,VLOOKUP(LEFT($M730,1),B725:I732,8,FALSE),""))</f>
        <v/>
      </c>
      <c r="Q730" s="371" t="s">
        <v>276</v>
      </c>
      <c r="R730" s="146" t="str">
        <f t="shared" si="645"/>
        <v/>
      </c>
      <c r="S730" s="927"/>
      <c r="T730" s="927"/>
      <c r="U730" s="354" t="str">
        <f>IF(LEN($S730)=1,VLOOKUP(LEFT($S730,1),B725:I732,5,FALSE),IF(LEN($S730)=2,VLOOKUP(LEFT($S730,1),B725:I732,7,FALSE),""))</f>
        <v/>
      </c>
      <c r="V730" s="410" t="str">
        <f>IF(LEN($S730)=1,VLOOKUP(LEFT($S730,1),B725:I732,6,FALSE),IF(LEN($S730)=2,VLOOKUP(LEFT($S730,1),B725:I732,8,FALSE),""))</f>
        <v/>
      </c>
      <c r="W730" s="417">
        <f t="shared" si="652"/>
        <v>3</v>
      </c>
      <c r="Y730" s="16">
        <v>32</v>
      </c>
      <c r="Z730" s="16">
        <f t="shared" si="646"/>
        <v>0</v>
      </c>
      <c r="AA730" s="146">
        <f t="shared" si="647"/>
        <v>0</v>
      </c>
      <c r="AC730" s="16" t="str">
        <f t="shared" si="648"/>
        <v>D</v>
      </c>
      <c r="AD730" s="419" t="str">
        <f t="shared" si="648"/>
        <v>Stratford</v>
      </c>
      <c r="AE730" s="419">
        <f>IF(ISNA(MATCH(AC730,N725:N734,0)),0,VLOOKUP(AC730,N725:S734,5,FALSE))</f>
        <v>0</v>
      </c>
      <c r="AF730" s="419" t="str">
        <f>IF(ISNA(MATCH(AC730,T725:T734,0))," ",VLOOKUP(AC730,T725:Y734,5,FALSE))</f>
        <v xml:space="preserve"> </v>
      </c>
      <c r="AG730" s="419">
        <f>IF(ISNA(MATCH(AC730,L725:L732,0)),0,VLOOKUP(AC730,L725:N732,3,FALSE))</f>
        <v>0</v>
      </c>
      <c r="AH730" s="419">
        <f>IF(ISNA(MATCH(AC730,R725:R732,0)),0,VLOOKUP(AC730,R725:T732,3,FALSE))</f>
        <v>0</v>
      </c>
      <c r="AI730" s="419">
        <f>IF(ISNA(MATCH(AC730,L725:L732,0)),0,VLOOKUP(AC730,L725:P732,4,FALSE))</f>
        <v>0</v>
      </c>
      <c r="AJ730" s="419">
        <f>IF(ISNA(MATCH(AC730,R725:R732,0)),0,VLOOKUP(AC730,R725:U732,4,FALSE))</f>
        <v>0</v>
      </c>
      <c r="AK730" s="32">
        <f t="shared" si="649"/>
        <v>0</v>
      </c>
      <c r="AL730" s="32">
        <f t="shared" si="650"/>
        <v>0</v>
      </c>
      <c r="AM730" s="32">
        <f>IF(ISNA(MATCH(AC730,L725:L732,0)),0,VLOOKUP(AC730,L725:W732,AM$1,FALSE))</f>
        <v>0</v>
      </c>
      <c r="AN730" s="146">
        <f>IF(ISNA(MATCH(AC730,R725:R732,0)),0,VLOOKUP(AC730,R725:W732,AN$1,FALSE))</f>
        <v>0</v>
      </c>
      <c r="AP730" s="927"/>
      <c r="AQ730" s="927"/>
    </row>
    <row r="731" spans="1:47" ht="15.6" x14ac:dyDescent="0.3">
      <c r="A731" s="417">
        <f t="shared" si="651"/>
        <v>657</v>
      </c>
      <c r="B731" s="362" t="str">
        <f>'Event Details'!D$28</f>
        <v>F</v>
      </c>
      <c r="C731" s="381" t="str">
        <f>'Event Details'!E$28</f>
        <v>Tamworth</v>
      </c>
      <c r="D731" s="379"/>
      <c r="E731" s="378"/>
      <c r="F731" s="363" t="e">
        <f>VLOOKUP($B724,IF($H724="F",TeamSheetFemale,TeamSheetMale),$Y731-1,FALSE)</f>
        <v>#N/A</v>
      </c>
      <c r="G731" s="380" t="e">
        <f>VLOOKUP($B724,IF($H724="F",TeamSheetFemale,TeamSheetMale),$Y731,FALSE)</f>
        <v>#N/A</v>
      </c>
      <c r="H731" s="363" t="e">
        <f>VLOOKUP($B724,IF($H724="F",TeamSheetFemale,TeamSheetMale),$Y731+1,FALSE)</f>
        <v>#N/A</v>
      </c>
      <c r="I731" s="364" t="e">
        <f>VLOOKUP($B724,IF($H724="F",TeamSheetFemale,TeamSheetMale),$Y731+2,FALSE)</f>
        <v>#N/A</v>
      </c>
      <c r="K731" s="341" t="s">
        <v>277</v>
      </c>
      <c r="L731" s="16" t="str">
        <f t="shared" si="644"/>
        <v/>
      </c>
      <c r="M731" s="927"/>
      <c r="N731" s="927"/>
      <c r="O731" s="354" t="str">
        <f>IF(LEN($M731)=1,VLOOKUP(LEFT($M731,1),B725:I732,5,FALSE),IF(LEN($M731)=2,VLOOKUP(LEFT($M731,1),B725:I732,7,FALSE),""))</f>
        <v/>
      </c>
      <c r="P731" s="410" t="str">
        <f>IF(LEN($M731)=1,VLOOKUP(LEFT($M731,1),B725:I732,6,FALSE),IF(LEN($M731)=2,VLOOKUP(LEFT($M731,1),B725:I732,8,FALSE),""))</f>
        <v/>
      </c>
      <c r="Q731" s="371" t="s">
        <v>277</v>
      </c>
      <c r="R731" s="146" t="str">
        <f t="shared" si="645"/>
        <v/>
      </c>
      <c r="S731" s="927"/>
      <c r="T731" s="927"/>
      <c r="U731" s="354" t="str">
        <f>IF(LEN($S731)=1,VLOOKUP(LEFT($S731,1),B725:I732,5,FALSE),IF(LEN($S731)=2,VLOOKUP(LEFT($S731,1),B725:I732,7,FALSE),""))</f>
        <v/>
      </c>
      <c r="V731" s="410" t="str">
        <f>IF(LEN($S731)=1,VLOOKUP(LEFT($S731,1),B725:I732,6,FALSE),IF(LEN($S731)=2,VLOOKUP(LEFT($S731,1),B725:I732,8,FALSE),""))</f>
        <v/>
      </c>
      <c r="W731" s="417">
        <f t="shared" si="652"/>
        <v>2</v>
      </c>
      <c r="Y731" s="16">
        <v>37</v>
      </c>
      <c r="Z731" s="16">
        <f t="shared" si="646"/>
        <v>0</v>
      </c>
      <c r="AA731" s="146">
        <f t="shared" si="647"/>
        <v>0</v>
      </c>
      <c r="AC731" s="16" t="str">
        <f t="shared" si="648"/>
        <v>F</v>
      </c>
      <c r="AD731" s="419" t="str">
        <f t="shared" si="648"/>
        <v>Tamworth</v>
      </c>
      <c r="AE731" s="419">
        <f>IF(ISNA(MATCH(AC731,N723:N732,0)),0,VLOOKUP(AC731,N723:S732,5,FALSE))</f>
        <v>0</v>
      </c>
      <c r="AF731" s="419" t="str">
        <f>IF(ISNA(MATCH(AC731,T723:T732,0))," ",VLOOKUP(AC731,T723:Y732,5,FALSE))</f>
        <v xml:space="preserve"> </v>
      </c>
      <c r="AG731" s="419">
        <f>IF(ISNA(MATCH(AC731,L725:L732,0)),0,VLOOKUP(AC731,L725:N732,3,FALSE))</f>
        <v>0</v>
      </c>
      <c r="AH731" s="419">
        <f>IF(ISNA(MATCH(AC731,R725:R732,0)),0,VLOOKUP(AC731,R725:T732,3,FALSE))</f>
        <v>0</v>
      </c>
      <c r="AI731" s="419">
        <f>IF(ISNA(MATCH(AC731,L725:L732,0)),0,VLOOKUP(AC731,L725:P732,4,FALSE))</f>
        <v>0</v>
      </c>
      <c r="AJ731" s="419">
        <f>IF(ISNA(MATCH(AC731,R725:R732,0)),0,VLOOKUP(AC731,R725:U732,4,FALSE))</f>
        <v>0</v>
      </c>
      <c r="AK731" s="32">
        <f t="shared" si="649"/>
        <v>0</v>
      </c>
      <c r="AL731" s="32">
        <f t="shared" si="650"/>
        <v>0</v>
      </c>
      <c r="AM731" s="32">
        <f>IF(ISNA(MATCH(AC731,L725:L732,0)),0,VLOOKUP(AC731,L725:W732,AM$1,FALSE))</f>
        <v>0</v>
      </c>
      <c r="AN731" s="146">
        <f>IF(ISNA(MATCH(AC731,R725:R732,0)),0,VLOOKUP(AC731,R725:W732,AN$1,FALSE))</f>
        <v>0</v>
      </c>
      <c r="AP731" s="927"/>
      <c r="AQ731" s="927"/>
    </row>
    <row r="732" spans="1:47" ht="16.2" thickBot="1" x14ac:dyDescent="0.35">
      <c r="A732" s="418">
        <f t="shared" si="651"/>
        <v>658</v>
      </c>
      <c r="B732" s="365" t="str">
        <f>'Event Details'!D$29</f>
        <v>Y</v>
      </c>
      <c r="C732" s="366" t="str">
        <f>'Event Details'!E$29</f>
        <v>Worcester</v>
      </c>
      <c r="D732" s="361"/>
      <c r="E732" s="370"/>
      <c r="F732" s="367" t="e">
        <f>VLOOKUP($B724,IF($H724="F",TeamSheetFemale,TeamSheetMale),$Y732-1,FALSE)</f>
        <v>#N/A</v>
      </c>
      <c r="G732" s="368" t="e">
        <f>VLOOKUP($B724,IF($H724="F",TeamSheetFemale,TeamSheetMale),$Y732,FALSE)</f>
        <v>#N/A</v>
      </c>
      <c r="H732" s="367" t="e">
        <f>VLOOKUP($B724,IF($H724="F",TeamSheetFemale,TeamSheetMale),$Y732+1,FALSE)</f>
        <v>#N/A</v>
      </c>
      <c r="I732" s="369" t="e">
        <f>VLOOKUP($B724,IF($H724="F",TeamSheetFemale,TeamSheetMale),$Y732+2,FALSE)</f>
        <v>#N/A</v>
      </c>
      <c r="K732" s="346" t="s">
        <v>278</v>
      </c>
      <c r="L732" s="25" t="str">
        <f t="shared" si="644"/>
        <v/>
      </c>
      <c r="M732" s="932"/>
      <c r="N732" s="932"/>
      <c r="O732" s="374" t="str">
        <f>IF(LEN($M732)=1,VLOOKUP(LEFT($M732,1),B725:I732,5,FALSE),IF(LEN($M732)=2,VLOOKUP(LEFT($M732,1),B725:I732,7,FALSE),""))</f>
        <v/>
      </c>
      <c r="P732" s="411" t="str">
        <f>IF(LEN($M732)=1,VLOOKUP(LEFT($M732,1),B725:I732,6,FALSE),IF(LEN($M732)=2,VLOOKUP(LEFT($M732,1),B725:I732,8,FALSE),""))</f>
        <v/>
      </c>
      <c r="Q732" s="407" t="s">
        <v>278</v>
      </c>
      <c r="R732" s="523" t="str">
        <f t="shared" si="645"/>
        <v/>
      </c>
      <c r="S732" s="932"/>
      <c r="T732" s="932"/>
      <c r="U732" s="374" t="str">
        <f>IF(LEN($S732)=1,VLOOKUP(LEFT($S732,1),B725:I732,5,FALSE),IF(LEN($S732)=2,VLOOKUP(LEFT($S732,1),B725:I732,7,FALSE),""))</f>
        <v/>
      </c>
      <c r="V732" s="411" t="str">
        <f>IF(LEN($S732)=1,VLOOKUP(LEFT($S732,1),B725:I732,6,FALSE),IF(LEN($S732)=2,VLOOKUP(LEFT($S732,1),B725:I732,8,FALSE),""))</f>
        <v/>
      </c>
      <c r="W732" s="418">
        <f t="shared" si="652"/>
        <v>1</v>
      </c>
      <c r="Y732" s="25">
        <v>42</v>
      </c>
      <c r="Z732" s="25">
        <f t="shared" si="646"/>
        <v>0</v>
      </c>
      <c r="AA732" s="523">
        <f t="shared" si="647"/>
        <v>0</v>
      </c>
      <c r="AC732" s="25" t="str">
        <f t="shared" si="648"/>
        <v>Y</v>
      </c>
      <c r="AD732" s="624" t="str">
        <f t="shared" si="648"/>
        <v>Worcester</v>
      </c>
      <c r="AE732" s="624">
        <f>IF(ISNA(MATCH(AC732,N724:N733,0)),0,VLOOKUP(AC732,N724:S733,5,FALSE))</f>
        <v>0</v>
      </c>
      <c r="AF732" s="624" t="str">
        <f t="shared" ref="AF732" si="653">IF(ISNA(MATCH(AC732,T724:T733,0))," ",VLOOKUP(AC732,T724:Y733,5,FALSE))</f>
        <v xml:space="preserve"> </v>
      </c>
      <c r="AG732" s="624">
        <f>IF(ISNA(MATCH(AC732,L725:L732,0)),0,VLOOKUP(AC732,L725:N732,3,FALSE))</f>
        <v>0</v>
      </c>
      <c r="AH732" s="624">
        <f>IF(ISNA(MATCH(AC732,R725:R732,0)),0,VLOOKUP(AC732,R725:T732,3,FALSE))</f>
        <v>0</v>
      </c>
      <c r="AI732" s="624">
        <f>IF(ISNA(MATCH(AC732,L725:L732,0)),0,VLOOKUP(AC732,L725:P732,4,FALSE))</f>
        <v>0</v>
      </c>
      <c r="AJ732" s="624">
        <f>IF(ISNA(MATCH(AC732,R725:R732,0)),0,VLOOKUP(AC732,R725:U732,4,FALSE))</f>
        <v>0</v>
      </c>
      <c r="AK732" s="116">
        <f t="shared" si="649"/>
        <v>0</v>
      </c>
      <c r="AL732" s="116">
        <f t="shared" si="650"/>
        <v>0</v>
      </c>
      <c r="AM732" s="116">
        <f>IF(ISNA(MATCH(AC732,L725:L732,0)),0,VLOOKUP(AC732,L725:W732,AM$1,FALSE))</f>
        <v>0</v>
      </c>
      <c r="AN732" s="523">
        <f>IF(ISNA(MATCH(AC732,R725:R732,0)),0,VLOOKUP(AC732,R725:W732,AN$1,FALSE))</f>
        <v>0</v>
      </c>
      <c r="AP732" s="932"/>
      <c r="AQ732" s="932"/>
    </row>
    <row r="733" spans="1:47" ht="15" thickBot="1" x14ac:dyDescent="0.35">
      <c r="M733" s="276"/>
      <c r="N733" s="276"/>
      <c r="S733" s="276"/>
      <c r="T733" s="276"/>
      <c r="AP733" s="276"/>
      <c r="AQ733" s="276"/>
    </row>
    <row r="734" spans="1:47" x14ac:dyDescent="0.3">
      <c r="B734" s="400" t="s">
        <v>258</v>
      </c>
      <c r="C734" s="398"/>
      <c r="D734" s="401" t="s">
        <v>165</v>
      </c>
      <c r="E734" s="398"/>
      <c r="F734" s="398"/>
      <c r="G734" s="402" t="s">
        <v>259</v>
      </c>
      <c r="H734" s="403" t="s">
        <v>249</v>
      </c>
      <c r="I734" s="404" t="s">
        <v>168</v>
      </c>
      <c r="K734" s="360"/>
      <c r="L734" s="661"/>
      <c r="M734" s="387" t="s">
        <v>260</v>
      </c>
      <c r="N734" s="387" t="s">
        <v>261</v>
      </c>
      <c r="O734" s="387" t="s">
        <v>262</v>
      </c>
      <c r="P734" s="388" t="s">
        <v>75</v>
      </c>
      <c r="Q734" s="389"/>
      <c r="R734" s="657"/>
      <c r="S734" s="387" t="s">
        <v>260</v>
      </c>
      <c r="T734" s="387" t="s">
        <v>261</v>
      </c>
      <c r="U734" s="387" t="s">
        <v>262</v>
      </c>
      <c r="V734" s="388" t="s">
        <v>75</v>
      </c>
      <c r="W734" s="672" t="s">
        <v>76</v>
      </c>
      <c r="Y734" s="414" t="s">
        <v>263</v>
      </c>
      <c r="Z734" s="656" t="s">
        <v>74</v>
      </c>
      <c r="AA734" s="657" t="s">
        <v>75</v>
      </c>
      <c r="AC734" s="665" t="s">
        <v>71</v>
      </c>
      <c r="AD734" s="657" t="s">
        <v>86</v>
      </c>
      <c r="AE734" s="661" t="s">
        <v>149</v>
      </c>
      <c r="AF734" s="661" t="s">
        <v>94</v>
      </c>
      <c r="AG734" s="661" t="s">
        <v>149</v>
      </c>
      <c r="AH734" s="661" t="s">
        <v>94</v>
      </c>
      <c r="AI734" s="661" t="s">
        <v>149</v>
      </c>
      <c r="AJ734" s="661" t="s">
        <v>94</v>
      </c>
      <c r="AK734" s="1332" t="s">
        <v>149</v>
      </c>
      <c r="AL734" s="661" t="s">
        <v>94</v>
      </c>
      <c r="AM734" s="1406" t="s">
        <v>76</v>
      </c>
      <c r="AN734" s="1407"/>
      <c r="AP734" s="387" t="s">
        <v>260</v>
      </c>
      <c r="AQ734" s="387" t="s">
        <v>261</v>
      </c>
      <c r="AS734" s="1218" t="s">
        <v>165</v>
      </c>
      <c r="AT734" s="1219" t="s">
        <v>79</v>
      </c>
      <c r="AU734" s="1220" t="s">
        <v>80</v>
      </c>
    </row>
    <row r="735" spans="1:47" ht="15" thickBot="1" x14ac:dyDescent="0.35">
      <c r="B735" s="405">
        <v>66</v>
      </c>
      <c r="C735" s="399"/>
      <c r="D735" s="385" t="str">
        <f>VLOOKUP($B735,EventOrder,6,FALSE)</f>
        <v xml:space="preserve">200m </v>
      </c>
      <c r="E735" s="399"/>
      <c r="F735" s="385"/>
      <c r="G735" s="386" t="str">
        <f>VLOOKUP($B735,EventOrder,4,FALSE)</f>
        <v>U14 Female</v>
      </c>
      <c r="H735" s="396" t="str">
        <f>IF(MID(G735,5,1)="F","F","M")</f>
        <v>F</v>
      </c>
      <c r="I735" s="397">
        <f>VLOOKUP($B735,EventOrder,2,FALSE)</f>
        <v>3.55</v>
      </c>
      <c r="K735" s="377"/>
      <c r="L735" s="667" t="s">
        <v>149</v>
      </c>
      <c r="M735" s="409" t="s">
        <v>264</v>
      </c>
      <c r="N735" s="409" t="s">
        <v>265</v>
      </c>
      <c r="O735" s="390" t="s">
        <v>266</v>
      </c>
      <c r="P735" s="391"/>
      <c r="Q735" s="392"/>
      <c r="R735" s="659" t="s">
        <v>94</v>
      </c>
      <c r="S735" s="409" t="s">
        <v>264</v>
      </c>
      <c r="T735" s="409" t="s">
        <v>265</v>
      </c>
      <c r="U735" s="390" t="s">
        <v>266</v>
      </c>
      <c r="V735" s="391"/>
      <c r="W735" s="671"/>
      <c r="Y735" s="415" t="s">
        <v>167</v>
      </c>
      <c r="Z735" s="658" t="s">
        <v>149</v>
      </c>
      <c r="AA735" s="659" t="s">
        <v>94</v>
      </c>
      <c r="AC735" s="666"/>
      <c r="AD735" s="668"/>
      <c r="AE735" s="768" t="s">
        <v>75</v>
      </c>
      <c r="AF735" s="768" t="s">
        <v>75</v>
      </c>
      <c r="AG735" s="768" t="s">
        <v>267</v>
      </c>
      <c r="AH735" s="768" t="s">
        <v>267</v>
      </c>
      <c r="AI735" s="768" t="s">
        <v>268</v>
      </c>
      <c r="AJ735" s="768" t="s">
        <v>268</v>
      </c>
      <c r="AK735" s="770" t="s">
        <v>269</v>
      </c>
      <c r="AL735" s="768" t="s">
        <v>269</v>
      </c>
      <c r="AM735" s="667" t="s">
        <v>149</v>
      </c>
      <c r="AN735" s="659" t="s">
        <v>94</v>
      </c>
      <c r="AP735" s="409" t="s">
        <v>264</v>
      </c>
      <c r="AQ735" s="409" t="s">
        <v>265</v>
      </c>
      <c r="AS735" s="1221" t="s">
        <v>270</v>
      </c>
      <c r="AT735" s="1222" t="s">
        <v>270</v>
      </c>
      <c r="AU735" s="1223" t="s">
        <v>270</v>
      </c>
    </row>
    <row r="736" spans="1:47" ht="15.6" x14ac:dyDescent="0.3">
      <c r="A736" s="416">
        <f>(B735*10)+1</f>
        <v>661</v>
      </c>
      <c r="B736" s="362" t="str">
        <f>'Event Details'!D$22</f>
        <v>S</v>
      </c>
      <c r="C736" s="381" t="str">
        <f>'Event Details'!E$22</f>
        <v>BRAT</v>
      </c>
      <c r="D736" s="379"/>
      <c r="E736" s="378"/>
      <c r="F736" s="363" t="str">
        <f>VLOOKUP($B735,IF($H735="F",TeamSheetFemale,TeamSheetMale),$Y736-1,FALSE)</f>
        <v>S</v>
      </c>
      <c r="G736" s="380" t="str">
        <f>VLOOKUP($B735,IF($H735="F",TeamSheetFemale,TeamSheetMale),$Y736,FALSE)</f>
        <v xml:space="preserve">
Savannah Wedderburn</v>
      </c>
      <c r="H736" s="363" t="str">
        <f>VLOOKUP($B735,IF($H735="F",TeamSheetFemale,TeamSheetMale),$Y736+1,FALSE)</f>
        <v>SS</v>
      </c>
      <c r="I736" s="364" t="str">
        <f>VLOOKUP($B735,IF($H735="F",TeamSheetFemale,TeamSheetMale),$Y736+2,FALSE)</f>
        <v>Darcy mcdaid</v>
      </c>
      <c r="K736" s="393" t="s">
        <v>271</v>
      </c>
      <c r="L736" s="16" t="str">
        <f t="shared" ref="L736:L743" si="654">LEFT(M736,1)</f>
        <v>U</v>
      </c>
      <c r="M736" s="926" t="s">
        <v>130</v>
      </c>
      <c r="N736" s="926">
        <v>28</v>
      </c>
      <c r="O736" s="394" t="str">
        <f>IF(LEN($M736)=1,VLOOKUP(LEFT($M736,1),B736:I743,5,FALSE),IF(LEN($M736)=2,VLOOKUP(LEFT($M736,1),B736:I743,7,FALSE),""))</f>
        <v>U</v>
      </c>
      <c r="P736" s="395" t="str">
        <f>IF(LEN($M736)=1,VLOOKUP(LEFT($M736,1),B736:I743,6,FALSE),IF(LEN($M736)=2,VLOOKUP(LEFT($M736,1),B736:I743,8,FALSE),""))</f>
        <v>Pippa Richards</v>
      </c>
      <c r="Q736" s="393" t="s">
        <v>271</v>
      </c>
      <c r="R736" s="146" t="str">
        <f t="shared" ref="R736:R743" si="655">LEFT(S736,1)</f>
        <v>U</v>
      </c>
      <c r="S736" s="926" t="s">
        <v>726</v>
      </c>
      <c r="T736" s="926">
        <v>28.8</v>
      </c>
      <c r="U736" s="394" t="str">
        <f>IF(LEN($S736)=1,VLOOKUP(LEFT($S736,1),B736:I743,5,FALSE),IF(LEN($S736)=2,VLOOKUP(LEFT($S736,1),B736:I743,7,FALSE),""))</f>
        <v>UU</v>
      </c>
      <c r="V736" s="395" t="str">
        <f>IF(LEN($S736)=1,VLOOKUP(LEFT($S736,1),B736:I743,6,FALSE),IF(LEN($S736)=2,VLOOKUP(LEFT($S736,1),B736:I743,8,FALSE),""))</f>
        <v>Lila Warwick</v>
      </c>
      <c r="W736" s="417">
        <f>AN$6</f>
        <v>8</v>
      </c>
      <c r="Y736" s="416">
        <v>7</v>
      </c>
      <c r="Z736" s="653" t="str">
        <f t="shared" ref="Z736:Z743" si="656">IF(LEN(M736)&gt;0,VLOOKUP(LEFT(M736,1),ShortName,5,FALSE),0)</f>
        <v>K&amp;S</v>
      </c>
      <c r="AA736" s="138" t="str">
        <f t="shared" ref="AA736:AA743" si="657">IF(LEN(S736)&gt;0,VLOOKUP(LEFT(S736,1),ShortName,5,FALSE),0)</f>
        <v>K&amp;S</v>
      </c>
      <c r="AC736" s="16" t="str">
        <f t="shared" ref="AC736:AD743" si="658">B736</f>
        <v>S</v>
      </c>
      <c r="AD736" s="419" t="str">
        <f t="shared" si="658"/>
        <v>BRAT</v>
      </c>
      <c r="AE736" s="635">
        <f>IF(ISNA(MATCH(AC736,N736:N745,0)),0,VLOOKUP(AC736,N736:S745,5,FALSE))</f>
        <v>0</v>
      </c>
      <c r="AF736" s="635" t="str">
        <f>IF(ISNA(MATCH(AC736,T736:T745,0))," ",VLOOKUP(AC736,T736:Y745,5,FALSE))</f>
        <v xml:space="preserve"> </v>
      </c>
      <c r="AG736" s="635">
        <f>IF(ISNA(MATCH(AC736,L736:L743,0)),0,VLOOKUP(AC736,L736:N743,3,FALSE))</f>
        <v>31.8</v>
      </c>
      <c r="AH736" s="635">
        <f>IF(ISNA(MATCH(AC736,R736:R743,0)),0,VLOOKUP(AC736,R736:T743,3,FALSE))</f>
        <v>29.1</v>
      </c>
      <c r="AI736" s="635" t="str">
        <f>IF(ISNA(MATCH(AC736,L736:L743,0)),0,VLOOKUP(AC736,L736:P743,4,FALSE))</f>
        <v>S</v>
      </c>
      <c r="AJ736" s="635" t="str">
        <f>IF(ISNA(MATCH(AC736,R736:R743,0)),0,VLOOKUP(AC736,R736:U743,4,FALSE))</f>
        <v>SS</v>
      </c>
      <c r="AK736" s="49">
        <f t="shared" ref="AK736:AK743" si="659">IF(AM736=0,0,AN$6-(AM736-1))</f>
        <v>8</v>
      </c>
      <c r="AL736" s="49">
        <f t="shared" ref="AL736:AL743" si="660">IF(AN736=0,0,AN$6-(AN736-1))</f>
        <v>3</v>
      </c>
      <c r="AM736" s="49">
        <f>IF(ISNA(MATCH(AC736,L736:L743,0)),0,VLOOKUP(AC736,L736:W743,AM$1,FALSE))</f>
        <v>1</v>
      </c>
      <c r="AN736" s="138">
        <f>IF(ISNA(MATCH(AC736,R736:R743,0)),0,VLOOKUP(AC736,R736:W743,AN$1,FALSE))</f>
        <v>6</v>
      </c>
      <c r="AP736" s="926"/>
      <c r="AQ736" s="926"/>
      <c r="AS736" s="32">
        <f>IF(LEN(N736)&gt;0,1,0)</f>
        <v>1</v>
      </c>
      <c r="AT736" s="32">
        <f>IF(AND(AS736=1,H735="M"),1,0)</f>
        <v>0</v>
      </c>
      <c r="AU736" s="32">
        <f>IF(AND(AS736=1,H735="F"),1,0)</f>
        <v>1</v>
      </c>
    </row>
    <row r="737" spans="1:47" ht="15.6" x14ac:dyDescent="0.3">
      <c r="A737" s="417">
        <f>A736+1</f>
        <v>662</v>
      </c>
      <c r="B737" s="362" t="str">
        <f>'Event Details'!D$23</f>
        <v>U</v>
      </c>
      <c r="C737" s="381" t="str">
        <f>'Event Details'!E$23</f>
        <v>Kidder &amp; Stourport</v>
      </c>
      <c r="D737" s="379"/>
      <c r="E737" s="378"/>
      <c r="F737" s="363" t="str">
        <f>VLOOKUP($B735,IF($H735="F",TeamSheetFemale,TeamSheetMale),$Y737-1,FALSE)</f>
        <v>U</v>
      </c>
      <c r="G737" s="380" t="str">
        <f>VLOOKUP($B735,IF($H735="F",TeamSheetFemale,TeamSheetMale),$Y737,FALSE)</f>
        <v>Pippa Richards</v>
      </c>
      <c r="H737" s="363" t="str">
        <f>VLOOKUP($B735,IF($H735="F",TeamSheetFemale,TeamSheetMale),$Y737+1,FALSE)</f>
        <v>UU</v>
      </c>
      <c r="I737" s="364" t="str">
        <f>VLOOKUP($B735,IF($H735="F",TeamSheetFemale,TeamSheetMale),$Y737+2,FALSE)</f>
        <v>Lila Warwick</v>
      </c>
      <c r="K737" s="341" t="s">
        <v>272</v>
      </c>
      <c r="L737" s="16" t="str">
        <f t="shared" si="654"/>
        <v>G</v>
      </c>
      <c r="M737" s="927" t="s">
        <v>110</v>
      </c>
      <c r="N737" s="927">
        <v>28.4</v>
      </c>
      <c r="O737" s="353" t="str">
        <f>IF(LEN($M737)=1,VLOOKUP(LEFT($M737,1),B736:I743,5,FALSE),IF(LEN($M737)=2,VLOOKUP(LEFT($M737,1),B736:I743,7,FALSE),""))</f>
        <v>G</v>
      </c>
      <c r="P737" s="373" t="str">
        <f>IF(LEN($M737)=1,VLOOKUP(LEFT($M737,1),B736:I743,6,FALSE),IF(LEN($M737)=2,VLOOKUP(LEFT($M737,1),B736:I743,8,FALSE),""))</f>
        <v>Mabel Edgerton</v>
      </c>
      <c r="Q737" s="341" t="s">
        <v>272</v>
      </c>
      <c r="R737" s="146" t="str">
        <f t="shared" si="655"/>
        <v>M</v>
      </c>
      <c r="S737" s="927" t="s">
        <v>821</v>
      </c>
      <c r="T737" s="927">
        <v>29</v>
      </c>
      <c r="U737" s="353" t="str">
        <f>IF(LEN($S737)=1,VLOOKUP(LEFT($S737,1),B736:I743,5,FALSE),IF(LEN($S737)=2,VLOOKUP(LEFT($S737,1),B736:I743,7,FALSE),""))</f>
        <v>MM</v>
      </c>
      <c r="V737" s="373" t="str">
        <f>IF(LEN($S737)=1,VLOOKUP(LEFT($S737,1),B736:I743,6,FALSE),IF(LEN($S737)=2,VLOOKUP(LEFT($S737,1),B736:I743,8,FALSE),""))</f>
        <v>Abby Ruggles</v>
      </c>
      <c r="W737" s="417">
        <f>W736-1</f>
        <v>7</v>
      </c>
      <c r="Y737" s="417">
        <v>12</v>
      </c>
      <c r="Z737" s="16" t="str">
        <f t="shared" si="656"/>
        <v>Royal</v>
      </c>
      <c r="AA737" s="146" t="str">
        <f t="shared" si="657"/>
        <v>Sol</v>
      </c>
      <c r="AC737" s="16" t="str">
        <f t="shared" si="658"/>
        <v>U</v>
      </c>
      <c r="AD737" s="419" t="str">
        <f t="shared" si="658"/>
        <v>Kidder &amp; Stourport</v>
      </c>
      <c r="AE737" s="419">
        <f>IF(ISNA(MATCH(AC737,N736:N745,0)),0,VLOOKUP(AC737,N736:S745,5,FALSE))</f>
        <v>0</v>
      </c>
      <c r="AF737" s="419" t="str">
        <f>IF(ISNA(MATCH(AC737,T736:T745,0))," ",VLOOKUP(AC737,T736:Y745,5,FALSE))</f>
        <v xml:space="preserve"> </v>
      </c>
      <c r="AG737" s="419">
        <f>IF(ISNA(MATCH(AC737,L736:L743,0)),0,VLOOKUP(AC737,L736:N743,3,FALSE))</f>
        <v>28</v>
      </c>
      <c r="AH737" s="419">
        <f>IF(ISNA(MATCH(AC737,R736:R743,0)),0,VLOOKUP(AC737,R736:T743,3,FALSE))</f>
        <v>28.8</v>
      </c>
      <c r="AI737" s="419" t="str">
        <f>IF(ISNA(MATCH(AC737,L736:L743,0)),0,VLOOKUP(AC737,L736:P743,4,FALSE))</f>
        <v>U</v>
      </c>
      <c r="AJ737" s="419" t="str">
        <f>IF(ISNA(MATCH(AC737,R736:R743,0)),0,VLOOKUP(AC737,R736:U743,4,FALSE))</f>
        <v>UU</v>
      </c>
      <c r="AK737" s="32">
        <f t="shared" si="659"/>
        <v>1</v>
      </c>
      <c r="AL737" s="32">
        <f t="shared" si="660"/>
        <v>1</v>
      </c>
      <c r="AM737" s="32">
        <f>IF(ISNA(MATCH(AC737,L736:L743,0)),0,VLOOKUP(AC737,L736:W743,AM$1,FALSE))</f>
        <v>8</v>
      </c>
      <c r="AN737" s="146">
        <f>IF(ISNA(MATCH(AC737,R736:R743,0)),0,VLOOKUP(AC737,R736:W743,AN$1,FALSE))</f>
        <v>8</v>
      </c>
      <c r="AP737" s="927"/>
      <c r="AQ737" s="927"/>
    </row>
    <row r="738" spans="1:47" ht="15.6" x14ac:dyDescent="0.3">
      <c r="A738" s="417">
        <f t="shared" ref="A738:A743" si="661">A737+1</f>
        <v>663</v>
      </c>
      <c r="B738" s="362" t="str">
        <f>'Event Details'!D$24</f>
        <v>G</v>
      </c>
      <c r="C738" s="381" t="str">
        <f>'Event Details'!E$24</f>
        <v>Royal Sutton</v>
      </c>
      <c r="D738" s="379"/>
      <c r="E738" s="378"/>
      <c r="F738" s="363" t="str">
        <f>VLOOKUP($B735,IF($H735="F",TeamSheetFemale,TeamSheetMale),$Y738-1,FALSE)</f>
        <v>G</v>
      </c>
      <c r="G738" s="380" t="str">
        <f>VLOOKUP($B735,IF($H735="F",TeamSheetFemale,TeamSheetMale),$Y738,FALSE)</f>
        <v>Mabel Edgerton</v>
      </c>
      <c r="H738" s="363" t="str">
        <f>VLOOKUP($B735,IF($H735="F",TeamSheetFemale,TeamSheetMale),$Y738+1,FALSE)</f>
        <v>GG</v>
      </c>
      <c r="I738" s="364" t="str">
        <f>VLOOKUP($B735,IF($H735="F",TeamSheetFemale,TeamSheetMale),$Y738+2,FALSE)</f>
        <v>Abigail Dilworth</v>
      </c>
      <c r="K738" s="341" t="s">
        <v>273</v>
      </c>
      <c r="L738" s="16" t="str">
        <f t="shared" si="654"/>
        <v>M</v>
      </c>
      <c r="M738" s="927" t="s">
        <v>127</v>
      </c>
      <c r="N738" s="927">
        <v>28.9</v>
      </c>
      <c r="O738" s="353" t="str">
        <f>IF(LEN($M738)=1,VLOOKUP(LEFT($M738,1),B736:I743,5,FALSE),IF(LEN($M738)=2,VLOOKUP(LEFT($M738,1),B736:I743,7,FALSE),""))</f>
        <v>M</v>
      </c>
      <c r="P738" s="373" t="str">
        <f>IF(LEN($M738)=1,VLOOKUP(LEFT($M738,1),B736:I743,6,FALSE),IF(LEN($M738)=2,VLOOKUP(LEFT($M738,1),B736:I743,8,FALSE),""))</f>
        <v>Ava Blundell</v>
      </c>
      <c r="Q738" s="341" t="s">
        <v>273</v>
      </c>
      <c r="R738" s="146" t="str">
        <f t="shared" si="655"/>
        <v>S</v>
      </c>
      <c r="S738" s="927" t="s">
        <v>818</v>
      </c>
      <c r="T738" s="927">
        <v>29.1</v>
      </c>
      <c r="U738" s="353" t="str">
        <f>IF(LEN($S738)=1,VLOOKUP(LEFT($S738,1),B736:I743,5,FALSE),IF(LEN($S738)=2,VLOOKUP(LEFT($S738,1),B736:I743,7,FALSE),""))</f>
        <v>SS</v>
      </c>
      <c r="V738" s="373" t="str">
        <f>IF(LEN($S738)=1,VLOOKUP(LEFT($S738,1),B736:I743,6,FALSE),IF(LEN($S738)=2,VLOOKUP(LEFT($S738,1),B736:I743,8,FALSE),""))</f>
        <v>Darcy mcdaid</v>
      </c>
      <c r="W738" s="417">
        <f t="shared" ref="W738:W743" si="662">W737-1</f>
        <v>6</v>
      </c>
      <c r="Y738" s="417">
        <v>17</v>
      </c>
      <c r="Z738" s="16" t="str">
        <f t="shared" si="656"/>
        <v>Sol</v>
      </c>
      <c r="AA738" s="146" t="str">
        <f t="shared" si="657"/>
        <v>BRAT</v>
      </c>
      <c r="AB738" s="32"/>
      <c r="AC738" s="16" t="str">
        <f t="shared" si="658"/>
        <v>G</v>
      </c>
      <c r="AD738" s="419" t="str">
        <f t="shared" si="658"/>
        <v>Royal Sutton</v>
      </c>
      <c r="AE738" s="419">
        <f>IF(ISNA(MATCH(AC738,N736:N745,0)),0,VLOOKUP(AC738,N736:S745,5,FALSE))</f>
        <v>0</v>
      </c>
      <c r="AF738" s="419" t="str">
        <f>IF(ISNA(MATCH(AC738,T736:T745,0))," ",VLOOKUP(AC738,T736:Y745,5,FALSE))</f>
        <v xml:space="preserve"> </v>
      </c>
      <c r="AG738" s="419">
        <f>IF(ISNA(MATCH(AC738,L736:L743,0)),0,VLOOKUP(AC738,L736:N743,3,FALSE))</f>
        <v>28.4</v>
      </c>
      <c r="AH738" s="419">
        <f>IF(ISNA(MATCH(AC738,R736:R743,0)),0,VLOOKUP(AC738,R736:T743,3,FALSE))</f>
        <v>30.6</v>
      </c>
      <c r="AI738" s="419" t="str">
        <f>IF(ISNA(MATCH(AC738,L736:L743,0)),0,VLOOKUP(AC738,L736:P743,4,FALSE))</f>
        <v>G</v>
      </c>
      <c r="AJ738" s="419" t="str">
        <f>IF(ISNA(MATCH(AC738,R736:R743,0)),0,VLOOKUP(AC738,R736:U743,4,FALSE))</f>
        <v>GG</v>
      </c>
      <c r="AK738" s="32">
        <f t="shared" si="659"/>
        <v>2</v>
      </c>
      <c r="AL738" s="32">
        <f t="shared" si="660"/>
        <v>5</v>
      </c>
      <c r="AM738" s="32">
        <f>IF(ISNA(MATCH(AC738,L736:L743,0)),0,VLOOKUP(AC738,L736:W743,AM$1,FALSE))</f>
        <v>7</v>
      </c>
      <c r="AN738" s="146">
        <f>IF(ISNA(MATCH(AC738,R736:R743,0)),0,VLOOKUP(AC738,R736:W743,AN$1,FALSE))</f>
        <v>4</v>
      </c>
      <c r="AP738" s="927"/>
      <c r="AQ738" s="927"/>
    </row>
    <row r="739" spans="1:47" ht="15.6" x14ac:dyDescent="0.3">
      <c r="A739" s="417">
        <f t="shared" si="661"/>
        <v>664</v>
      </c>
      <c r="B739" s="362" t="str">
        <f>'Event Details'!D$25</f>
        <v>R</v>
      </c>
      <c r="C739" s="381" t="str">
        <f>'Event Details'!E$25</f>
        <v>Rugby &amp; N'hampton</v>
      </c>
      <c r="D739" s="379"/>
      <c r="E739" s="378"/>
      <c r="F739" s="363" t="str">
        <f>VLOOKUP($B735,IF($H735="F",TeamSheetFemale,TeamSheetMale),$Y739-1,FALSE)</f>
        <v>R</v>
      </c>
      <c r="G739" s="380" t="str">
        <f>VLOOKUP($B735,IF($H735="F",TeamSheetFemale,TeamSheetMale),$Y739,FALSE)</f>
        <v>Amber Butler</v>
      </c>
      <c r="H739" s="363" t="str">
        <f>VLOOKUP($B735,IF($H735="F",TeamSheetFemale,TeamSheetMale),$Y739+1,FALSE)</f>
        <v>RR</v>
      </c>
      <c r="I739" s="364" t="str">
        <f>VLOOKUP($B735,IF($H735="F",TeamSheetFemale,TeamSheetMale),$Y739+2,FALSE)</f>
        <v>Sophia Agius</v>
      </c>
      <c r="K739" s="341" t="s">
        <v>274</v>
      </c>
      <c r="L739" s="16" t="str">
        <f t="shared" si="654"/>
        <v>Y</v>
      </c>
      <c r="M739" s="927" t="s">
        <v>151</v>
      </c>
      <c r="N739" s="927">
        <v>29.2</v>
      </c>
      <c r="O739" s="353" t="str">
        <f>IF(LEN($M739)=1,VLOOKUP(LEFT($M739,1),B736:I743,5,FALSE),IF(LEN($M739)=2,VLOOKUP(LEFT($M739,1),B736:I743,7,FALSE),""))</f>
        <v>Y</v>
      </c>
      <c r="P739" s="373" t="str">
        <f>IF(LEN($M739)=1,VLOOKUP(LEFT($M739,1),B736:I743,6,FALSE),IF(LEN($M739)=2,VLOOKUP(LEFT($M739,1),B736:I743,8,FALSE),""))</f>
        <v>Gracie Hodgkins</v>
      </c>
      <c r="Q739" s="341" t="s">
        <v>274</v>
      </c>
      <c r="R739" s="146" t="str">
        <f t="shared" si="655"/>
        <v>R</v>
      </c>
      <c r="S739" s="927" t="s">
        <v>819</v>
      </c>
      <c r="T739" s="927">
        <v>29.5</v>
      </c>
      <c r="U739" s="353" t="str">
        <f>IF(LEN($S739)=1,VLOOKUP(LEFT($S739,1),B736:I743,5,FALSE),IF(LEN($S739)=2,VLOOKUP(LEFT($S739,1),B736:I743,7,FALSE),""))</f>
        <v>RR</v>
      </c>
      <c r="V739" s="373" t="str">
        <f>IF(LEN($S739)=1,VLOOKUP(LEFT($S739,1),B736:I743,6,FALSE),IF(LEN($S739)=2,VLOOKUP(LEFT($S739,1),B736:I743,8,FALSE),""))</f>
        <v>Sophia Agius</v>
      </c>
      <c r="W739" s="417">
        <f t="shared" si="662"/>
        <v>5</v>
      </c>
      <c r="Y739" s="417">
        <v>22</v>
      </c>
      <c r="Z739" s="16" t="str">
        <f t="shared" si="656"/>
        <v>Worc</v>
      </c>
      <c r="AA739" s="146" t="str">
        <f t="shared" si="657"/>
        <v>Rugby</v>
      </c>
      <c r="AB739" s="32"/>
      <c r="AC739" s="16" t="str">
        <f t="shared" si="658"/>
        <v>R</v>
      </c>
      <c r="AD739" s="419" t="str">
        <f t="shared" si="658"/>
        <v>Rugby &amp; N'hampton</v>
      </c>
      <c r="AE739" s="419">
        <f>IF(ISNA(MATCH(AC739,N736:N745,0)),0,VLOOKUP(AC739,N736:S745,5,FALSE))</f>
        <v>0</v>
      </c>
      <c r="AF739" s="419" t="str">
        <f>IF(ISNA(MATCH(AC739,T736:T745,0))," ",VLOOKUP(AC739,T736:Y745,5,FALSE))</f>
        <v xml:space="preserve"> </v>
      </c>
      <c r="AG739" s="419">
        <f>IF(ISNA(MATCH(AC739,L736:L743,0)),0,VLOOKUP(AC739,L736:N743,3,FALSE))</f>
        <v>30.2</v>
      </c>
      <c r="AH739" s="419">
        <f>IF(ISNA(MATCH(AC739,R736:R743,0)),0,VLOOKUP(AC739,R736:T743,3,FALSE))</f>
        <v>29.5</v>
      </c>
      <c r="AI739" s="419" t="str">
        <f>IF(ISNA(MATCH(AC739,L736:L743,0)),0,VLOOKUP(AC739,L736:P743,4,FALSE))</f>
        <v>R</v>
      </c>
      <c r="AJ739" s="419" t="str">
        <f>IF(ISNA(MATCH(AC739,R736:R743,0)),0,VLOOKUP(AC739,R736:U743,4,FALSE))</f>
        <v>RR</v>
      </c>
      <c r="AK739" s="32">
        <f t="shared" si="659"/>
        <v>7</v>
      </c>
      <c r="AL739" s="32">
        <f t="shared" si="660"/>
        <v>4</v>
      </c>
      <c r="AM739" s="32">
        <f>IF(ISNA(MATCH(AC739,L736:L743,0)),0,VLOOKUP(AC739,L736:W743,AM$1,FALSE))</f>
        <v>2</v>
      </c>
      <c r="AN739" s="146">
        <f>IF(ISNA(MATCH(AC739,R736:R743,0)),0,VLOOKUP(AC739,R736:W743,AN$1,FALSE))</f>
        <v>5</v>
      </c>
      <c r="AP739" s="927"/>
      <c r="AQ739" s="927"/>
    </row>
    <row r="740" spans="1:47" ht="15.6" x14ac:dyDescent="0.3">
      <c r="A740" s="417">
        <f t="shared" si="661"/>
        <v>665</v>
      </c>
      <c r="B740" s="362" t="str">
        <f>'Event Details'!D$26</f>
        <v>M</v>
      </c>
      <c r="C740" s="381" t="str">
        <f>'Event Details'!E$26</f>
        <v>Solihull &amp; S.Heath</v>
      </c>
      <c r="D740" s="379"/>
      <c r="E740" s="378"/>
      <c r="F740" s="363" t="str">
        <f>VLOOKUP($B735,IF($H735="F",TeamSheetFemale,TeamSheetMale),$Y740-1,FALSE)</f>
        <v>M</v>
      </c>
      <c r="G740" s="380" t="str">
        <f>VLOOKUP($B735,IF($H735="F",TeamSheetFemale,TeamSheetMale),$Y740,FALSE)</f>
        <v>Ava Blundell</v>
      </c>
      <c r="H740" s="363" t="str">
        <f>VLOOKUP($B735,IF($H735="F",TeamSheetFemale,TeamSheetMale),$Y740+1,FALSE)</f>
        <v>MM</v>
      </c>
      <c r="I740" s="364" t="str">
        <f>VLOOKUP($B735,IF($H735="F",TeamSheetFemale,TeamSheetMale),$Y740+2,FALSE)</f>
        <v>Abby Ruggles</v>
      </c>
      <c r="K740" s="341" t="s">
        <v>275</v>
      </c>
      <c r="L740" s="16" t="str">
        <f t="shared" si="654"/>
        <v>F</v>
      </c>
      <c r="M740" s="927" t="s">
        <v>142</v>
      </c>
      <c r="N740" s="927">
        <v>29.6</v>
      </c>
      <c r="O740" s="353" t="str">
        <f>IF(LEN($M740)=1,VLOOKUP(LEFT($M740,1),B736:I743,5,FALSE),IF(LEN($M740)=2,VLOOKUP(LEFT($M740,1),B736:I743,7,FALSE),""))</f>
        <v>F</v>
      </c>
      <c r="P740" s="373" t="str">
        <f>IF(LEN($M740)=1,VLOOKUP(LEFT($M740,1),B736:I743,6,FALSE),IF(LEN($M740)=2,VLOOKUP(LEFT($M740,1),B736:I743,8,FALSE),""))</f>
        <v>Freya Draycott</v>
      </c>
      <c r="Q740" s="341" t="s">
        <v>275</v>
      </c>
      <c r="R740" s="146" t="str">
        <f t="shared" si="655"/>
        <v>G</v>
      </c>
      <c r="S740" s="927" t="s">
        <v>820</v>
      </c>
      <c r="T740" s="927">
        <v>30.6</v>
      </c>
      <c r="U740" s="353" t="str">
        <f>IF(LEN($S740)=1,VLOOKUP(LEFT($S740,1),B736:I743,5,FALSE),IF(LEN($S740)=2,VLOOKUP(LEFT($S740,1),B736:I743,7,FALSE),""))</f>
        <v>GG</v>
      </c>
      <c r="V740" s="373" t="str">
        <f>IF(LEN($S740)=1,VLOOKUP(LEFT($S740,1),B736:I743,6,FALSE),IF(LEN($S740)=2,VLOOKUP(LEFT($S740,1),B736:I743,8,FALSE),""))</f>
        <v>Abigail Dilworth</v>
      </c>
      <c r="W740" s="417">
        <f t="shared" si="662"/>
        <v>4</v>
      </c>
      <c r="Y740" s="417">
        <v>27</v>
      </c>
      <c r="Z740" s="16" t="str">
        <f t="shared" si="656"/>
        <v>Tam</v>
      </c>
      <c r="AA740" s="146" t="str">
        <f t="shared" si="657"/>
        <v>Royal</v>
      </c>
      <c r="AB740" s="32"/>
      <c r="AC740" s="16" t="str">
        <f t="shared" si="658"/>
        <v>M</v>
      </c>
      <c r="AD740" s="419" t="str">
        <f t="shared" si="658"/>
        <v>Solihull &amp; S.Heath</v>
      </c>
      <c r="AE740" s="419">
        <f>IF(ISNA(MATCH(AC740,N736:N745,0)),0,VLOOKUP(AC740,N736:S745,5,FALSE))</f>
        <v>0</v>
      </c>
      <c r="AF740" s="419" t="str">
        <f>IF(ISNA(MATCH(AC740,T736:T745,0))," ",VLOOKUP(AC740,T736:Y745,5,FALSE))</f>
        <v xml:space="preserve"> </v>
      </c>
      <c r="AG740" s="419">
        <f>IF(ISNA(MATCH(AC740,L736:L743,0)),0,VLOOKUP(AC740,L736:N743,3,FALSE))</f>
        <v>28.9</v>
      </c>
      <c r="AH740" s="419">
        <f>IF(ISNA(MATCH(AC740,R736:R743,0)),0,VLOOKUP(AC740,R736:T743,3,FALSE))</f>
        <v>29</v>
      </c>
      <c r="AI740" s="419" t="str">
        <f>IF(ISNA(MATCH(AC740,L736:L743,0)),0,VLOOKUP(AC740,L736:P743,4,FALSE))</f>
        <v>M</v>
      </c>
      <c r="AJ740" s="419" t="str">
        <f>IF(ISNA(MATCH(AC740,R736:R743,0)),0,VLOOKUP(AC740,R736:U743,4,FALSE))</f>
        <v>MM</v>
      </c>
      <c r="AK740" s="32">
        <f t="shared" si="659"/>
        <v>3</v>
      </c>
      <c r="AL740" s="32">
        <f t="shared" si="660"/>
        <v>2</v>
      </c>
      <c r="AM740" s="32">
        <f>IF(ISNA(MATCH(AC740,L736:L743,0)),0,VLOOKUP(AC740,L736:W743,AM$1,FALSE))</f>
        <v>6</v>
      </c>
      <c r="AN740" s="146">
        <f>IF(ISNA(MATCH(AC740,R736:R743,0)),0,VLOOKUP(AC740,R736:W743,AN$1,FALSE))</f>
        <v>7</v>
      </c>
      <c r="AP740" s="927"/>
      <c r="AQ740" s="927"/>
    </row>
    <row r="741" spans="1:47" ht="15.6" x14ac:dyDescent="0.3">
      <c r="A741" s="417">
        <f t="shared" si="661"/>
        <v>666</v>
      </c>
      <c r="B741" s="362" t="str">
        <f>'Event Details'!D$27</f>
        <v>D</v>
      </c>
      <c r="C741" s="381" t="str">
        <f>'Event Details'!E$27</f>
        <v>Stratford</v>
      </c>
      <c r="D741" s="379"/>
      <c r="E741" s="378"/>
      <c r="F741" s="363" t="str">
        <f>VLOOKUP($B735,IF($H735="F",TeamSheetFemale,TeamSheetMale),$Y741-1,FALSE)</f>
        <v>D</v>
      </c>
      <c r="G741" s="380" t="str">
        <f>VLOOKUP($B735,IF($H735="F",TeamSheetFemale,TeamSheetMale),$Y741,FALSE)</f>
        <v>Elsie Pipitone</v>
      </c>
      <c r="H741" s="363" t="str">
        <f>VLOOKUP($B735,IF($H735="F",TeamSheetFemale,TeamSheetMale),$Y741+1,FALSE)</f>
        <v>DD</v>
      </c>
      <c r="I741" s="364" t="str">
        <f>VLOOKUP($B735,IF($H735="F",TeamSheetFemale,TeamSheetMale),$Y741+2,FALSE)</f>
        <v>Evangeline Harris</v>
      </c>
      <c r="K741" s="341" t="s">
        <v>276</v>
      </c>
      <c r="L741" s="16" t="str">
        <f t="shared" si="654"/>
        <v>D</v>
      </c>
      <c r="M741" s="927" t="s">
        <v>136</v>
      </c>
      <c r="N741" s="927">
        <v>29.6</v>
      </c>
      <c r="O741" s="353" t="str">
        <f>IF(LEN($M741)=1,VLOOKUP(LEFT($M741,1),B736:I743,5,FALSE),IF(LEN($M741)=2,VLOOKUP(LEFT($M741,1),B736:I743,7,FALSE),""))</f>
        <v>D</v>
      </c>
      <c r="P741" s="373" t="str">
        <f>IF(LEN($M741)=1,VLOOKUP(LEFT($M741,1),B736:I743,6,FALSE),IF(LEN($M741)=2,VLOOKUP(LEFT($M741,1),B736:I743,8,FALSE),""))</f>
        <v>Elsie Pipitone</v>
      </c>
      <c r="Q741" s="341" t="s">
        <v>276</v>
      </c>
      <c r="R741" s="146" t="str">
        <f t="shared" si="655"/>
        <v>Y</v>
      </c>
      <c r="S741" s="927" t="s">
        <v>822</v>
      </c>
      <c r="T741" s="927">
        <v>30.7</v>
      </c>
      <c r="U741" s="353" t="str">
        <f>IF(LEN($S741)=1,VLOOKUP(LEFT($S741,1),B736:I743,5,FALSE),IF(LEN($S741)=2,VLOOKUP(LEFT($S741,1),B736:I743,7,FALSE),""))</f>
        <v>YY</v>
      </c>
      <c r="V741" s="373" t="str">
        <f>IF(LEN($S741)=1,VLOOKUP(LEFT($S741,1),B736:I743,6,FALSE),IF(LEN($S741)=2,VLOOKUP(LEFT($S741,1),B736:I743,8,FALSE),""))</f>
        <v>Isla Porter</v>
      </c>
      <c r="W741" s="417">
        <f t="shared" si="662"/>
        <v>3</v>
      </c>
      <c r="Y741" s="417">
        <v>32</v>
      </c>
      <c r="Z741" s="16" t="str">
        <f t="shared" si="656"/>
        <v>Strat</v>
      </c>
      <c r="AA741" s="146" t="str">
        <f t="shared" si="657"/>
        <v>Worc</v>
      </c>
      <c r="AB741" s="32"/>
      <c r="AC741" s="16" t="str">
        <f t="shared" si="658"/>
        <v>D</v>
      </c>
      <c r="AD741" s="419" t="str">
        <f t="shared" si="658"/>
        <v>Stratford</v>
      </c>
      <c r="AE741" s="419">
        <f>IF(ISNA(MATCH(AC741,N736:N745,0)),0,VLOOKUP(AC741,N736:S745,5,FALSE))</f>
        <v>0</v>
      </c>
      <c r="AF741" s="419" t="str">
        <f>IF(ISNA(MATCH(AC741,T736:T745,0))," ",VLOOKUP(AC741,T736:Y745,5,FALSE))</f>
        <v xml:space="preserve"> </v>
      </c>
      <c r="AG741" s="419">
        <f>IF(ISNA(MATCH(AC741,L736:L743,0)),0,VLOOKUP(AC741,L736:N743,3,FALSE))</f>
        <v>29.6</v>
      </c>
      <c r="AH741" s="419">
        <f>IF(ISNA(MATCH(AC741,R736:R743,0)),0,VLOOKUP(AC741,R736:T743,3,FALSE))</f>
        <v>32</v>
      </c>
      <c r="AI741" s="419" t="str">
        <f>IF(ISNA(MATCH(AC741,L736:L743,0)),0,VLOOKUP(AC741,L736:P743,4,FALSE))</f>
        <v>D</v>
      </c>
      <c r="AJ741" s="419" t="str">
        <f>IF(ISNA(MATCH(AC741,R736:R743,0)),0,VLOOKUP(AC741,R736:U743,4,FALSE))</f>
        <v>DD</v>
      </c>
      <c r="AK741" s="32">
        <f t="shared" si="659"/>
        <v>6</v>
      </c>
      <c r="AL741" s="32">
        <f t="shared" si="660"/>
        <v>8</v>
      </c>
      <c r="AM741" s="32">
        <f>IF(ISNA(MATCH(AC741,L736:L743,0)),0,VLOOKUP(AC741,L736:W743,AM$1,FALSE))</f>
        <v>3</v>
      </c>
      <c r="AN741" s="146">
        <f>IF(ISNA(MATCH(AC741,R736:R743,0)),0,VLOOKUP(AC741,R736:W743,AN$1,FALSE))</f>
        <v>1</v>
      </c>
      <c r="AP741" s="927"/>
      <c r="AQ741" s="927"/>
    </row>
    <row r="742" spans="1:47" ht="15.6" x14ac:dyDescent="0.3">
      <c r="A742" s="417">
        <f t="shared" si="661"/>
        <v>667</v>
      </c>
      <c r="B742" s="362" t="str">
        <f>'Event Details'!D$28</f>
        <v>F</v>
      </c>
      <c r="C742" s="381" t="str">
        <f>'Event Details'!E$28</f>
        <v>Tamworth</v>
      </c>
      <c r="D742" s="379"/>
      <c r="E742" s="378"/>
      <c r="F742" s="363" t="str">
        <f>VLOOKUP($B735,IF($H735="F",TeamSheetFemale,TeamSheetMale),$Y742-1,FALSE)</f>
        <v>F</v>
      </c>
      <c r="G742" s="380" t="str">
        <f>VLOOKUP($B735,IF($H735="F",TeamSheetFemale,TeamSheetMale),$Y742,FALSE)</f>
        <v>Freya Draycott</v>
      </c>
      <c r="H742" s="363" t="str">
        <f>VLOOKUP($B735,IF($H735="F",TeamSheetFemale,TeamSheetMale),$Y742+1,FALSE)</f>
        <v>FF</v>
      </c>
      <c r="I742" s="364" t="str">
        <f>VLOOKUP($B735,IF($H735="F",TeamSheetFemale,TeamSheetMale),$Y742+2,FALSE)</f>
        <v>Evie Smith</v>
      </c>
      <c r="K742" s="341" t="s">
        <v>277</v>
      </c>
      <c r="L742" s="16" t="str">
        <f t="shared" si="654"/>
        <v>R</v>
      </c>
      <c r="M742" s="927" t="s">
        <v>118</v>
      </c>
      <c r="N742" s="927">
        <v>30.2</v>
      </c>
      <c r="O742" s="353" t="str">
        <f>IF(LEN($M742)=1,VLOOKUP(LEFT($M742,1),B736:I743,5,FALSE),IF(LEN($M742)=2,VLOOKUP(LEFT($M742,1),B736:I743,7,FALSE),""))</f>
        <v>R</v>
      </c>
      <c r="P742" s="373" t="str">
        <f>IF(LEN($M742)=1,VLOOKUP(LEFT($M742,1),B736:I743,6,FALSE),IF(LEN($M742)=2,VLOOKUP(LEFT($M742,1),B736:I743,8,FALSE),""))</f>
        <v>Amber Butler</v>
      </c>
      <c r="Q742" s="341" t="s">
        <v>277</v>
      </c>
      <c r="R742" s="146" t="str">
        <f t="shared" si="655"/>
        <v>F</v>
      </c>
      <c r="S742" s="927" t="s">
        <v>576</v>
      </c>
      <c r="T742" s="927">
        <v>32</v>
      </c>
      <c r="U742" s="353" t="str">
        <f>IF(LEN($S742)=1,VLOOKUP(LEFT($S742,1),B736:I743,5,FALSE),IF(LEN($S742)=2,VLOOKUP(LEFT($S742,1),B736:I743,7,FALSE),""))</f>
        <v>FF</v>
      </c>
      <c r="V742" s="373" t="str">
        <f>IF(LEN($S742)=1,VLOOKUP(LEFT($S742,1),B736:I743,6,FALSE),IF(LEN($S742)=2,VLOOKUP(LEFT($S742,1),B736:I743,8,FALSE),""))</f>
        <v>Evie Smith</v>
      </c>
      <c r="W742" s="417">
        <f t="shared" si="662"/>
        <v>2</v>
      </c>
      <c r="Y742" s="417">
        <v>37</v>
      </c>
      <c r="Z742" s="16" t="str">
        <f t="shared" si="656"/>
        <v>Rugby</v>
      </c>
      <c r="AA742" s="146" t="str">
        <f t="shared" si="657"/>
        <v>Tam</v>
      </c>
      <c r="AB742" s="32"/>
      <c r="AC742" s="16" t="str">
        <f t="shared" si="658"/>
        <v>F</v>
      </c>
      <c r="AD742" s="419" t="str">
        <f t="shared" si="658"/>
        <v>Tamworth</v>
      </c>
      <c r="AE742" s="419">
        <f>IF(ISNA(MATCH(AC742,N734:N743,0)),0,VLOOKUP(AC742,N734:S743,5,FALSE))</f>
        <v>0</v>
      </c>
      <c r="AF742" s="419" t="str">
        <f>IF(ISNA(MATCH(AC742,T734:T743,0))," ",VLOOKUP(AC742,T734:Y743,5,FALSE))</f>
        <v xml:space="preserve"> </v>
      </c>
      <c r="AG742" s="419">
        <f>IF(ISNA(MATCH(AC742,L736:L743,0)),0,VLOOKUP(AC742,L736:N743,3,FALSE))</f>
        <v>29.6</v>
      </c>
      <c r="AH742" s="419">
        <f>IF(ISNA(MATCH(AC742,R736:R743,0)),0,VLOOKUP(AC742,R736:T743,3,FALSE))</f>
        <v>32</v>
      </c>
      <c r="AI742" s="419" t="str">
        <f>IF(ISNA(MATCH(AC742,L736:L743,0)),0,VLOOKUP(AC742,L736:P743,4,FALSE))</f>
        <v>F</v>
      </c>
      <c r="AJ742" s="419" t="str">
        <f>IF(ISNA(MATCH(AC742,R736:R743,0)),0,VLOOKUP(AC742,R736:U743,4,FALSE))</f>
        <v>FF</v>
      </c>
      <c r="AK742" s="32">
        <f t="shared" si="659"/>
        <v>5</v>
      </c>
      <c r="AL742" s="32">
        <f t="shared" si="660"/>
        <v>7</v>
      </c>
      <c r="AM742" s="32">
        <f>IF(ISNA(MATCH(AC742,L736:L743,0)),0,VLOOKUP(AC742,L736:W743,AM$1,FALSE))</f>
        <v>4</v>
      </c>
      <c r="AN742" s="146">
        <f>IF(ISNA(MATCH(AC742,R736:R743,0)),0,VLOOKUP(AC742,R736:W743,AN$1,FALSE))</f>
        <v>2</v>
      </c>
      <c r="AP742" s="927"/>
      <c r="AQ742" s="927"/>
    </row>
    <row r="743" spans="1:47" ht="16.2" thickBot="1" x14ac:dyDescent="0.35">
      <c r="A743" s="418">
        <f t="shared" si="661"/>
        <v>668</v>
      </c>
      <c r="B743" s="365" t="str">
        <f>'Event Details'!D$29</f>
        <v>Y</v>
      </c>
      <c r="C743" s="366" t="str">
        <f>'Event Details'!E$29</f>
        <v>Worcester</v>
      </c>
      <c r="D743" s="361"/>
      <c r="E743" s="370"/>
      <c r="F743" s="367" t="str">
        <f>VLOOKUP($B735,IF($H735="F",TeamSheetFemale,TeamSheetMale),$Y743-1,FALSE)</f>
        <v>Y</v>
      </c>
      <c r="G743" s="368" t="str">
        <f>VLOOKUP($B735,IF($H735="F",TeamSheetFemale,TeamSheetMale),$Y743,FALSE)</f>
        <v>Gracie Hodgkins</v>
      </c>
      <c r="H743" s="367" t="str">
        <f>VLOOKUP($B735,IF($H735="F",TeamSheetFemale,TeamSheetMale),$Y743+1,FALSE)</f>
        <v>YY</v>
      </c>
      <c r="I743" s="369" t="str">
        <f>VLOOKUP($B735,IF($H735="F",TeamSheetFemale,TeamSheetMale),$Y743+2,FALSE)</f>
        <v>Isla Porter</v>
      </c>
      <c r="K743" s="346" t="s">
        <v>278</v>
      </c>
      <c r="L743" s="25" t="str">
        <f t="shared" si="654"/>
        <v>S</v>
      </c>
      <c r="M743" s="928" t="s">
        <v>100</v>
      </c>
      <c r="N743" s="932">
        <v>31.8</v>
      </c>
      <c r="O743" s="375" t="str">
        <f>IF(LEN($M743)=1,VLOOKUP(LEFT($M743,1),B736:I743,5,FALSE),IF(LEN($M743)=2,VLOOKUP(LEFT($M743,1),B736:I743,7,FALSE),""))</f>
        <v>S</v>
      </c>
      <c r="P743" s="376" t="str">
        <f>IF(LEN($M743)=1,VLOOKUP(LEFT($M743,1),B736:I743,6,FALSE),IF(LEN($M743)=2,VLOOKUP(LEFT($M743,1),B736:I743,8,FALSE),""))</f>
        <v xml:space="preserve">
Savannah Wedderburn</v>
      </c>
      <c r="Q743" s="346" t="s">
        <v>278</v>
      </c>
      <c r="R743" s="523" t="str">
        <f t="shared" si="655"/>
        <v>D</v>
      </c>
      <c r="S743" s="928" t="s">
        <v>513</v>
      </c>
      <c r="T743" s="932">
        <v>32</v>
      </c>
      <c r="U743" s="375" t="str">
        <f>IF(LEN($S743)=1,VLOOKUP(LEFT($S743,1),B736:I743,5,FALSE),IF(LEN($S743)=2,VLOOKUP(LEFT($S743,1),B736:I743,7,FALSE),""))</f>
        <v>DD</v>
      </c>
      <c r="V743" s="376" t="str">
        <f>IF(LEN($S743)=1,VLOOKUP(LEFT($S743,1),B736:I743,6,FALSE),IF(LEN($S743)=2,VLOOKUP(LEFT($S743,1),B736:I743,8,FALSE),""))</f>
        <v>Evangeline Harris</v>
      </c>
      <c r="W743" s="418">
        <f t="shared" si="662"/>
        <v>1</v>
      </c>
      <c r="Y743" s="418">
        <v>42</v>
      </c>
      <c r="Z743" s="25" t="str">
        <f t="shared" si="656"/>
        <v>BRAT</v>
      </c>
      <c r="AA743" s="523" t="str">
        <f t="shared" si="657"/>
        <v>Strat</v>
      </c>
      <c r="AB743" s="32"/>
      <c r="AC743" s="25" t="str">
        <f t="shared" si="658"/>
        <v>Y</v>
      </c>
      <c r="AD743" s="624" t="str">
        <f t="shared" si="658"/>
        <v>Worcester</v>
      </c>
      <c r="AE743" s="624">
        <f>IF(ISNA(MATCH(AC743,N735:N744,0)),0,VLOOKUP(AC743,N735:S744,5,FALSE))</f>
        <v>0</v>
      </c>
      <c r="AF743" s="624" t="str">
        <f t="shared" ref="AF743" si="663">IF(ISNA(MATCH(AC743,T735:T744,0))," ",VLOOKUP(AC743,T735:Y744,5,FALSE))</f>
        <v xml:space="preserve"> </v>
      </c>
      <c r="AG743" s="624">
        <f>IF(ISNA(MATCH(AC743,L736:L743,0)),0,VLOOKUP(AC743,L736:N743,3,FALSE))</f>
        <v>29.2</v>
      </c>
      <c r="AH743" s="624">
        <f>IF(ISNA(MATCH(AC743,R736:R743,0)),0,VLOOKUP(AC743,R736:T743,3,FALSE))</f>
        <v>30.7</v>
      </c>
      <c r="AI743" s="624" t="str">
        <f>IF(ISNA(MATCH(AC743,L736:L743,0)),0,VLOOKUP(AC743,L736:P743,4,FALSE))</f>
        <v>Y</v>
      </c>
      <c r="AJ743" s="624" t="str">
        <f>IF(ISNA(MATCH(AC743,R736:R743,0)),0,VLOOKUP(AC743,R736:U743,4,FALSE))</f>
        <v>YY</v>
      </c>
      <c r="AK743" s="116">
        <f t="shared" si="659"/>
        <v>4</v>
      </c>
      <c r="AL743" s="116">
        <f t="shared" si="660"/>
        <v>6</v>
      </c>
      <c r="AM743" s="116">
        <f>IF(ISNA(MATCH(AC743,L736:L743,0)),0,VLOOKUP(AC743,L736:W743,AM$1,FALSE))</f>
        <v>5</v>
      </c>
      <c r="AN743" s="523">
        <f>IF(ISNA(MATCH(AC743,R736:R743,0)),0,VLOOKUP(AC743,R736:W743,AN$1,FALSE))</f>
        <v>3</v>
      </c>
      <c r="AP743" s="928"/>
      <c r="AQ743" s="932"/>
    </row>
    <row r="744" spans="1:47" ht="15" thickBot="1" x14ac:dyDescent="0.35">
      <c r="M744" s="276"/>
      <c r="N744" s="307"/>
      <c r="S744" s="276"/>
      <c r="T744" s="307"/>
      <c r="AP744" s="276"/>
      <c r="AQ744" s="307"/>
    </row>
    <row r="745" spans="1:47" x14ac:dyDescent="0.3">
      <c r="B745" s="400" t="s">
        <v>258</v>
      </c>
      <c r="C745" s="398"/>
      <c r="D745" s="401" t="s">
        <v>165</v>
      </c>
      <c r="E745" s="398"/>
      <c r="F745" s="398"/>
      <c r="G745" s="402" t="s">
        <v>259</v>
      </c>
      <c r="H745" s="403" t="s">
        <v>249</v>
      </c>
      <c r="I745" s="404" t="s">
        <v>168</v>
      </c>
      <c r="K745" s="360"/>
      <c r="L745" s="661"/>
      <c r="M745" s="387" t="s">
        <v>260</v>
      </c>
      <c r="N745" s="387" t="s">
        <v>261</v>
      </c>
      <c r="O745" s="387" t="s">
        <v>262</v>
      </c>
      <c r="P745" s="388" t="s">
        <v>75</v>
      </c>
      <c r="Q745" s="412"/>
      <c r="R745" s="657"/>
      <c r="S745" s="387" t="s">
        <v>260</v>
      </c>
      <c r="T745" s="387" t="s">
        <v>261</v>
      </c>
      <c r="U745" s="387" t="s">
        <v>262</v>
      </c>
      <c r="V745" s="388" t="s">
        <v>75</v>
      </c>
      <c r="W745" s="672" t="s">
        <v>76</v>
      </c>
      <c r="Y745" s="654" t="s">
        <v>263</v>
      </c>
      <c r="Z745" s="656" t="s">
        <v>74</v>
      </c>
      <c r="AA745" s="657" t="s">
        <v>75</v>
      </c>
      <c r="AC745" s="665" t="s">
        <v>71</v>
      </c>
      <c r="AD745" s="657" t="s">
        <v>86</v>
      </c>
      <c r="AE745" s="661" t="s">
        <v>149</v>
      </c>
      <c r="AF745" s="661" t="s">
        <v>94</v>
      </c>
      <c r="AG745" s="661" t="s">
        <v>149</v>
      </c>
      <c r="AH745" s="661" t="s">
        <v>94</v>
      </c>
      <c r="AI745" s="661" t="s">
        <v>149</v>
      </c>
      <c r="AJ745" s="661" t="s">
        <v>94</v>
      </c>
      <c r="AK745" s="1332" t="s">
        <v>149</v>
      </c>
      <c r="AL745" s="661" t="s">
        <v>94</v>
      </c>
      <c r="AM745" s="1406" t="s">
        <v>76</v>
      </c>
      <c r="AN745" s="1407"/>
      <c r="AP745" s="387" t="s">
        <v>260</v>
      </c>
      <c r="AQ745" s="387" t="s">
        <v>261</v>
      </c>
      <c r="AS745" s="1218" t="s">
        <v>165</v>
      </c>
      <c r="AT745" s="1219" t="s">
        <v>79</v>
      </c>
      <c r="AU745" s="1220" t="s">
        <v>80</v>
      </c>
    </row>
    <row r="746" spans="1:47" ht="15" thickBot="1" x14ac:dyDescent="0.35">
      <c r="B746" s="405">
        <v>67</v>
      </c>
      <c r="C746" s="399"/>
      <c r="D746" s="385" t="str">
        <f>VLOOKUP($B746,EventOrder,6,FALSE)</f>
        <v>Long Jump (U18/20) Pit1</v>
      </c>
      <c r="E746" s="399"/>
      <c r="F746" s="385"/>
      <c r="G746" s="386" t="str">
        <f>VLOOKUP($B746,EventOrder,4,FALSE)</f>
        <v>U18 Female</v>
      </c>
      <c r="H746" s="396" t="str">
        <f>IF(MID(G746,5,1)="F","F","M")</f>
        <v>F</v>
      </c>
      <c r="I746" s="397">
        <f>VLOOKUP($B746,EventOrder,2,FALSE)</f>
        <v>4</v>
      </c>
      <c r="K746" s="372"/>
      <c r="L746" s="667" t="s">
        <v>149</v>
      </c>
      <c r="M746" s="409" t="s">
        <v>264</v>
      </c>
      <c r="N746" s="409" t="s">
        <v>265</v>
      </c>
      <c r="O746" s="409" t="s">
        <v>266</v>
      </c>
      <c r="P746" s="408"/>
      <c r="Q746" s="413"/>
      <c r="R746" s="659" t="s">
        <v>94</v>
      </c>
      <c r="S746" s="409" t="s">
        <v>264</v>
      </c>
      <c r="T746" s="409" t="s">
        <v>265</v>
      </c>
      <c r="U746" s="409" t="s">
        <v>266</v>
      </c>
      <c r="V746" s="408"/>
      <c r="W746" s="671"/>
      <c r="Y746" s="655" t="s">
        <v>167</v>
      </c>
      <c r="Z746" s="658" t="s">
        <v>149</v>
      </c>
      <c r="AA746" s="659" t="s">
        <v>94</v>
      </c>
      <c r="AC746" s="666"/>
      <c r="AD746" s="668"/>
      <c r="AE746" s="768" t="s">
        <v>75</v>
      </c>
      <c r="AF746" s="768" t="s">
        <v>75</v>
      </c>
      <c r="AG746" s="768" t="s">
        <v>267</v>
      </c>
      <c r="AH746" s="768" t="s">
        <v>267</v>
      </c>
      <c r="AI746" s="768" t="s">
        <v>268</v>
      </c>
      <c r="AJ746" s="768" t="s">
        <v>268</v>
      </c>
      <c r="AK746" s="770" t="s">
        <v>269</v>
      </c>
      <c r="AL746" s="768" t="s">
        <v>269</v>
      </c>
      <c r="AM746" s="667" t="s">
        <v>149</v>
      </c>
      <c r="AN746" s="659" t="s">
        <v>94</v>
      </c>
      <c r="AP746" s="409" t="s">
        <v>264</v>
      </c>
      <c r="AQ746" s="409" t="s">
        <v>265</v>
      </c>
      <c r="AS746" s="1221" t="s">
        <v>270</v>
      </c>
      <c r="AT746" s="1222" t="s">
        <v>270</v>
      </c>
      <c r="AU746" s="1223" t="s">
        <v>270</v>
      </c>
    </row>
    <row r="747" spans="1:47" ht="15.6" x14ac:dyDescent="0.3">
      <c r="A747" s="416">
        <f>(B746*10)+1</f>
        <v>671</v>
      </c>
      <c r="B747" s="362" t="str">
        <f>'Event Details'!D$22</f>
        <v>S</v>
      </c>
      <c r="C747" s="381" t="str">
        <f>'Event Details'!E$22</f>
        <v>BRAT</v>
      </c>
      <c r="D747" s="379"/>
      <c r="E747" s="378"/>
      <c r="F747" s="363" t="str">
        <f>VLOOKUP($B746,IF($H746="F",TeamSheetFemale,TeamSheetMale),$Y747-1,FALSE)</f>
        <v>S</v>
      </c>
      <c r="G747" s="380" t="str">
        <f>VLOOKUP($B746,IF($H746="F",TeamSheetFemale,TeamSheetMale),$Y747,FALSE)</f>
        <v xml:space="preserve">Hephzibah Emmanuel Kokoh </v>
      </c>
      <c r="H747" s="363" t="str">
        <f>VLOOKUP($B746,IF($H746="F",TeamSheetFemale,TeamSheetMale),$Y747+1,FALSE)</f>
        <v>SS</v>
      </c>
      <c r="I747" s="364" t="str">
        <f>VLOOKUP($B746,IF($H746="F",TeamSheetFemale,TeamSheetMale),$Y747+2,FALSE)</f>
        <v xml:space="preserve">T’yana Josephs </v>
      </c>
      <c r="K747" s="393" t="s">
        <v>271</v>
      </c>
      <c r="L747" s="16" t="str">
        <f t="shared" ref="L747:L754" si="664">LEFT(M747,1)</f>
        <v>M</v>
      </c>
      <c r="M747" s="926" t="s">
        <v>127</v>
      </c>
      <c r="N747" s="926">
        <v>4.4400000000000004</v>
      </c>
      <c r="O747" s="394" t="str">
        <f>IF(LEN($M747)=1,VLOOKUP(LEFT($M747,1),B747:I754,5,FALSE),IF(LEN($M747)=2,VLOOKUP(LEFT($M747,1),B747:I754,7,FALSE),""))</f>
        <v>M</v>
      </c>
      <c r="P747" s="395" t="str">
        <f>IF(LEN($M747)=1,VLOOKUP(LEFT($M747,1),B747:I754,6,FALSE),IF(LEN($M747)=2,VLOOKUP(LEFT($M747,1),B747:I754,8,FALSE),""))</f>
        <v>Maia Collett</v>
      </c>
      <c r="Q747" s="406" t="s">
        <v>271</v>
      </c>
      <c r="R747" s="146" t="str">
        <f t="shared" ref="R747:R754" si="665">LEFT(S747,1)</f>
        <v/>
      </c>
      <c r="S747" s="926"/>
      <c r="T747" s="926"/>
      <c r="U747" s="394" t="str">
        <f>IF(LEN($S747)=1,VLOOKUP(LEFT($S747,1),B747:I754,5,FALSE),IF(LEN($S747)=2,VLOOKUP(LEFT($S747,1),B747:I754,7,FALSE),""))</f>
        <v/>
      </c>
      <c r="V747" s="395" t="str">
        <f>IF(LEN($S747)=1,VLOOKUP(LEFT($S747,1),B747:I754,6,FALSE),IF(LEN($S747)=2,VLOOKUP(LEFT($S747,1),B747:I754,8,FALSE),""))</f>
        <v/>
      </c>
      <c r="W747" s="417">
        <f>AN$6</f>
        <v>8</v>
      </c>
      <c r="Y747" s="653">
        <v>7</v>
      </c>
      <c r="Z747" s="653" t="str">
        <f t="shared" ref="Z747:Z754" si="666">IF(LEN(M747)&gt;0,VLOOKUP(LEFT(M747,1),ShortName,5,FALSE),0)</f>
        <v>Sol</v>
      </c>
      <c r="AA747" s="138">
        <f t="shared" ref="AA747:AA754" si="667">IF(LEN(S747)&gt;0,VLOOKUP(LEFT(S747,1),ShortName,5,FALSE),0)</f>
        <v>0</v>
      </c>
      <c r="AC747" s="16" t="str">
        <f t="shared" ref="AC747:AD754" si="668">B747</f>
        <v>S</v>
      </c>
      <c r="AD747" s="419" t="str">
        <f t="shared" si="668"/>
        <v>BRAT</v>
      </c>
      <c r="AE747" s="635">
        <f>IF(ISNA(MATCH(AC747,N747:N756,0)),0,VLOOKUP(AC747,N747:S756,5,FALSE))</f>
        <v>0</v>
      </c>
      <c r="AF747" s="635" t="str">
        <f>IF(ISNA(MATCH(AC747,T747:T756,0))," ",VLOOKUP(AC747,T747:Y756,5,FALSE))</f>
        <v xml:space="preserve"> </v>
      </c>
      <c r="AG747" s="635">
        <f>IF(ISNA(MATCH(AC747,L747:L754,0)),0,VLOOKUP(AC747,L747:N754,3,FALSE))</f>
        <v>4.24</v>
      </c>
      <c r="AH747" s="635">
        <f>IF(ISNA(MATCH(AC747,R747:R754,0)),0,VLOOKUP(AC747,R747:T754,3,FALSE))</f>
        <v>0</v>
      </c>
      <c r="AI747" s="635" t="str">
        <f>IF(ISNA(MATCH(AC747,L747:L754,0)),0,VLOOKUP(AC747,L747:P754,4,FALSE))</f>
        <v>S</v>
      </c>
      <c r="AJ747" s="635">
        <f>IF(ISNA(MATCH(AC747,R747:R754,0)),0,VLOOKUP(AC747,R747:U754,4,FALSE))</f>
        <v>0</v>
      </c>
      <c r="AK747" s="49">
        <f t="shared" ref="AK747:AK754" si="669">IF(AM747=0,0,AN$6-(AM747-1))</f>
        <v>4</v>
      </c>
      <c r="AL747" s="49">
        <f t="shared" ref="AL747:AL754" si="670">IF(AN747=0,0,AN$6-(AN747-1))</f>
        <v>0</v>
      </c>
      <c r="AM747" s="49">
        <f>IF(ISNA(MATCH(AC747,L747:L754,0)),0,VLOOKUP(AC747,L747:W754,AM$1,FALSE))</f>
        <v>5</v>
      </c>
      <c r="AN747" s="138">
        <f>IF(ISNA(MATCH(AC747,R747:R754,0)),0,VLOOKUP(AC747,R747:W754,AN$1,FALSE))</f>
        <v>0</v>
      </c>
      <c r="AP747" s="926"/>
      <c r="AQ747" s="926"/>
      <c r="AS747" s="32">
        <f>IF(LEN(N747)&gt;0,1,0)</f>
        <v>1</v>
      </c>
      <c r="AT747" s="32">
        <f>IF(AND(AS747=1,H746="M"),1,0)</f>
        <v>0</v>
      </c>
      <c r="AU747" s="32">
        <f>IF(AND(AS747=1,H746="F"),1,0)</f>
        <v>1</v>
      </c>
    </row>
    <row r="748" spans="1:47" ht="15.6" x14ac:dyDescent="0.3">
      <c r="A748" s="417">
        <f>A747+1</f>
        <v>672</v>
      </c>
      <c r="B748" s="362" t="str">
        <f>'Event Details'!D$23</f>
        <v>U</v>
      </c>
      <c r="C748" s="381" t="str">
        <f>'Event Details'!E$23</f>
        <v>Kidder &amp; Stourport</v>
      </c>
      <c r="D748" s="379"/>
      <c r="E748" s="378"/>
      <c r="F748" s="363" t="str">
        <f>VLOOKUP($B746,IF($H746="F",TeamSheetFemale,TeamSheetMale),$Y748-1,FALSE)</f>
        <v>U</v>
      </c>
      <c r="G748" s="380" t="str">
        <f>VLOOKUP($B746,IF($H746="F",TeamSheetFemale,TeamSheetMale),$Y748,FALSE)</f>
        <v>Jessika Shelley</v>
      </c>
      <c r="H748" s="363">
        <f>VLOOKUP($B746,IF($H746="F",TeamSheetFemale,TeamSheetMale),$Y748+1,FALSE)</f>
        <v>0</v>
      </c>
      <c r="I748" s="364">
        <f>VLOOKUP($B746,IF($H746="F",TeamSheetFemale,TeamSheetMale),$Y748+2,FALSE)</f>
        <v>0</v>
      </c>
      <c r="K748" s="341" t="s">
        <v>272</v>
      </c>
      <c r="L748" s="16" t="str">
        <f t="shared" si="664"/>
        <v>D</v>
      </c>
      <c r="M748" s="927" t="s">
        <v>136</v>
      </c>
      <c r="N748" s="927">
        <v>4.32</v>
      </c>
      <c r="O748" s="354" t="str">
        <f>IF(LEN($M748)=1,VLOOKUP(LEFT($M748,1),B747:I754,5,FALSE),IF(LEN($M748)=2,VLOOKUP(LEFT($M748,1),B747:I754,7,FALSE),""))</f>
        <v>D</v>
      </c>
      <c r="P748" s="410" t="str">
        <f>IF(LEN($M748)=1,VLOOKUP(LEFT($M748,1),B747:I754,6,FALSE),IF(LEN($M748)=2,VLOOKUP(LEFT($M748,1),B747:I754,8,FALSE),""))</f>
        <v>Ava Sheppard</v>
      </c>
      <c r="Q748" s="371" t="s">
        <v>272</v>
      </c>
      <c r="R748" s="146" t="str">
        <f t="shared" si="665"/>
        <v/>
      </c>
      <c r="S748" s="927"/>
      <c r="T748" s="927"/>
      <c r="U748" s="354" t="str">
        <f>IF(LEN($S748)=1,VLOOKUP(LEFT($S748,1),B747:I754,5,FALSE),IF(LEN($S748)=2,VLOOKUP(LEFT($S748,1),B747:I754,7,FALSE),""))</f>
        <v/>
      </c>
      <c r="V748" s="410" t="str">
        <f>IF(LEN($S748)=1,VLOOKUP(LEFT($S748,1),B747:I754,6,FALSE),IF(LEN($S748)=2,VLOOKUP(LEFT($S748,1),B747:I754,8,FALSE),""))</f>
        <v/>
      </c>
      <c r="W748" s="417">
        <f>W747-1</f>
        <v>7</v>
      </c>
      <c r="Y748" s="16">
        <v>12</v>
      </c>
      <c r="Z748" s="16" t="str">
        <f t="shared" si="666"/>
        <v>Strat</v>
      </c>
      <c r="AA748" s="146">
        <f t="shared" si="667"/>
        <v>0</v>
      </c>
      <c r="AC748" s="16" t="str">
        <f t="shared" si="668"/>
        <v>U</v>
      </c>
      <c r="AD748" s="419" t="str">
        <f t="shared" si="668"/>
        <v>Kidder &amp; Stourport</v>
      </c>
      <c r="AE748" s="419">
        <f>IF(ISNA(MATCH(AC748,N747:N756,0)),0,VLOOKUP(AC748,N747:S756,5,FALSE))</f>
        <v>0</v>
      </c>
      <c r="AF748" s="419" t="str">
        <f>IF(ISNA(MATCH(AC748,T747:T756,0))," ",VLOOKUP(AC748,T747:Y756,5,FALSE))</f>
        <v xml:space="preserve"> </v>
      </c>
      <c r="AG748" s="419">
        <f>IF(ISNA(MATCH(AC748,L747:L754,0)),0,VLOOKUP(AC748,L747:N754,3,FALSE))</f>
        <v>4.25</v>
      </c>
      <c r="AH748" s="419">
        <f>IF(ISNA(MATCH(AC748,R747:R754,0)),0,VLOOKUP(AC748,R747:T754,3,FALSE))</f>
        <v>0</v>
      </c>
      <c r="AI748" s="419" t="str">
        <f>IF(ISNA(MATCH(AC748,L747:L754,0)),0,VLOOKUP(AC748,L747:P754,4,FALSE))</f>
        <v>U</v>
      </c>
      <c r="AJ748" s="419">
        <f>IF(ISNA(MATCH(AC748,R747:R754,0)),0,VLOOKUP(AC748,R747:U754,4,FALSE))</f>
        <v>0</v>
      </c>
      <c r="AK748" s="32">
        <f t="shared" si="669"/>
        <v>3</v>
      </c>
      <c r="AL748" s="32">
        <f t="shared" si="670"/>
        <v>0</v>
      </c>
      <c r="AM748" s="32">
        <f>IF(ISNA(MATCH(AC748,L747:L754,0)),0,VLOOKUP(AC748,L747:W754,AM$1,FALSE))</f>
        <v>6</v>
      </c>
      <c r="AN748" s="146">
        <f>IF(ISNA(MATCH(AC748,R747:R754,0)),0,VLOOKUP(AC748,R747:W754,AN$1,FALSE))</f>
        <v>0</v>
      </c>
      <c r="AP748" s="927"/>
      <c r="AQ748" s="927"/>
    </row>
    <row r="749" spans="1:47" ht="15.6" x14ac:dyDescent="0.3">
      <c r="A749" s="417">
        <f t="shared" ref="A749:A754" si="671">A748+1</f>
        <v>673</v>
      </c>
      <c r="B749" s="362" t="str">
        <f>'Event Details'!D$24</f>
        <v>G</v>
      </c>
      <c r="C749" s="381" t="str">
        <f>'Event Details'!E$24</f>
        <v>Royal Sutton</v>
      </c>
      <c r="D749" s="379"/>
      <c r="E749" s="378"/>
      <c r="F749" s="363" t="str">
        <f>VLOOKUP($B746,IF($H746="F",TeamSheetFemale,TeamSheetMale),$Y749-1,FALSE)</f>
        <v>G</v>
      </c>
      <c r="G749" s="380">
        <f>VLOOKUP($B746,IF($H746="F",TeamSheetFemale,TeamSheetMale),$Y749,FALSE)</f>
        <v>0</v>
      </c>
      <c r="H749" s="363" t="str">
        <f>VLOOKUP($B746,IF($H746="F",TeamSheetFemale,TeamSheetMale),$Y749+1,FALSE)</f>
        <v>GG</v>
      </c>
      <c r="I749" s="364">
        <f>VLOOKUP($B746,IF($H746="F",TeamSheetFemale,TeamSheetMale),$Y749+2,FALSE)</f>
        <v>0</v>
      </c>
      <c r="K749" s="341" t="s">
        <v>273</v>
      </c>
      <c r="L749" s="16" t="str">
        <f t="shared" si="664"/>
        <v>U</v>
      </c>
      <c r="M749" s="927" t="s">
        <v>130</v>
      </c>
      <c r="N749" s="927">
        <v>4.25</v>
      </c>
      <c r="O749" s="354" t="str">
        <f>IF(LEN($M749)=1,VLOOKUP(LEFT($M749,1),B747:I754,5,FALSE),IF(LEN($M749)=2,VLOOKUP(LEFT($M749,1),B747:I754,7,FALSE),""))</f>
        <v>U</v>
      </c>
      <c r="P749" s="410" t="str">
        <f>IF(LEN($M749)=1,VLOOKUP(LEFT($M749,1),B747:I754,6,FALSE),IF(LEN($M749)=2,VLOOKUP(LEFT($M749,1),B747:I754,8,FALSE),""))</f>
        <v>Jessika Shelley</v>
      </c>
      <c r="Q749" s="371" t="s">
        <v>273</v>
      </c>
      <c r="R749" s="146" t="str">
        <f t="shared" si="665"/>
        <v/>
      </c>
      <c r="S749" s="927"/>
      <c r="T749" s="927"/>
      <c r="U749" s="354" t="str">
        <f>IF(LEN($S749)=1,VLOOKUP(LEFT($S749,1),B747:I754,5,FALSE),IF(LEN($S749)=2,VLOOKUP(LEFT($S749,1),B747:I754,7,FALSE),""))</f>
        <v/>
      </c>
      <c r="V749" s="410" t="str">
        <f>IF(LEN($S749)=1,VLOOKUP(LEFT($S749,1),B747:I754,6,FALSE),IF(LEN($S749)=2,VLOOKUP(LEFT($S749,1),B747:I754,8,FALSE),""))</f>
        <v/>
      </c>
      <c r="W749" s="417">
        <f t="shared" ref="W749:W754" si="672">W748-1</f>
        <v>6</v>
      </c>
      <c r="Y749" s="16">
        <v>17</v>
      </c>
      <c r="Z749" s="16" t="str">
        <f t="shared" si="666"/>
        <v>K&amp;S</v>
      </c>
      <c r="AA749" s="146">
        <f t="shared" si="667"/>
        <v>0</v>
      </c>
      <c r="AC749" s="16" t="str">
        <f t="shared" si="668"/>
        <v>G</v>
      </c>
      <c r="AD749" s="419" t="str">
        <f t="shared" si="668"/>
        <v>Royal Sutton</v>
      </c>
      <c r="AE749" s="419">
        <f>IF(ISNA(MATCH(AC749,N747:N756,0)),0,VLOOKUP(AC749,N747:S756,5,FALSE))</f>
        <v>0</v>
      </c>
      <c r="AF749" s="419" t="str">
        <f>IF(ISNA(MATCH(AC749,T747:T756,0))," ",VLOOKUP(AC749,T747:Y756,5,FALSE))</f>
        <v xml:space="preserve"> </v>
      </c>
      <c r="AG749" s="419">
        <f>IF(ISNA(MATCH(AC749,L747:L754,0)),0,VLOOKUP(AC749,L747:N754,3,FALSE))</f>
        <v>0</v>
      </c>
      <c r="AH749" s="419">
        <f>IF(ISNA(MATCH(AC749,R747:R754,0)),0,VLOOKUP(AC749,R747:T754,3,FALSE))</f>
        <v>0</v>
      </c>
      <c r="AI749" s="419">
        <f>IF(ISNA(MATCH(AC749,L747:L754,0)),0,VLOOKUP(AC749,L747:P754,4,FALSE))</f>
        <v>0</v>
      </c>
      <c r="AJ749" s="419">
        <f>IF(ISNA(MATCH(AC749,R747:R754,0)),0,VLOOKUP(AC749,R747:U754,4,FALSE))</f>
        <v>0</v>
      </c>
      <c r="AK749" s="32">
        <f t="shared" si="669"/>
        <v>0</v>
      </c>
      <c r="AL749" s="32">
        <f t="shared" si="670"/>
        <v>0</v>
      </c>
      <c r="AM749" s="32">
        <f>IF(ISNA(MATCH(AC749,L747:L754,0)),0,VLOOKUP(AC749,L747:W754,AM$1,FALSE))</f>
        <v>0</v>
      </c>
      <c r="AN749" s="146">
        <f>IF(ISNA(MATCH(AC749,R747:R754,0)),0,VLOOKUP(AC749,R747:W754,AN$1,FALSE))</f>
        <v>0</v>
      </c>
      <c r="AP749" s="927"/>
      <c r="AQ749" s="927"/>
    </row>
    <row r="750" spans="1:47" ht="15.6" x14ac:dyDescent="0.3">
      <c r="A750" s="417">
        <f t="shared" si="671"/>
        <v>674</v>
      </c>
      <c r="B750" s="362" t="str">
        <f>'Event Details'!D$25</f>
        <v>R</v>
      </c>
      <c r="C750" s="381" t="str">
        <f>'Event Details'!E$25</f>
        <v>Rugby &amp; N'hampton</v>
      </c>
      <c r="D750" s="379"/>
      <c r="E750" s="378"/>
      <c r="F750" s="363" t="str">
        <f>VLOOKUP($B746,IF($H746="F",TeamSheetFemale,TeamSheetMale),$Y750-1,FALSE)</f>
        <v>R</v>
      </c>
      <c r="G750" s="380" t="str">
        <f>VLOOKUP($B746,IF($H746="F",TeamSheetFemale,TeamSheetMale),$Y750,FALSE)</f>
        <v>Grace Kendrick</v>
      </c>
      <c r="H750" s="363" t="str">
        <f>VLOOKUP($B746,IF($H746="F",TeamSheetFemale,TeamSheetMale),$Y750+1,FALSE)</f>
        <v>RR</v>
      </c>
      <c r="I750" s="364">
        <f>VLOOKUP($B746,IF($H746="F",TeamSheetFemale,TeamSheetMale),$Y750+2,FALSE)</f>
        <v>0</v>
      </c>
      <c r="K750" s="341" t="s">
        <v>274</v>
      </c>
      <c r="L750" s="16" t="str">
        <f t="shared" si="664"/>
        <v>S</v>
      </c>
      <c r="M750" s="927" t="s">
        <v>100</v>
      </c>
      <c r="N750" s="927">
        <v>4.24</v>
      </c>
      <c r="O750" s="354" t="str">
        <f>IF(LEN($M750)=1,VLOOKUP(LEFT($M750,1),B747:I754,5,FALSE),IF(LEN($M750)=2,VLOOKUP(LEFT($M750,1),B747:I754,7,FALSE),""))</f>
        <v>S</v>
      </c>
      <c r="P750" s="410" t="str">
        <f>IF(LEN($M750)=1,VLOOKUP(LEFT($M750,1),B747:I754,6,FALSE),IF(LEN($M750)=2,VLOOKUP(LEFT($M750,1),B747:I754,8,FALSE),""))</f>
        <v xml:space="preserve">Hephzibah Emmanuel Kokoh </v>
      </c>
      <c r="Q750" s="371" t="s">
        <v>274</v>
      </c>
      <c r="R750" s="146" t="str">
        <f t="shared" si="665"/>
        <v/>
      </c>
      <c r="S750" s="927"/>
      <c r="T750" s="927"/>
      <c r="U750" s="354" t="str">
        <f>IF(LEN($S750)=1,VLOOKUP(LEFT($S750,1),B747:I754,5,FALSE),IF(LEN($S750)=2,VLOOKUP(LEFT($S750,1),B747:I754,7,FALSE),""))</f>
        <v/>
      </c>
      <c r="V750" s="410" t="str">
        <f>IF(LEN($S750)=1,VLOOKUP(LEFT($S750,1),B747:I754,6,FALSE),IF(LEN($S750)=2,VLOOKUP(LEFT($S750,1),B747:I754,8,FALSE),""))</f>
        <v/>
      </c>
      <c r="W750" s="417">
        <f t="shared" si="672"/>
        <v>5</v>
      </c>
      <c r="Y750" s="16">
        <v>22</v>
      </c>
      <c r="Z750" s="16" t="str">
        <f t="shared" si="666"/>
        <v>BRAT</v>
      </c>
      <c r="AA750" s="146">
        <f t="shared" si="667"/>
        <v>0</v>
      </c>
      <c r="AC750" s="16" t="str">
        <f t="shared" si="668"/>
        <v>R</v>
      </c>
      <c r="AD750" s="419" t="str">
        <f t="shared" si="668"/>
        <v>Rugby &amp; N'hampton</v>
      </c>
      <c r="AE750" s="419">
        <f>IF(ISNA(MATCH(AC750,N747:N756,0)),0,VLOOKUP(AC750,N747:S756,5,FALSE))</f>
        <v>0</v>
      </c>
      <c r="AF750" s="419" t="str">
        <f>IF(ISNA(MATCH(AC750,T747:T756,0))," ",VLOOKUP(AC750,T747:Y756,5,FALSE))</f>
        <v xml:space="preserve"> </v>
      </c>
      <c r="AG750" s="419">
        <f>IF(ISNA(MATCH(AC750,L747:L754,0)),0,VLOOKUP(AC750,L747:N754,3,FALSE))</f>
        <v>4.18</v>
      </c>
      <c r="AH750" s="419">
        <f>IF(ISNA(MATCH(AC750,R747:R754,0)),0,VLOOKUP(AC750,R747:T754,3,FALSE))</f>
        <v>0</v>
      </c>
      <c r="AI750" s="419" t="str">
        <f>IF(ISNA(MATCH(AC750,L747:L754,0)),0,VLOOKUP(AC750,L747:P754,4,FALSE))</f>
        <v>R</v>
      </c>
      <c r="AJ750" s="419">
        <f>IF(ISNA(MATCH(AC750,R747:R754,0)),0,VLOOKUP(AC750,R747:U754,4,FALSE))</f>
        <v>0</v>
      </c>
      <c r="AK750" s="32">
        <f t="shared" si="669"/>
        <v>5</v>
      </c>
      <c r="AL750" s="32">
        <f t="shared" si="670"/>
        <v>0</v>
      </c>
      <c r="AM750" s="32">
        <f>IF(ISNA(MATCH(AC750,L747:L754,0)),0,VLOOKUP(AC750,L747:W754,AM$1,FALSE))</f>
        <v>4</v>
      </c>
      <c r="AN750" s="146">
        <f>IF(ISNA(MATCH(AC750,R747:R754,0)),0,VLOOKUP(AC750,R747:W754,AN$1,FALSE))</f>
        <v>0</v>
      </c>
      <c r="AP750" s="927"/>
      <c r="AQ750" s="927"/>
    </row>
    <row r="751" spans="1:47" ht="15.6" x14ac:dyDescent="0.3">
      <c r="A751" s="417">
        <f t="shared" si="671"/>
        <v>675</v>
      </c>
      <c r="B751" s="362" t="str">
        <f>'Event Details'!D$26</f>
        <v>M</v>
      </c>
      <c r="C751" s="381" t="str">
        <f>'Event Details'!E$26</f>
        <v>Solihull &amp; S.Heath</v>
      </c>
      <c r="D751" s="379"/>
      <c r="E751" s="378"/>
      <c r="F751" s="363" t="str">
        <f>VLOOKUP($B746,IF($H746="F",TeamSheetFemale,TeamSheetMale),$Y751-1,FALSE)</f>
        <v>M</v>
      </c>
      <c r="G751" s="380" t="str">
        <f>VLOOKUP($B746,IF($H746="F",TeamSheetFemale,TeamSheetMale),$Y751,FALSE)</f>
        <v>Maia Collett</v>
      </c>
      <c r="H751" s="363">
        <f>VLOOKUP($B746,IF($H746="F",TeamSheetFemale,TeamSheetMale),$Y751+1,FALSE)</f>
        <v>0</v>
      </c>
      <c r="I751" s="364">
        <f>VLOOKUP($B746,IF($H746="F",TeamSheetFemale,TeamSheetMale),$Y751+2,FALSE)</f>
        <v>0</v>
      </c>
      <c r="K751" s="341" t="s">
        <v>275</v>
      </c>
      <c r="L751" s="16" t="str">
        <f t="shared" si="664"/>
        <v>R</v>
      </c>
      <c r="M751" s="927" t="s">
        <v>118</v>
      </c>
      <c r="N751" s="927">
        <v>4.18</v>
      </c>
      <c r="O751" s="354" t="str">
        <f>IF(LEN($M751)=1,VLOOKUP(LEFT($M751,1),B747:I754,5,FALSE),IF(LEN($M751)=2,VLOOKUP(LEFT($M751,1),B747:I754,7,FALSE),""))</f>
        <v>R</v>
      </c>
      <c r="P751" s="410" t="str">
        <f>IF(LEN($M751)=1,VLOOKUP(LEFT($M751,1),B747:I754,6,FALSE),IF(LEN($M751)=2,VLOOKUP(LEFT($M751,1),B747:I754,8,FALSE),""))</f>
        <v>Grace Kendrick</v>
      </c>
      <c r="Q751" s="371" t="s">
        <v>275</v>
      </c>
      <c r="R751" s="146" t="str">
        <f t="shared" si="665"/>
        <v/>
      </c>
      <c r="S751" s="927"/>
      <c r="T751" s="927"/>
      <c r="U751" s="354" t="str">
        <f>IF(LEN($S751)=1,VLOOKUP(LEFT($S751,1),B747:I754,5,FALSE),IF(LEN($S751)=2,VLOOKUP(LEFT($S751,1),B747:I754,7,FALSE),""))</f>
        <v/>
      </c>
      <c r="V751" s="410" t="str">
        <f>IF(LEN($S751)=1,VLOOKUP(LEFT($S751,1),B747:I754,6,FALSE),IF(LEN($S751)=2,VLOOKUP(LEFT($S751,1),B747:I754,8,FALSE),""))</f>
        <v/>
      </c>
      <c r="W751" s="417">
        <f t="shared" si="672"/>
        <v>4</v>
      </c>
      <c r="Y751" s="16">
        <v>27</v>
      </c>
      <c r="Z751" s="16" t="str">
        <f t="shared" si="666"/>
        <v>Rugby</v>
      </c>
      <c r="AA751" s="146">
        <f t="shared" si="667"/>
        <v>0</v>
      </c>
      <c r="AC751" s="16" t="str">
        <f t="shared" si="668"/>
        <v>M</v>
      </c>
      <c r="AD751" s="419" t="str">
        <f t="shared" si="668"/>
        <v>Solihull &amp; S.Heath</v>
      </c>
      <c r="AE751" s="419">
        <f>IF(ISNA(MATCH(AC751,N747:N756,0)),0,VLOOKUP(AC751,N747:S756,5,FALSE))</f>
        <v>0</v>
      </c>
      <c r="AF751" s="419" t="str">
        <f>IF(ISNA(MATCH(AC751,T747:T756,0))," ",VLOOKUP(AC751,T747:Y756,5,FALSE))</f>
        <v xml:space="preserve"> </v>
      </c>
      <c r="AG751" s="419">
        <f>IF(ISNA(MATCH(AC751,L747:L754,0)),0,VLOOKUP(AC751,L747:N754,3,FALSE))</f>
        <v>4.4400000000000004</v>
      </c>
      <c r="AH751" s="419">
        <f>IF(ISNA(MATCH(AC751,R747:R754,0)),0,VLOOKUP(AC751,R747:T754,3,FALSE))</f>
        <v>0</v>
      </c>
      <c r="AI751" s="419" t="str">
        <f>IF(ISNA(MATCH(AC751,L747:L754,0)),0,VLOOKUP(AC751,L747:P754,4,FALSE))</f>
        <v>M</v>
      </c>
      <c r="AJ751" s="419">
        <f>IF(ISNA(MATCH(AC751,R747:R754,0)),0,VLOOKUP(AC751,R747:U754,4,FALSE))</f>
        <v>0</v>
      </c>
      <c r="AK751" s="32">
        <f t="shared" si="669"/>
        <v>1</v>
      </c>
      <c r="AL751" s="32">
        <f t="shared" si="670"/>
        <v>0</v>
      </c>
      <c r="AM751" s="32">
        <f>IF(ISNA(MATCH(AC751,L747:L754,0)),0,VLOOKUP(AC751,L747:W754,AM$1,FALSE))</f>
        <v>8</v>
      </c>
      <c r="AN751" s="146">
        <f>IF(ISNA(MATCH(AC751,R747:R754,0)),0,VLOOKUP(AC751,R747:W754,AN$1,FALSE))</f>
        <v>0</v>
      </c>
      <c r="AP751" s="927"/>
      <c r="AQ751" s="927"/>
    </row>
    <row r="752" spans="1:47" ht="15.6" x14ac:dyDescent="0.3">
      <c r="A752" s="417">
        <f t="shared" si="671"/>
        <v>676</v>
      </c>
      <c r="B752" s="362" t="str">
        <f>'Event Details'!D$27</f>
        <v>D</v>
      </c>
      <c r="C752" s="381" t="str">
        <f>'Event Details'!E$27</f>
        <v>Stratford</v>
      </c>
      <c r="D752" s="379"/>
      <c r="E752" s="378"/>
      <c r="F752" s="363" t="str">
        <f>VLOOKUP($B746,IF($H746="F",TeamSheetFemale,TeamSheetMale),$Y752-1,FALSE)</f>
        <v>D</v>
      </c>
      <c r="G752" s="380" t="str">
        <f>VLOOKUP($B746,IF($H746="F",TeamSheetFemale,TeamSheetMale),$Y752,FALSE)</f>
        <v>Ava Sheppard</v>
      </c>
      <c r="H752" s="363" t="str">
        <f>VLOOKUP($B746,IF($H746="F",TeamSheetFemale,TeamSheetMale),$Y752+1,FALSE)</f>
        <v>DD</v>
      </c>
      <c r="I752" s="364" t="str">
        <f>VLOOKUP($B746,IF($H746="F",TeamSheetFemale,TeamSheetMale),$Y752+2,FALSE)</f>
        <v>Scarlett Dawson</v>
      </c>
      <c r="K752" s="341" t="s">
        <v>276</v>
      </c>
      <c r="L752" s="16" t="str">
        <f t="shared" si="664"/>
        <v>F</v>
      </c>
      <c r="M752" s="927" t="s">
        <v>142</v>
      </c>
      <c r="N752" s="927">
        <v>3.37</v>
      </c>
      <c r="O752" s="354" t="str">
        <f>IF(LEN($M752)=1,VLOOKUP(LEFT($M752,1),B747:I754,5,FALSE),IF(LEN($M752)=2,VLOOKUP(LEFT($M752,1),B747:I754,7,FALSE),""))</f>
        <v>F</v>
      </c>
      <c r="P752" s="410" t="str">
        <f>IF(LEN($M752)=1,VLOOKUP(LEFT($M752,1),B747:I754,6,FALSE),IF(LEN($M752)=2,VLOOKUP(LEFT($M752,1),B747:I754,8,FALSE),""))</f>
        <v>Chloe Massey</v>
      </c>
      <c r="Q752" s="371" t="s">
        <v>276</v>
      </c>
      <c r="R752" s="146" t="str">
        <f t="shared" si="665"/>
        <v/>
      </c>
      <c r="S752" s="927"/>
      <c r="T752" s="927"/>
      <c r="U752" s="354" t="str">
        <f>IF(LEN($S752)=1,VLOOKUP(LEFT($S752,1),B747:I754,5,FALSE),IF(LEN($S752)=2,VLOOKUP(LEFT($S752,1),B747:I754,7,FALSE),""))</f>
        <v/>
      </c>
      <c r="V752" s="410" t="str">
        <f>IF(LEN($S752)=1,VLOOKUP(LEFT($S752,1),B747:I754,6,FALSE),IF(LEN($S752)=2,VLOOKUP(LEFT($S752,1),B747:I754,8,FALSE),""))</f>
        <v/>
      </c>
      <c r="W752" s="417">
        <f t="shared" si="672"/>
        <v>3</v>
      </c>
      <c r="Y752" s="16">
        <v>32</v>
      </c>
      <c r="Z752" s="16" t="str">
        <f t="shared" si="666"/>
        <v>Tam</v>
      </c>
      <c r="AA752" s="146">
        <f t="shared" si="667"/>
        <v>0</v>
      </c>
      <c r="AC752" s="16" t="str">
        <f t="shared" si="668"/>
        <v>D</v>
      </c>
      <c r="AD752" s="419" t="str">
        <f t="shared" si="668"/>
        <v>Stratford</v>
      </c>
      <c r="AE752" s="419">
        <f>IF(ISNA(MATCH(AC752,N747:N756,0)),0,VLOOKUP(AC752,N747:S756,5,FALSE))</f>
        <v>0</v>
      </c>
      <c r="AF752" s="419" t="str">
        <f>IF(ISNA(MATCH(AC752,T747:T756,0))," ",VLOOKUP(AC752,T747:Y756,5,FALSE))</f>
        <v xml:space="preserve"> </v>
      </c>
      <c r="AG752" s="419">
        <f>IF(ISNA(MATCH(AC752,L747:L754,0)),0,VLOOKUP(AC752,L747:N754,3,FALSE))</f>
        <v>4.32</v>
      </c>
      <c r="AH752" s="419">
        <f>IF(ISNA(MATCH(AC752,R747:R754,0)),0,VLOOKUP(AC752,R747:T754,3,FALSE))</f>
        <v>0</v>
      </c>
      <c r="AI752" s="419" t="str">
        <f>IF(ISNA(MATCH(AC752,L747:L754,0)),0,VLOOKUP(AC752,L747:P754,4,FALSE))</f>
        <v>D</v>
      </c>
      <c r="AJ752" s="419">
        <f>IF(ISNA(MATCH(AC752,R747:R754,0)),0,VLOOKUP(AC752,R747:U754,4,FALSE))</f>
        <v>0</v>
      </c>
      <c r="AK752" s="32">
        <f t="shared" si="669"/>
        <v>2</v>
      </c>
      <c r="AL752" s="32">
        <f t="shared" si="670"/>
        <v>0</v>
      </c>
      <c r="AM752" s="32">
        <f>IF(ISNA(MATCH(AC752,L747:L754,0)),0,VLOOKUP(AC752,L747:W754,AM$1,FALSE))</f>
        <v>7</v>
      </c>
      <c r="AN752" s="146">
        <f>IF(ISNA(MATCH(AC752,R747:R754,0)),0,VLOOKUP(AC752,R747:W754,AN$1,FALSE))</f>
        <v>0</v>
      </c>
      <c r="AP752" s="927"/>
      <c r="AQ752" s="927"/>
    </row>
    <row r="753" spans="1:47" ht="15.6" x14ac:dyDescent="0.3">
      <c r="A753" s="417">
        <f t="shared" si="671"/>
        <v>677</v>
      </c>
      <c r="B753" s="362" t="str">
        <f>'Event Details'!D$28</f>
        <v>F</v>
      </c>
      <c r="C753" s="381" t="str">
        <f>'Event Details'!E$28</f>
        <v>Tamworth</v>
      </c>
      <c r="D753" s="379"/>
      <c r="E753" s="378"/>
      <c r="F753" s="363" t="str">
        <f>VLOOKUP($B746,IF($H746="F",TeamSheetFemale,TeamSheetMale),$Y753-1,FALSE)</f>
        <v>F</v>
      </c>
      <c r="G753" s="380" t="str">
        <f>VLOOKUP($B746,IF($H746="F",TeamSheetFemale,TeamSheetMale),$Y753,FALSE)</f>
        <v>Chloe Massey</v>
      </c>
      <c r="H753" s="363">
        <f>VLOOKUP($B746,IF($H746="F",TeamSheetFemale,TeamSheetMale),$Y753+1,FALSE)</f>
        <v>0</v>
      </c>
      <c r="I753" s="364">
        <f>VLOOKUP($B746,IF($H746="F",TeamSheetFemale,TeamSheetMale),$Y753+2,FALSE)</f>
        <v>0</v>
      </c>
      <c r="K753" s="341" t="s">
        <v>277</v>
      </c>
      <c r="L753" s="16" t="str">
        <f t="shared" si="664"/>
        <v/>
      </c>
      <c r="M753" s="931"/>
      <c r="N753" s="927"/>
      <c r="O753" s="354" t="str">
        <f>IF(LEN($M753)=1,VLOOKUP(LEFT($M753,1),B747:I754,5,FALSE),IF(LEN($M753)=2,VLOOKUP(LEFT($M753,1),B747:I754,7,FALSE),""))</f>
        <v/>
      </c>
      <c r="P753" s="410" t="str">
        <f>IF(LEN($M753)=1,VLOOKUP(LEFT($M753,1),B747:I754,6,FALSE),IF(LEN($M753)=2,VLOOKUP(LEFT($M753,1),B747:I754,8,FALSE),""))</f>
        <v/>
      </c>
      <c r="Q753" s="371" t="s">
        <v>277</v>
      </c>
      <c r="R753" s="146" t="str">
        <f t="shared" si="665"/>
        <v/>
      </c>
      <c r="S753" s="931"/>
      <c r="T753" s="927"/>
      <c r="U753" s="354" t="str">
        <f>IF(LEN($S753)=1,VLOOKUP(LEFT($S753,1),B747:I754,5,FALSE),IF(LEN($S753)=2,VLOOKUP(LEFT($S753,1),B747:I754,7,FALSE),""))</f>
        <v/>
      </c>
      <c r="V753" s="410" t="str">
        <f>IF(LEN($S753)=1,VLOOKUP(LEFT($S753,1),B747:I754,6,FALSE),IF(LEN($S753)=2,VLOOKUP(LEFT($S753,1),B747:I754,8,FALSE),""))</f>
        <v/>
      </c>
      <c r="W753" s="417">
        <f t="shared" si="672"/>
        <v>2</v>
      </c>
      <c r="Y753" s="16">
        <v>37</v>
      </c>
      <c r="Z753" s="16">
        <f t="shared" si="666"/>
        <v>0</v>
      </c>
      <c r="AA753" s="146">
        <f t="shared" si="667"/>
        <v>0</v>
      </c>
      <c r="AC753" s="16" t="str">
        <f t="shared" si="668"/>
        <v>F</v>
      </c>
      <c r="AD753" s="419" t="str">
        <f t="shared" si="668"/>
        <v>Tamworth</v>
      </c>
      <c r="AE753" s="419">
        <f>IF(ISNA(MATCH(AC753,N745:N754,0)),0,VLOOKUP(AC753,N745:S754,5,FALSE))</f>
        <v>0</v>
      </c>
      <c r="AF753" s="419" t="str">
        <f>IF(ISNA(MATCH(AC753,T745:T754,0))," ",VLOOKUP(AC753,T745:Y754,5,FALSE))</f>
        <v xml:space="preserve"> </v>
      </c>
      <c r="AG753" s="419">
        <f>IF(ISNA(MATCH(AC753,L747:L754,0)),0,VLOOKUP(AC753,L747:N754,3,FALSE))</f>
        <v>3.37</v>
      </c>
      <c r="AH753" s="419">
        <f>IF(ISNA(MATCH(AC753,R747:R754,0)),0,VLOOKUP(AC753,R747:T754,3,FALSE))</f>
        <v>0</v>
      </c>
      <c r="AI753" s="419" t="str">
        <f>IF(ISNA(MATCH(AC753,L747:L754,0)),0,VLOOKUP(AC753,L747:P754,4,FALSE))</f>
        <v>F</v>
      </c>
      <c r="AJ753" s="419">
        <f>IF(ISNA(MATCH(AC753,R747:R754,0)),0,VLOOKUP(AC753,R747:U754,4,FALSE))</f>
        <v>0</v>
      </c>
      <c r="AK753" s="32">
        <f t="shared" si="669"/>
        <v>6</v>
      </c>
      <c r="AL753" s="32">
        <f t="shared" si="670"/>
        <v>0</v>
      </c>
      <c r="AM753" s="32">
        <f>IF(ISNA(MATCH(AC753,L747:L754,0)),0,VLOOKUP(AC753,L747:W754,AM$1,FALSE))</f>
        <v>3</v>
      </c>
      <c r="AN753" s="146">
        <f>IF(ISNA(MATCH(AC753,R747:R754,0)),0,VLOOKUP(AC753,R747:W754,AN$1,FALSE))</f>
        <v>0</v>
      </c>
      <c r="AP753" s="931"/>
      <c r="AQ753" s="927"/>
    </row>
    <row r="754" spans="1:47" ht="16.2" thickBot="1" x14ac:dyDescent="0.35">
      <c r="A754" s="418">
        <f t="shared" si="671"/>
        <v>678</v>
      </c>
      <c r="B754" s="365" t="str">
        <f>'Event Details'!D$29</f>
        <v>Y</v>
      </c>
      <c r="C754" s="366" t="str">
        <f>'Event Details'!E$29</f>
        <v>Worcester</v>
      </c>
      <c r="D754" s="361"/>
      <c r="E754" s="370"/>
      <c r="F754" s="367">
        <f>VLOOKUP($B746,IF($H746="F",TeamSheetFemale,TeamSheetMale),$Y754-1,FALSE)</f>
        <v>0</v>
      </c>
      <c r="G754" s="368">
        <f>VLOOKUP($B746,IF($H746="F",TeamSheetFemale,TeamSheetMale),$Y754,FALSE)</f>
        <v>0</v>
      </c>
      <c r="H754" s="367">
        <f>VLOOKUP($B746,IF($H746="F",TeamSheetFemale,TeamSheetMale),$Y754+1,FALSE)</f>
        <v>0</v>
      </c>
      <c r="I754" s="369">
        <f>VLOOKUP($B746,IF($H746="F",TeamSheetFemale,TeamSheetMale),$Y754+2,FALSE)</f>
        <v>0</v>
      </c>
      <c r="K754" s="346" t="s">
        <v>278</v>
      </c>
      <c r="L754" s="25" t="str">
        <f t="shared" si="664"/>
        <v/>
      </c>
      <c r="M754" s="928" t="s">
        <v>148</v>
      </c>
      <c r="N754" s="932"/>
      <c r="O754" s="374" t="str">
        <f>IF(LEN($M754)=1,VLOOKUP(LEFT($M754,1),B747:I754,5,FALSE),IF(LEN($M754)=2,VLOOKUP(LEFT($M754,1),B747:I754,7,FALSE),""))</f>
        <v/>
      </c>
      <c r="P754" s="411" t="str">
        <f>IF(LEN($M754)=1,VLOOKUP(LEFT($M754,1),B747:I754,6,FALSE),IF(LEN($M754)=2,VLOOKUP(LEFT($M754,1),B747:I754,8,FALSE),""))</f>
        <v/>
      </c>
      <c r="Q754" s="407" t="s">
        <v>278</v>
      </c>
      <c r="R754" s="523" t="str">
        <f t="shared" si="665"/>
        <v/>
      </c>
      <c r="S754" s="928" t="s">
        <v>148</v>
      </c>
      <c r="T754" s="932"/>
      <c r="U754" s="374" t="str">
        <f>IF(LEN($S754)=1,VLOOKUP(LEFT($S754,1),B747:I754,5,FALSE),IF(LEN($S754)=2,VLOOKUP(LEFT($S754,1),B747:I754,7,FALSE),""))</f>
        <v/>
      </c>
      <c r="V754" s="411" t="str">
        <f>IF(LEN($S754)=1,VLOOKUP(LEFT($S754,1),B747:I754,6,FALSE),IF(LEN($S754)=2,VLOOKUP(LEFT($S754,1),B747:I754,8,FALSE),""))</f>
        <v/>
      </c>
      <c r="W754" s="418">
        <f t="shared" si="672"/>
        <v>1</v>
      </c>
      <c r="Y754" s="25">
        <v>42</v>
      </c>
      <c r="Z754" s="25">
        <f t="shared" si="666"/>
        <v>0</v>
      </c>
      <c r="AA754" s="523">
        <f t="shared" si="667"/>
        <v>0</v>
      </c>
      <c r="AC754" s="25" t="str">
        <f t="shared" si="668"/>
        <v>Y</v>
      </c>
      <c r="AD754" s="624" t="str">
        <f t="shared" si="668"/>
        <v>Worcester</v>
      </c>
      <c r="AE754" s="624">
        <f>IF(ISNA(MATCH(AC754,N746:N755,0)),0,VLOOKUP(AC754,N746:S755,5,FALSE))</f>
        <v>0</v>
      </c>
      <c r="AF754" s="624" t="str">
        <f t="shared" ref="AF754" si="673">IF(ISNA(MATCH(AC754,T746:T755,0))," ",VLOOKUP(AC754,T746:Y755,5,FALSE))</f>
        <v xml:space="preserve"> </v>
      </c>
      <c r="AG754" s="624">
        <f>IF(ISNA(MATCH(AC754,L747:L754,0)),0,VLOOKUP(AC754,L747:N754,3,FALSE))</f>
        <v>0</v>
      </c>
      <c r="AH754" s="624">
        <f>IF(ISNA(MATCH(AC754,R747:R754,0)),0,VLOOKUP(AC754,R747:T754,3,FALSE))</f>
        <v>0</v>
      </c>
      <c r="AI754" s="624">
        <f>IF(ISNA(MATCH(AC754,L747:L754,0)),0,VLOOKUP(AC754,L747:P754,4,FALSE))</f>
        <v>0</v>
      </c>
      <c r="AJ754" s="624">
        <f>IF(ISNA(MATCH(AC754,R747:R754,0)),0,VLOOKUP(AC754,R747:U754,4,FALSE))</f>
        <v>0</v>
      </c>
      <c r="AK754" s="116">
        <f t="shared" si="669"/>
        <v>0</v>
      </c>
      <c r="AL754" s="116">
        <f t="shared" si="670"/>
        <v>0</v>
      </c>
      <c r="AM754" s="116">
        <f>IF(ISNA(MATCH(AC754,L747:L754,0)),0,VLOOKUP(AC754,L747:W754,AM$1,FALSE))</f>
        <v>0</v>
      </c>
      <c r="AN754" s="523">
        <f>IF(ISNA(MATCH(AC754,R747:R754,0)),0,VLOOKUP(AC754,R747:W754,AN$1,FALSE))</f>
        <v>0</v>
      </c>
      <c r="AP754" s="928" t="s">
        <v>148</v>
      </c>
      <c r="AQ754" s="932"/>
    </row>
    <row r="755" spans="1:47" ht="15" thickBot="1" x14ac:dyDescent="0.35">
      <c r="M755" s="276"/>
      <c r="N755" s="307"/>
      <c r="S755" s="276"/>
      <c r="T755" s="307"/>
      <c r="AP755" s="276"/>
      <c r="AQ755" s="307"/>
    </row>
    <row r="756" spans="1:47" x14ac:dyDescent="0.3">
      <c r="B756" s="400" t="s">
        <v>258</v>
      </c>
      <c r="C756" s="398"/>
      <c r="D756" s="401" t="s">
        <v>165</v>
      </c>
      <c r="E756" s="398"/>
      <c r="F756" s="398"/>
      <c r="G756" s="402" t="s">
        <v>259</v>
      </c>
      <c r="H756" s="403" t="s">
        <v>249</v>
      </c>
      <c r="I756" s="404" t="s">
        <v>168</v>
      </c>
      <c r="K756" s="360"/>
      <c r="L756" s="661"/>
      <c r="M756" s="387" t="s">
        <v>260</v>
      </c>
      <c r="N756" s="387" t="s">
        <v>261</v>
      </c>
      <c r="O756" s="387" t="s">
        <v>262</v>
      </c>
      <c r="P756" s="388" t="s">
        <v>75</v>
      </c>
      <c r="Q756" s="389"/>
      <c r="R756" s="657"/>
      <c r="S756" s="387" t="s">
        <v>260</v>
      </c>
      <c r="T756" s="387" t="s">
        <v>261</v>
      </c>
      <c r="U756" s="387" t="s">
        <v>262</v>
      </c>
      <c r="V756" s="388" t="s">
        <v>75</v>
      </c>
      <c r="W756" s="672" t="s">
        <v>76</v>
      </c>
      <c r="Y756" s="414" t="s">
        <v>263</v>
      </c>
      <c r="Z756" s="656" t="s">
        <v>74</v>
      </c>
      <c r="AA756" s="657" t="s">
        <v>75</v>
      </c>
      <c r="AC756" s="665" t="s">
        <v>71</v>
      </c>
      <c r="AD756" s="657" t="s">
        <v>86</v>
      </c>
      <c r="AE756" s="661" t="s">
        <v>149</v>
      </c>
      <c r="AF756" s="661" t="s">
        <v>94</v>
      </c>
      <c r="AG756" s="661" t="s">
        <v>149</v>
      </c>
      <c r="AH756" s="661" t="s">
        <v>94</v>
      </c>
      <c r="AI756" s="661" t="s">
        <v>149</v>
      </c>
      <c r="AJ756" s="661" t="s">
        <v>94</v>
      </c>
      <c r="AK756" s="1332" t="s">
        <v>149</v>
      </c>
      <c r="AL756" s="661" t="s">
        <v>94</v>
      </c>
      <c r="AM756" s="1406" t="s">
        <v>76</v>
      </c>
      <c r="AN756" s="1407"/>
      <c r="AP756" s="387" t="s">
        <v>260</v>
      </c>
      <c r="AQ756" s="387" t="s">
        <v>261</v>
      </c>
      <c r="AS756" s="1218" t="s">
        <v>165</v>
      </c>
      <c r="AT756" s="1219" t="s">
        <v>79</v>
      </c>
      <c r="AU756" s="1220" t="s">
        <v>80</v>
      </c>
    </row>
    <row r="757" spans="1:47" ht="15" thickBot="1" x14ac:dyDescent="0.35">
      <c r="B757" s="405">
        <v>68</v>
      </c>
      <c r="C757" s="399"/>
      <c r="D757" s="385" t="str">
        <f>VLOOKUP($B757,EventOrder,6,FALSE)</f>
        <v xml:space="preserve">200m </v>
      </c>
      <c r="E757" s="399"/>
      <c r="F757" s="385"/>
      <c r="G757" s="386" t="str">
        <f>VLOOKUP($B757,EventOrder,4,FALSE)</f>
        <v>U16 Female</v>
      </c>
      <c r="H757" s="396" t="str">
        <f>IF(MID(G757,5,1)="F","F","M")</f>
        <v>F</v>
      </c>
      <c r="I757" s="397">
        <f>VLOOKUP($B757,EventOrder,2,FALSE)</f>
        <v>4.0999999999999996</v>
      </c>
      <c r="K757" s="377"/>
      <c r="L757" s="667" t="s">
        <v>149</v>
      </c>
      <c r="M757" s="409" t="s">
        <v>264</v>
      </c>
      <c r="N757" s="409" t="s">
        <v>265</v>
      </c>
      <c r="O757" s="390" t="s">
        <v>266</v>
      </c>
      <c r="P757" s="391"/>
      <c r="Q757" s="392"/>
      <c r="R757" s="659" t="s">
        <v>94</v>
      </c>
      <c r="S757" s="409" t="s">
        <v>264</v>
      </c>
      <c r="T757" s="409" t="s">
        <v>265</v>
      </c>
      <c r="U757" s="390" t="s">
        <v>266</v>
      </c>
      <c r="V757" s="391"/>
      <c r="W757" s="671"/>
      <c r="Y757" s="415" t="s">
        <v>167</v>
      </c>
      <c r="Z757" s="658" t="s">
        <v>149</v>
      </c>
      <c r="AA757" s="659" t="s">
        <v>94</v>
      </c>
      <c r="AC757" s="666"/>
      <c r="AD757" s="668"/>
      <c r="AE757" s="768" t="s">
        <v>75</v>
      </c>
      <c r="AF757" s="768" t="s">
        <v>75</v>
      </c>
      <c r="AG757" s="768" t="s">
        <v>267</v>
      </c>
      <c r="AH757" s="768" t="s">
        <v>267</v>
      </c>
      <c r="AI757" s="768" t="s">
        <v>268</v>
      </c>
      <c r="AJ757" s="768" t="s">
        <v>268</v>
      </c>
      <c r="AK757" s="770" t="s">
        <v>269</v>
      </c>
      <c r="AL757" s="768" t="s">
        <v>269</v>
      </c>
      <c r="AM757" s="667" t="s">
        <v>149</v>
      </c>
      <c r="AN757" s="659" t="s">
        <v>94</v>
      </c>
      <c r="AP757" s="409" t="s">
        <v>264</v>
      </c>
      <c r="AQ757" s="409" t="s">
        <v>265</v>
      </c>
      <c r="AS757" s="1221" t="s">
        <v>270</v>
      </c>
      <c r="AT757" s="1222" t="s">
        <v>270</v>
      </c>
      <c r="AU757" s="1223" t="s">
        <v>270</v>
      </c>
    </row>
    <row r="758" spans="1:47" ht="15.6" x14ac:dyDescent="0.3">
      <c r="A758" s="416">
        <f>(B757*10)+1</f>
        <v>681</v>
      </c>
      <c r="B758" s="362" t="str">
        <f>'Event Details'!D$22</f>
        <v>S</v>
      </c>
      <c r="C758" s="381" t="str">
        <f>'Event Details'!E$22</f>
        <v>BRAT</v>
      </c>
      <c r="D758" s="379"/>
      <c r="E758" s="378"/>
      <c r="F758" s="363" t="str">
        <f>VLOOKUP($B757,IF($H757="F",TeamSheetFemale,TeamSheetMale),$Y758-1,FALSE)</f>
        <v>S</v>
      </c>
      <c r="G758" s="380" t="str">
        <f>VLOOKUP($B757,IF($H757="F",TeamSheetFemale,TeamSheetMale),$Y758,FALSE)</f>
        <v xml:space="preserve">Araya Williams </v>
      </c>
      <c r="H758" s="363" t="str">
        <f>VLOOKUP($B757,IF($H757="F",TeamSheetFemale,TeamSheetMale),$Y758+1,FALSE)</f>
        <v>SS</v>
      </c>
      <c r="I758" s="364" t="str">
        <f>VLOOKUP($B757,IF($H757="F",TeamSheetFemale,TeamSheetMale),$Y758+2,FALSE)</f>
        <v xml:space="preserve">Erin Colclough </v>
      </c>
      <c r="K758" s="393" t="s">
        <v>271</v>
      </c>
      <c r="L758" s="16" t="str">
        <f t="shared" ref="L758:L765" si="674">LEFT(M758,1)</f>
        <v>S</v>
      </c>
      <c r="M758" s="926" t="s">
        <v>100</v>
      </c>
      <c r="N758" s="926">
        <v>25.7</v>
      </c>
      <c r="O758" s="394" t="str">
        <f>IF(LEN($M758)=1,VLOOKUP(LEFT($M758,1),B758:I765,5,FALSE),IF(LEN($M758)=2,VLOOKUP(LEFT($M758,1),B758:I765,7,FALSE),""))</f>
        <v>S</v>
      </c>
      <c r="P758" s="395" t="str">
        <f>IF(LEN($M758)=1,VLOOKUP(LEFT($M758,1),B758:I765,6,FALSE),IF(LEN($M758)=2,VLOOKUP(LEFT($M758,1),B758:I765,8,FALSE),""))</f>
        <v xml:space="preserve">Araya Williams </v>
      </c>
      <c r="Q758" s="393" t="s">
        <v>271</v>
      </c>
      <c r="R758" s="146" t="str">
        <f t="shared" ref="R758:R765" si="675">LEFT(S758,1)</f>
        <v>Y</v>
      </c>
      <c r="S758" s="926" t="s">
        <v>822</v>
      </c>
      <c r="T758" s="926">
        <v>27.7</v>
      </c>
      <c r="U758" s="394" t="str">
        <f>IF(LEN($S758)=1,VLOOKUP(LEFT($S758,1),B758:I765,5,FALSE),IF(LEN($S758)=2,VLOOKUP(LEFT($S758,1),B758:I765,7,FALSE),""))</f>
        <v>YY</v>
      </c>
      <c r="V758" s="395" t="str">
        <f>IF(LEN($S758)=1,VLOOKUP(LEFT($S758,1),B758:I765,6,FALSE),IF(LEN($S758)=2,VLOOKUP(LEFT($S758,1),B758:I765,8,FALSE),""))</f>
        <v>Isla Oldham</v>
      </c>
      <c r="W758" s="417">
        <f>AN$6</f>
        <v>8</v>
      </c>
      <c r="Y758" s="416">
        <v>7</v>
      </c>
      <c r="Z758" s="653" t="str">
        <f t="shared" ref="Z758:Z765" si="676">IF(LEN(M758)&gt;0,VLOOKUP(LEFT(M758,1),ShortName,5,FALSE),0)</f>
        <v>BRAT</v>
      </c>
      <c r="AA758" s="138" t="str">
        <f t="shared" ref="AA758:AA765" si="677">IF(LEN(S758)&gt;0,VLOOKUP(LEFT(S758,1),ShortName,5,FALSE),0)</f>
        <v>Worc</v>
      </c>
      <c r="AC758" s="16" t="str">
        <f t="shared" ref="AC758:AD765" si="678">B758</f>
        <v>S</v>
      </c>
      <c r="AD758" s="419" t="str">
        <f t="shared" si="678"/>
        <v>BRAT</v>
      </c>
      <c r="AE758" s="635">
        <f>IF(ISNA(MATCH(AC758,N758:N767,0)),0,VLOOKUP(AC758,N758:S767,5,FALSE))</f>
        <v>0</v>
      </c>
      <c r="AF758" s="635" t="str">
        <f>IF(ISNA(MATCH(AC758,T758:T767,0))," ",VLOOKUP(AC758,T758:Y767,5,FALSE))</f>
        <v xml:space="preserve"> </v>
      </c>
      <c r="AG758" s="635">
        <f>IF(ISNA(MATCH(AC758,L758:L765,0)),0,VLOOKUP(AC758,L758:N765,3,FALSE))</f>
        <v>25.7</v>
      </c>
      <c r="AH758" s="635">
        <f>IF(ISNA(MATCH(AC758,R758:R765,0)),0,VLOOKUP(AC758,R758:T765,3,FALSE))</f>
        <v>29.6</v>
      </c>
      <c r="AI758" s="635" t="str">
        <f>IF(ISNA(MATCH(AC758,L758:L765,0)),0,VLOOKUP(AC758,L758:P765,4,FALSE))</f>
        <v>S</v>
      </c>
      <c r="AJ758" s="635" t="str">
        <f>IF(ISNA(MATCH(AC758,R758:R765,0)),0,VLOOKUP(AC758,R758:U765,4,FALSE))</f>
        <v>SS</v>
      </c>
      <c r="AK758" s="49">
        <f t="shared" ref="AK758:AK765" si="679">IF(AM758=0,0,AN$6-(AM758-1))</f>
        <v>1</v>
      </c>
      <c r="AL758" s="49">
        <f t="shared" ref="AL758:AL765" si="680">IF(AN758=0,0,AN$6-(AN758-1))</f>
        <v>5</v>
      </c>
      <c r="AM758" s="49">
        <f>IF(ISNA(MATCH(AC758,L758:L765,0)),0,VLOOKUP(AC758,L758:W765,AM$1,FALSE))</f>
        <v>8</v>
      </c>
      <c r="AN758" s="138">
        <f>IF(ISNA(MATCH(AC758,R758:R765,0)),0,VLOOKUP(AC758,R758:W765,AN$1,FALSE))</f>
        <v>4</v>
      </c>
      <c r="AP758" s="926"/>
      <c r="AQ758" s="926"/>
      <c r="AS758" s="32">
        <f>IF(LEN(N758)&gt;0,1,0)</f>
        <v>1</v>
      </c>
      <c r="AT758" s="32">
        <f>IF(AND(AS758=1,H757="M"),1,0)</f>
        <v>0</v>
      </c>
      <c r="AU758" s="32">
        <f>IF(AND(AS758=1,H757="F"),1,0)</f>
        <v>1</v>
      </c>
    </row>
    <row r="759" spans="1:47" ht="15.6" x14ac:dyDescent="0.3">
      <c r="A759" s="417">
        <f>A758+1</f>
        <v>682</v>
      </c>
      <c r="B759" s="362" t="str">
        <f>'Event Details'!D$23</f>
        <v>U</v>
      </c>
      <c r="C759" s="381" t="str">
        <f>'Event Details'!E$23</f>
        <v>Kidder &amp; Stourport</v>
      </c>
      <c r="D759" s="379"/>
      <c r="E759" s="378"/>
      <c r="F759" s="363" t="str">
        <f>VLOOKUP($B757,IF($H757="F",TeamSheetFemale,TeamSheetMale),$Y759-1,FALSE)</f>
        <v>U</v>
      </c>
      <c r="G759" s="380" t="str">
        <f>VLOOKUP($B757,IF($H757="F",TeamSheetFemale,TeamSheetMale),$Y759,FALSE)</f>
        <v>Georgia Kiernan</v>
      </c>
      <c r="H759" s="363" t="str">
        <f>VLOOKUP($B757,IF($H757="F",TeamSheetFemale,TeamSheetMale),$Y759+1,FALSE)</f>
        <v>UU</v>
      </c>
      <c r="I759" s="364" t="str">
        <f>VLOOKUP($B757,IF($H757="F",TeamSheetFemale,TeamSheetMale),$Y759+2,FALSE)</f>
        <v>Florence Aspinall</v>
      </c>
      <c r="K759" s="341" t="s">
        <v>272</v>
      </c>
      <c r="L759" s="16" t="str">
        <f t="shared" si="674"/>
        <v>Y</v>
      </c>
      <c r="M759" s="927" t="s">
        <v>151</v>
      </c>
      <c r="N759" s="927">
        <v>26.1</v>
      </c>
      <c r="O759" s="353" t="str">
        <f>IF(LEN($M759)=1,VLOOKUP(LEFT($M759,1),B758:I765,5,FALSE),IF(LEN($M759)=2,VLOOKUP(LEFT($M759,1),B758:I765,7,FALSE),""))</f>
        <v>Y</v>
      </c>
      <c r="P759" s="373" t="str">
        <f>IF(LEN($M759)=1,VLOOKUP(LEFT($M759,1),B758:I765,6,FALSE),IF(LEN($M759)=2,VLOOKUP(LEFT($M759,1),B758:I765,8,FALSE),""))</f>
        <v>Lara Taylor</v>
      </c>
      <c r="Q759" s="341" t="s">
        <v>272</v>
      </c>
      <c r="R759" s="146" t="str">
        <f t="shared" si="675"/>
        <v>M</v>
      </c>
      <c r="S759" s="927" t="s">
        <v>821</v>
      </c>
      <c r="T759" s="927">
        <v>28.2</v>
      </c>
      <c r="U759" s="353" t="str">
        <f>IF(LEN($S759)=1,VLOOKUP(LEFT($S759,1),B758:I765,5,FALSE),IF(LEN($S759)=2,VLOOKUP(LEFT($S759,1),B758:I765,7,FALSE),""))</f>
        <v>MM</v>
      </c>
      <c r="V759" s="373" t="str">
        <f>IF(LEN($S759)=1,VLOOKUP(LEFT($S759,1),B758:I765,6,FALSE),IF(LEN($S759)=2,VLOOKUP(LEFT($S759,1),B758:I765,8,FALSE),""))</f>
        <v>Isla Gerry</v>
      </c>
      <c r="W759" s="417">
        <f>W758-1</f>
        <v>7</v>
      </c>
      <c r="Y759" s="417">
        <v>12</v>
      </c>
      <c r="Z759" s="16" t="str">
        <f t="shared" si="676"/>
        <v>Worc</v>
      </c>
      <c r="AA759" s="146" t="str">
        <f t="shared" si="677"/>
        <v>Sol</v>
      </c>
      <c r="AC759" s="16" t="str">
        <f t="shared" si="678"/>
        <v>U</v>
      </c>
      <c r="AD759" s="419" t="str">
        <f t="shared" si="678"/>
        <v>Kidder &amp; Stourport</v>
      </c>
      <c r="AE759" s="419">
        <f>IF(ISNA(MATCH(AC759,N758:N767,0)),0,VLOOKUP(AC759,N758:S767,5,FALSE))</f>
        <v>0</v>
      </c>
      <c r="AF759" s="419" t="str">
        <f>IF(ISNA(MATCH(AC759,T758:T767,0))," ",VLOOKUP(AC759,T758:Y767,5,FALSE))</f>
        <v xml:space="preserve"> </v>
      </c>
      <c r="AG759" s="419">
        <f>IF(ISNA(MATCH(AC759,L758:L765,0)),0,VLOOKUP(AC759,L758:N765,3,FALSE))</f>
        <v>27.7</v>
      </c>
      <c r="AH759" s="419">
        <f>IF(ISNA(MATCH(AC759,R758:R765,0)),0,VLOOKUP(AC759,R758:T765,3,FALSE))</f>
        <v>31.4</v>
      </c>
      <c r="AI759" s="419" t="str">
        <f>IF(ISNA(MATCH(AC759,L758:L765,0)),0,VLOOKUP(AC759,L758:P765,4,FALSE))</f>
        <v>U</v>
      </c>
      <c r="AJ759" s="419" t="str">
        <f>IF(ISNA(MATCH(AC759,R758:R765,0)),0,VLOOKUP(AC759,R758:U765,4,FALSE))</f>
        <v>UU</v>
      </c>
      <c r="AK759" s="32">
        <f t="shared" si="679"/>
        <v>5</v>
      </c>
      <c r="AL759" s="32">
        <f t="shared" si="680"/>
        <v>7</v>
      </c>
      <c r="AM759" s="32">
        <f>IF(ISNA(MATCH(AC759,L758:L765,0)),0,VLOOKUP(AC759,L758:W765,AM$1,FALSE))</f>
        <v>4</v>
      </c>
      <c r="AN759" s="146">
        <f>IF(ISNA(MATCH(AC759,R758:R765,0)),0,VLOOKUP(AC759,R758:W765,AN$1,FALSE))</f>
        <v>2</v>
      </c>
      <c r="AP759" s="927"/>
      <c r="AQ759" s="927"/>
    </row>
    <row r="760" spans="1:47" ht="15.6" x14ac:dyDescent="0.3">
      <c r="A760" s="417">
        <f t="shared" ref="A760:A765" si="681">A759+1</f>
        <v>683</v>
      </c>
      <c r="B760" s="362" t="str">
        <f>'Event Details'!D$24</f>
        <v>G</v>
      </c>
      <c r="C760" s="381" t="str">
        <f>'Event Details'!E$24</f>
        <v>Royal Sutton</v>
      </c>
      <c r="D760" s="379"/>
      <c r="E760" s="378"/>
      <c r="F760" s="363" t="str">
        <f>VLOOKUP($B757,IF($H757="F",TeamSheetFemale,TeamSheetMale),$Y760-1,FALSE)</f>
        <v>G</v>
      </c>
      <c r="G760" s="380" t="str">
        <f>VLOOKUP($B757,IF($H757="F",TeamSheetFemale,TeamSheetMale),$Y760,FALSE)</f>
        <v>Anisia Barton</v>
      </c>
      <c r="H760" s="363" t="str">
        <f>VLOOKUP($B757,IF($H757="F",TeamSheetFemale,TeamSheetMale),$Y760+1,FALSE)</f>
        <v>GG</v>
      </c>
      <c r="I760" s="364" t="str">
        <f>VLOOKUP($B757,IF($H757="F",TeamSheetFemale,TeamSheetMale),$Y760+2,FALSE)</f>
        <v>Ines Fennell</v>
      </c>
      <c r="K760" s="341" t="s">
        <v>273</v>
      </c>
      <c r="L760" s="16" t="str">
        <f t="shared" si="674"/>
        <v>F</v>
      </c>
      <c r="M760" s="927" t="s">
        <v>142</v>
      </c>
      <c r="N760" s="927">
        <v>26.8</v>
      </c>
      <c r="O760" s="353" t="str">
        <f>IF(LEN($M760)=1,VLOOKUP(LEFT($M760,1),B758:I765,5,FALSE),IF(LEN($M760)=2,VLOOKUP(LEFT($M760,1),B758:I765,7,FALSE),""))</f>
        <v>F</v>
      </c>
      <c r="P760" s="373" t="str">
        <f>IF(LEN($M760)=1,VLOOKUP(LEFT($M760,1),B758:I765,6,FALSE),IF(LEN($M760)=2,VLOOKUP(LEFT($M760,1),B758:I765,8,FALSE),""))</f>
        <v>Brodie Horler</v>
      </c>
      <c r="Q760" s="341" t="s">
        <v>273</v>
      </c>
      <c r="R760" s="146" t="str">
        <f t="shared" si="675"/>
        <v>D</v>
      </c>
      <c r="S760" s="927" t="s">
        <v>513</v>
      </c>
      <c r="T760" s="927">
        <v>28.8</v>
      </c>
      <c r="U760" s="353" t="str">
        <f>IF(LEN($S760)=1,VLOOKUP(LEFT($S760,1),B758:I765,5,FALSE),IF(LEN($S760)=2,VLOOKUP(LEFT($S760,1),B758:I765,7,FALSE),""))</f>
        <v>DD</v>
      </c>
      <c r="V760" s="373" t="str">
        <f>IF(LEN($S760)=1,VLOOKUP(LEFT($S760,1),B758:I765,6,FALSE),IF(LEN($S760)=2,VLOOKUP(LEFT($S760,1),B758:I765,8,FALSE),""))</f>
        <v>Annabel Stacey</v>
      </c>
      <c r="W760" s="417">
        <f t="shared" ref="W760:W765" si="682">W759-1</f>
        <v>6</v>
      </c>
      <c r="Y760" s="417">
        <v>17</v>
      </c>
      <c r="Z760" s="16" t="str">
        <f t="shared" si="676"/>
        <v>Tam</v>
      </c>
      <c r="AA760" s="146" t="str">
        <f t="shared" si="677"/>
        <v>Strat</v>
      </c>
      <c r="AB760" s="32"/>
      <c r="AC760" s="16" t="str">
        <f t="shared" si="678"/>
        <v>G</v>
      </c>
      <c r="AD760" s="419" t="str">
        <f t="shared" si="678"/>
        <v>Royal Sutton</v>
      </c>
      <c r="AE760" s="419">
        <f>IF(ISNA(MATCH(AC760,N758:N767,0)),0,VLOOKUP(AC760,N758:S767,5,FALSE))</f>
        <v>0</v>
      </c>
      <c r="AF760" s="419" t="str">
        <f>IF(ISNA(MATCH(AC760,T758:T767,0))," ",VLOOKUP(AC760,T758:Y767,5,FALSE))</f>
        <v xml:space="preserve"> </v>
      </c>
      <c r="AG760" s="419">
        <f>IF(ISNA(MATCH(AC760,L758:L765,0)),0,VLOOKUP(AC760,L758:N765,3,FALSE))</f>
        <v>29.5</v>
      </c>
      <c r="AH760" s="419">
        <f>IF(ISNA(MATCH(AC760,R758:R765,0)),0,VLOOKUP(AC760,R758:T765,3,FALSE))</f>
        <v>31.2</v>
      </c>
      <c r="AI760" s="419" t="str">
        <f>IF(ISNA(MATCH(AC760,L758:L765,0)),0,VLOOKUP(AC760,L758:P765,4,FALSE))</f>
        <v>G</v>
      </c>
      <c r="AJ760" s="419" t="str">
        <f>IF(ISNA(MATCH(AC760,R758:R765,0)),0,VLOOKUP(AC760,R758:U765,4,FALSE))</f>
        <v>GG</v>
      </c>
      <c r="AK760" s="32">
        <f t="shared" si="679"/>
        <v>8</v>
      </c>
      <c r="AL760" s="32">
        <f t="shared" si="680"/>
        <v>6</v>
      </c>
      <c r="AM760" s="32">
        <f>IF(ISNA(MATCH(AC760,L758:L765,0)),0,VLOOKUP(AC760,L758:W765,AM$1,FALSE))</f>
        <v>1</v>
      </c>
      <c r="AN760" s="146">
        <f>IF(ISNA(MATCH(AC760,R758:R765,0)),0,VLOOKUP(AC760,R758:W765,AN$1,FALSE))</f>
        <v>3</v>
      </c>
      <c r="AP760" s="927"/>
      <c r="AQ760" s="927"/>
    </row>
    <row r="761" spans="1:47" ht="15.6" x14ac:dyDescent="0.3">
      <c r="A761" s="417">
        <f t="shared" si="681"/>
        <v>684</v>
      </c>
      <c r="B761" s="362" t="str">
        <f>'Event Details'!D$25</f>
        <v>R</v>
      </c>
      <c r="C761" s="381" t="str">
        <f>'Event Details'!E$25</f>
        <v>Rugby &amp; N'hampton</v>
      </c>
      <c r="D761" s="379"/>
      <c r="E761" s="378"/>
      <c r="F761" s="363" t="str">
        <f>VLOOKUP($B757,IF($H757="F",TeamSheetFemale,TeamSheetMale),$Y761-1,FALSE)</f>
        <v>R</v>
      </c>
      <c r="G761" s="380" t="str">
        <f>VLOOKUP($B757,IF($H757="F",TeamSheetFemale,TeamSheetMale),$Y761,FALSE)</f>
        <v>Phoebe Clark</v>
      </c>
      <c r="H761" s="363" t="str">
        <f>VLOOKUP($B757,IF($H757="F",TeamSheetFemale,TeamSheetMale),$Y761+1,FALSE)</f>
        <v>RR</v>
      </c>
      <c r="I761" s="364" t="str">
        <f>VLOOKUP($B757,IF($H757="F",TeamSheetFemale,TeamSheetMale),$Y761+2,FALSE)</f>
        <v>Betsy Fahey</v>
      </c>
      <c r="K761" s="341" t="s">
        <v>274</v>
      </c>
      <c r="L761" s="16" t="str">
        <f t="shared" si="674"/>
        <v>M</v>
      </c>
      <c r="M761" s="927" t="s">
        <v>127</v>
      </c>
      <c r="N761" s="927">
        <v>27.4</v>
      </c>
      <c r="O761" s="353" t="str">
        <f>IF(LEN($M761)=1,VLOOKUP(LEFT($M761,1),B758:I765,5,FALSE),IF(LEN($M761)=2,VLOOKUP(LEFT($M761,1),B758:I765,7,FALSE),""))</f>
        <v>M</v>
      </c>
      <c r="P761" s="373" t="str">
        <f>IF(LEN($M761)=1,VLOOKUP(LEFT($M761,1),B758:I765,6,FALSE),IF(LEN($M761)=2,VLOOKUP(LEFT($M761,1),B758:I765,8,FALSE),""))</f>
        <v>Ada Masson</v>
      </c>
      <c r="Q761" s="341" t="s">
        <v>274</v>
      </c>
      <c r="R761" s="146" t="str">
        <f t="shared" si="675"/>
        <v>R</v>
      </c>
      <c r="S761" s="927" t="s">
        <v>819</v>
      </c>
      <c r="T761" s="927">
        <v>29.3</v>
      </c>
      <c r="U761" s="353" t="str">
        <f>IF(LEN($S761)=1,VLOOKUP(LEFT($S761,1),B758:I765,5,FALSE),IF(LEN($S761)=2,VLOOKUP(LEFT($S761,1),B758:I765,7,FALSE),""))</f>
        <v>RR</v>
      </c>
      <c r="V761" s="373" t="str">
        <f>IF(LEN($S761)=1,VLOOKUP(LEFT($S761,1),B758:I765,6,FALSE),IF(LEN($S761)=2,VLOOKUP(LEFT($S761,1),B758:I765,8,FALSE),""))</f>
        <v>Betsy Fahey</v>
      </c>
      <c r="W761" s="417">
        <f t="shared" si="682"/>
        <v>5</v>
      </c>
      <c r="Y761" s="417">
        <v>22</v>
      </c>
      <c r="Z761" s="16" t="str">
        <f t="shared" si="676"/>
        <v>Sol</v>
      </c>
      <c r="AA761" s="146" t="str">
        <f t="shared" si="677"/>
        <v>Rugby</v>
      </c>
      <c r="AB761" s="32"/>
      <c r="AC761" s="16" t="str">
        <f t="shared" si="678"/>
        <v>R</v>
      </c>
      <c r="AD761" s="419" t="str">
        <f t="shared" si="678"/>
        <v>Rugby &amp; N'hampton</v>
      </c>
      <c r="AE761" s="419">
        <f>IF(ISNA(MATCH(AC761,N758:N767,0)),0,VLOOKUP(AC761,N758:S767,5,FALSE))</f>
        <v>0</v>
      </c>
      <c r="AF761" s="419" t="str">
        <f>IF(ISNA(MATCH(AC761,T758:T767,0))," ",VLOOKUP(AC761,T758:Y767,5,FALSE))</f>
        <v xml:space="preserve"> </v>
      </c>
      <c r="AG761" s="419">
        <f>IF(ISNA(MATCH(AC761,L758:L765,0)),0,VLOOKUP(AC761,L758:N765,3,FALSE))</f>
        <v>27.7</v>
      </c>
      <c r="AH761" s="419">
        <f>IF(ISNA(MATCH(AC761,R758:R765,0)),0,VLOOKUP(AC761,R758:T765,3,FALSE))</f>
        <v>29.3</v>
      </c>
      <c r="AI761" s="419" t="str">
        <f>IF(ISNA(MATCH(AC761,L758:L765,0)),0,VLOOKUP(AC761,L758:P765,4,FALSE))</f>
        <v>R</v>
      </c>
      <c r="AJ761" s="419" t="str">
        <f>IF(ISNA(MATCH(AC761,R758:R765,0)),0,VLOOKUP(AC761,R758:U765,4,FALSE))</f>
        <v>RR</v>
      </c>
      <c r="AK761" s="32">
        <f t="shared" si="679"/>
        <v>6</v>
      </c>
      <c r="AL761" s="32">
        <f t="shared" si="680"/>
        <v>4</v>
      </c>
      <c r="AM761" s="32">
        <f>IF(ISNA(MATCH(AC761,L758:L765,0)),0,VLOOKUP(AC761,L758:W765,AM$1,FALSE))</f>
        <v>3</v>
      </c>
      <c r="AN761" s="146">
        <f>IF(ISNA(MATCH(AC761,R758:R765,0)),0,VLOOKUP(AC761,R758:W765,AN$1,FALSE))</f>
        <v>5</v>
      </c>
      <c r="AP761" s="927"/>
      <c r="AQ761" s="927"/>
    </row>
    <row r="762" spans="1:47" ht="15.6" x14ac:dyDescent="0.3">
      <c r="A762" s="417">
        <f t="shared" si="681"/>
        <v>685</v>
      </c>
      <c r="B762" s="362" t="str">
        <f>'Event Details'!D$26</f>
        <v>M</v>
      </c>
      <c r="C762" s="381" t="str">
        <f>'Event Details'!E$26</f>
        <v>Solihull &amp; S.Heath</v>
      </c>
      <c r="D762" s="379"/>
      <c r="E762" s="378"/>
      <c r="F762" s="363" t="str">
        <f>VLOOKUP($B757,IF($H757="F",TeamSheetFemale,TeamSheetMale),$Y762-1,FALSE)</f>
        <v>M</v>
      </c>
      <c r="G762" s="380" t="str">
        <f>VLOOKUP($B757,IF($H757="F",TeamSheetFemale,TeamSheetMale),$Y762,FALSE)</f>
        <v>Ada Masson</v>
      </c>
      <c r="H762" s="363" t="str">
        <f>VLOOKUP($B757,IF($H757="F",TeamSheetFemale,TeamSheetMale),$Y762+1,FALSE)</f>
        <v>MM</v>
      </c>
      <c r="I762" s="364" t="str">
        <f>VLOOKUP($B757,IF($H757="F",TeamSheetFemale,TeamSheetMale),$Y762+2,FALSE)</f>
        <v>Isla Gerry</v>
      </c>
      <c r="K762" s="341" t="s">
        <v>275</v>
      </c>
      <c r="L762" s="16" t="str">
        <f t="shared" si="674"/>
        <v>U</v>
      </c>
      <c r="M762" s="927" t="s">
        <v>130</v>
      </c>
      <c r="N762" s="927">
        <v>27.7</v>
      </c>
      <c r="O762" s="353" t="str">
        <f>IF(LEN($M762)=1,VLOOKUP(LEFT($M762,1),B758:I765,5,FALSE),IF(LEN($M762)=2,VLOOKUP(LEFT($M762,1),B758:I765,7,FALSE),""))</f>
        <v>U</v>
      </c>
      <c r="P762" s="373" t="str">
        <f>IF(LEN($M762)=1,VLOOKUP(LEFT($M762,1),B758:I765,6,FALSE),IF(LEN($M762)=2,VLOOKUP(LEFT($M762,1),B758:I765,8,FALSE),""))</f>
        <v>Georgia Kiernan</v>
      </c>
      <c r="Q762" s="341" t="s">
        <v>275</v>
      </c>
      <c r="R762" s="146" t="str">
        <f t="shared" si="675"/>
        <v>S</v>
      </c>
      <c r="S762" s="927" t="s">
        <v>818</v>
      </c>
      <c r="T762" s="927">
        <v>29.6</v>
      </c>
      <c r="U762" s="353" t="str">
        <f>IF(LEN($S762)=1,VLOOKUP(LEFT($S762,1),B758:I765,5,FALSE),IF(LEN($S762)=2,VLOOKUP(LEFT($S762,1),B758:I765,7,FALSE),""))</f>
        <v>SS</v>
      </c>
      <c r="V762" s="373" t="str">
        <f>IF(LEN($S762)=1,VLOOKUP(LEFT($S762,1),B758:I765,6,FALSE),IF(LEN($S762)=2,VLOOKUP(LEFT($S762,1),B758:I765,8,FALSE),""))</f>
        <v xml:space="preserve">Erin Colclough </v>
      </c>
      <c r="W762" s="417">
        <f t="shared" si="682"/>
        <v>4</v>
      </c>
      <c r="Y762" s="417">
        <v>27</v>
      </c>
      <c r="Z762" s="16" t="str">
        <f t="shared" si="676"/>
        <v>K&amp;S</v>
      </c>
      <c r="AA762" s="146" t="str">
        <f t="shared" si="677"/>
        <v>BRAT</v>
      </c>
      <c r="AB762" s="32"/>
      <c r="AC762" s="16" t="str">
        <f t="shared" si="678"/>
        <v>M</v>
      </c>
      <c r="AD762" s="419" t="str">
        <f t="shared" si="678"/>
        <v>Solihull &amp; S.Heath</v>
      </c>
      <c r="AE762" s="419">
        <f>IF(ISNA(MATCH(AC762,N758:N767,0)),0,VLOOKUP(AC762,N758:S767,5,FALSE))</f>
        <v>0</v>
      </c>
      <c r="AF762" s="419" t="str">
        <f>IF(ISNA(MATCH(AC762,T758:T767,0))," ",VLOOKUP(AC762,T758:Y767,5,FALSE))</f>
        <v xml:space="preserve"> </v>
      </c>
      <c r="AG762" s="419">
        <f>IF(ISNA(MATCH(AC762,L758:L765,0)),0,VLOOKUP(AC762,L758:N765,3,FALSE))</f>
        <v>27.4</v>
      </c>
      <c r="AH762" s="419">
        <f>IF(ISNA(MATCH(AC762,R758:R765,0)),0,VLOOKUP(AC762,R758:T765,3,FALSE))</f>
        <v>28.2</v>
      </c>
      <c r="AI762" s="419" t="str">
        <f>IF(ISNA(MATCH(AC762,L758:L765,0)),0,VLOOKUP(AC762,L758:P765,4,FALSE))</f>
        <v>M</v>
      </c>
      <c r="AJ762" s="419" t="str">
        <f>IF(ISNA(MATCH(AC762,R758:R765,0)),0,VLOOKUP(AC762,R758:U765,4,FALSE))</f>
        <v>MM</v>
      </c>
      <c r="AK762" s="32">
        <f t="shared" si="679"/>
        <v>4</v>
      </c>
      <c r="AL762" s="32">
        <f t="shared" si="680"/>
        <v>2</v>
      </c>
      <c r="AM762" s="32">
        <f>IF(ISNA(MATCH(AC762,L758:L765,0)),0,VLOOKUP(AC762,L758:W765,AM$1,FALSE))</f>
        <v>5</v>
      </c>
      <c r="AN762" s="146">
        <f>IF(ISNA(MATCH(AC762,R758:R765,0)),0,VLOOKUP(AC762,R758:W765,AN$1,FALSE))</f>
        <v>7</v>
      </c>
      <c r="AP762" s="927"/>
      <c r="AQ762" s="927"/>
    </row>
    <row r="763" spans="1:47" ht="15.6" x14ac:dyDescent="0.3">
      <c r="A763" s="417">
        <f t="shared" si="681"/>
        <v>686</v>
      </c>
      <c r="B763" s="362" t="str">
        <f>'Event Details'!D$27</f>
        <v>D</v>
      </c>
      <c r="C763" s="381" t="str">
        <f>'Event Details'!E$27</f>
        <v>Stratford</v>
      </c>
      <c r="D763" s="379"/>
      <c r="E763" s="378"/>
      <c r="F763" s="363" t="str">
        <f>VLOOKUP($B757,IF($H757="F",TeamSheetFemale,TeamSheetMale),$Y763-1,FALSE)</f>
        <v>D</v>
      </c>
      <c r="G763" s="380" t="str">
        <f>VLOOKUP($B757,IF($H757="F",TeamSheetFemale,TeamSheetMale),$Y763,FALSE)</f>
        <v xml:space="preserve">Niamh Williams </v>
      </c>
      <c r="H763" s="363" t="str">
        <f>VLOOKUP($B757,IF($H757="F",TeamSheetFemale,TeamSheetMale),$Y763+1,FALSE)</f>
        <v>DD</v>
      </c>
      <c r="I763" s="364" t="str">
        <f>VLOOKUP($B757,IF($H757="F",TeamSheetFemale,TeamSheetMale),$Y763+2,FALSE)</f>
        <v>Annabel Stacey</v>
      </c>
      <c r="K763" s="341" t="s">
        <v>276</v>
      </c>
      <c r="L763" s="16" t="str">
        <f t="shared" si="674"/>
        <v>R</v>
      </c>
      <c r="M763" s="927" t="s">
        <v>118</v>
      </c>
      <c r="N763" s="927">
        <v>27.7</v>
      </c>
      <c r="O763" s="353" t="str">
        <f>IF(LEN($M763)=1,VLOOKUP(LEFT($M763,1),B758:I765,5,FALSE),IF(LEN($M763)=2,VLOOKUP(LEFT($M763,1),B758:I765,7,FALSE),""))</f>
        <v>R</v>
      </c>
      <c r="P763" s="373" t="str">
        <f>IF(LEN($M763)=1,VLOOKUP(LEFT($M763,1),B758:I765,6,FALSE),IF(LEN($M763)=2,VLOOKUP(LEFT($M763,1),B758:I765,8,FALSE),""))</f>
        <v>Phoebe Clark</v>
      </c>
      <c r="Q763" s="341" t="s">
        <v>276</v>
      </c>
      <c r="R763" s="146" t="str">
        <f t="shared" si="675"/>
        <v>G</v>
      </c>
      <c r="S763" s="927" t="s">
        <v>820</v>
      </c>
      <c r="T763" s="927">
        <v>31.2</v>
      </c>
      <c r="U763" s="353" t="str">
        <f>IF(LEN($S763)=1,VLOOKUP(LEFT($S763,1),B758:I765,5,FALSE),IF(LEN($S763)=2,VLOOKUP(LEFT($S763,1),B758:I765,7,FALSE),""))</f>
        <v>GG</v>
      </c>
      <c r="V763" s="373" t="str">
        <f>IF(LEN($S763)=1,VLOOKUP(LEFT($S763,1),B758:I765,6,FALSE),IF(LEN($S763)=2,VLOOKUP(LEFT($S763,1),B758:I765,8,FALSE),""))</f>
        <v>Ines Fennell</v>
      </c>
      <c r="W763" s="417">
        <f t="shared" si="682"/>
        <v>3</v>
      </c>
      <c r="Y763" s="417">
        <v>32</v>
      </c>
      <c r="Z763" s="16" t="str">
        <f t="shared" si="676"/>
        <v>Rugby</v>
      </c>
      <c r="AA763" s="146" t="str">
        <f t="shared" si="677"/>
        <v>Royal</v>
      </c>
      <c r="AB763" s="32"/>
      <c r="AC763" s="16" t="str">
        <f t="shared" si="678"/>
        <v>D</v>
      </c>
      <c r="AD763" s="419" t="str">
        <f t="shared" si="678"/>
        <v>Stratford</v>
      </c>
      <c r="AE763" s="419">
        <f>IF(ISNA(MATCH(AC763,N758:N767,0)),0,VLOOKUP(AC763,N758:S767,5,FALSE))</f>
        <v>0</v>
      </c>
      <c r="AF763" s="419" t="str">
        <f>IF(ISNA(MATCH(AC763,T758:T767,0))," ",VLOOKUP(AC763,T758:Y767,5,FALSE))</f>
        <v xml:space="preserve"> </v>
      </c>
      <c r="AG763" s="419">
        <f>IF(ISNA(MATCH(AC763,L758:L765,0)),0,VLOOKUP(AC763,L758:N765,3,FALSE))</f>
        <v>27.8</v>
      </c>
      <c r="AH763" s="419">
        <f>IF(ISNA(MATCH(AC763,R758:R765,0)),0,VLOOKUP(AC763,R758:T765,3,FALSE))</f>
        <v>28.8</v>
      </c>
      <c r="AI763" s="419" t="str">
        <f>IF(ISNA(MATCH(AC763,L758:L765,0)),0,VLOOKUP(AC763,L758:P765,4,FALSE))</f>
        <v>D</v>
      </c>
      <c r="AJ763" s="419" t="str">
        <f>IF(ISNA(MATCH(AC763,R758:R765,0)),0,VLOOKUP(AC763,R758:U765,4,FALSE))</f>
        <v>DD</v>
      </c>
      <c r="AK763" s="32">
        <f t="shared" si="679"/>
        <v>7</v>
      </c>
      <c r="AL763" s="32">
        <f t="shared" si="680"/>
        <v>3</v>
      </c>
      <c r="AM763" s="32">
        <f>IF(ISNA(MATCH(AC763,L758:L765,0)),0,VLOOKUP(AC763,L758:W765,AM$1,FALSE))</f>
        <v>2</v>
      </c>
      <c r="AN763" s="146">
        <f>IF(ISNA(MATCH(AC763,R758:R765,0)),0,VLOOKUP(AC763,R758:W765,AN$1,FALSE))</f>
        <v>6</v>
      </c>
      <c r="AP763" s="927"/>
      <c r="AQ763" s="927"/>
    </row>
    <row r="764" spans="1:47" ht="15.6" x14ac:dyDescent="0.3">
      <c r="A764" s="417">
        <f t="shared" si="681"/>
        <v>687</v>
      </c>
      <c r="B764" s="362" t="str">
        <f>'Event Details'!D$28</f>
        <v>F</v>
      </c>
      <c r="C764" s="381" t="str">
        <f>'Event Details'!E$28</f>
        <v>Tamworth</v>
      </c>
      <c r="D764" s="379"/>
      <c r="E764" s="378"/>
      <c r="F764" s="363" t="str">
        <f>VLOOKUP($B757,IF($H757="F",TeamSheetFemale,TeamSheetMale),$Y764-1,FALSE)</f>
        <v>F</v>
      </c>
      <c r="G764" s="380" t="str">
        <f>VLOOKUP($B757,IF($H757="F",TeamSheetFemale,TeamSheetMale),$Y764,FALSE)</f>
        <v>Brodie Horler</v>
      </c>
      <c r="H764" s="363">
        <f>VLOOKUP($B757,IF($H757="F",TeamSheetFemale,TeamSheetMale),$Y764+1,FALSE)</f>
        <v>0</v>
      </c>
      <c r="I764" s="364">
        <f>VLOOKUP($B757,IF($H757="F",TeamSheetFemale,TeamSheetMale),$Y764+2,FALSE)</f>
        <v>0</v>
      </c>
      <c r="K764" s="341" t="s">
        <v>277</v>
      </c>
      <c r="L764" s="16" t="str">
        <f t="shared" si="674"/>
        <v>D</v>
      </c>
      <c r="M764" s="931" t="s">
        <v>136</v>
      </c>
      <c r="N764" s="927">
        <v>27.8</v>
      </c>
      <c r="O764" s="353" t="str">
        <f>IF(LEN($M764)=1,VLOOKUP(LEFT($M764,1),B758:I765,5,FALSE),IF(LEN($M764)=2,VLOOKUP(LEFT($M764,1),B758:I765,7,FALSE),""))</f>
        <v>D</v>
      </c>
      <c r="P764" s="373" t="str">
        <f>IF(LEN($M764)=1,VLOOKUP(LEFT($M764,1),B758:I765,6,FALSE),IF(LEN($M764)=2,VLOOKUP(LEFT($M764,1),B758:I765,8,FALSE),""))</f>
        <v xml:space="preserve">Niamh Williams </v>
      </c>
      <c r="Q764" s="341" t="s">
        <v>277</v>
      </c>
      <c r="R764" s="146" t="str">
        <f t="shared" si="675"/>
        <v>U</v>
      </c>
      <c r="S764" s="931" t="s">
        <v>726</v>
      </c>
      <c r="T764" s="927">
        <v>31.4</v>
      </c>
      <c r="U764" s="353" t="str">
        <f>IF(LEN($S764)=1,VLOOKUP(LEFT($S764,1),B758:I765,5,FALSE),IF(LEN($S764)=2,VLOOKUP(LEFT($S764,1),B758:I765,7,FALSE),""))</f>
        <v>UU</v>
      </c>
      <c r="V764" s="373" t="str">
        <f>IF(LEN($S764)=1,VLOOKUP(LEFT($S764,1),B758:I765,6,FALSE),IF(LEN($S764)=2,VLOOKUP(LEFT($S764,1),B758:I765,8,FALSE),""))</f>
        <v>Florence Aspinall</v>
      </c>
      <c r="W764" s="417">
        <f t="shared" si="682"/>
        <v>2</v>
      </c>
      <c r="Y764" s="417">
        <v>37</v>
      </c>
      <c r="Z764" s="16" t="str">
        <f t="shared" si="676"/>
        <v>Strat</v>
      </c>
      <c r="AA764" s="146" t="str">
        <f t="shared" si="677"/>
        <v>K&amp;S</v>
      </c>
      <c r="AB764" s="32"/>
      <c r="AC764" s="16" t="str">
        <f t="shared" si="678"/>
        <v>F</v>
      </c>
      <c r="AD764" s="419" t="str">
        <f t="shared" si="678"/>
        <v>Tamworth</v>
      </c>
      <c r="AE764" s="419">
        <f>IF(ISNA(MATCH(AC764,N756:N765,0)),0,VLOOKUP(AC764,N756:S765,5,FALSE))</f>
        <v>0</v>
      </c>
      <c r="AF764" s="419" t="str">
        <f>IF(ISNA(MATCH(AC764,T756:T765,0))," ",VLOOKUP(AC764,T756:Y765,5,FALSE))</f>
        <v xml:space="preserve"> </v>
      </c>
      <c r="AG764" s="419">
        <f>IF(ISNA(MATCH(AC764,L758:L765,0)),0,VLOOKUP(AC764,L758:N765,3,FALSE))</f>
        <v>26.8</v>
      </c>
      <c r="AH764" s="419">
        <f>IF(ISNA(MATCH(AC764,R758:R765,0)),0,VLOOKUP(AC764,R758:T765,3,FALSE))</f>
        <v>0</v>
      </c>
      <c r="AI764" s="419" t="str">
        <f>IF(ISNA(MATCH(AC764,L758:L765,0)),0,VLOOKUP(AC764,L758:P765,4,FALSE))</f>
        <v>F</v>
      </c>
      <c r="AJ764" s="419">
        <f>IF(ISNA(MATCH(AC764,R758:R765,0)),0,VLOOKUP(AC764,R758:U765,4,FALSE))</f>
        <v>0</v>
      </c>
      <c r="AK764" s="32">
        <f t="shared" si="679"/>
        <v>3</v>
      </c>
      <c r="AL764" s="32">
        <f t="shared" si="680"/>
        <v>0</v>
      </c>
      <c r="AM764" s="32">
        <f>IF(ISNA(MATCH(AC764,L758:L765,0)),0,VLOOKUP(AC764,L758:W765,AM$1,FALSE))</f>
        <v>6</v>
      </c>
      <c r="AN764" s="146">
        <f>IF(ISNA(MATCH(AC764,R758:R765,0)),0,VLOOKUP(AC764,R758:W765,AN$1,FALSE))</f>
        <v>0</v>
      </c>
      <c r="AP764" s="931"/>
      <c r="AQ764" s="927"/>
    </row>
    <row r="765" spans="1:47" ht="16.2" thickBot="1" x14ac:dyDescent="0.35">
      <c r="A765" s="418">
        <f t="shared" si="681"/>
        <v>688</v>
      </c>
      <c r="B765" s="365" t="str">
        <f>'Event Details'!D$29</f>
        <v>Y</v>
      </c>
      <c r="C765" s="366" t="str">
        <f>'Event Details'!E$29</f>
        <v>Worcester</v>
      </c>
      <c r="D765" s="361"/>
      <c r="E765" s="370"/>
      <c r="F765" s="367" t="str">
        <f>VLOOKUP($B757,IF($H757="F",TeamSheetFemale,TeamSheetMale),$Y765-1,FALSE)</f>
        <v>Y</v>
      </c>
      <c r="G765" s="368" t="str">
        <f>VLOOKUP($B757,IF($H757="F",TeamSheetFemale,TeamSheetMale),$Y765,FALSE)</f>
        <v>Lara Taylor</v>
      </c>
      <c r="H765" s="367" t="str">
        <f>VLOOKUP($B757,IF($H757="F",TeamSheetFemale,TeamSheetMale),$Y765+1,FALSE)</f>
        <v>YY</v>
      </c>
      <c r="I765" s="369" t="str">
        <f>VLOOKUP($B757,IF($H757="F",TeamSheetFemale,TeamSheetMale),$Y765+2,FALSE)</f>
        <v>Isla Oldham</v>
      </c>
      <c r="K765" s="346" t="s">
        <v>278</v>
      </c>
      <c r="L765" s="25" t="str">
        <f t="shared" si="674"/>
        <v>G</v>
      </c>
      <c r="M765" s="928" t="s">
        <v>110</v>
      </c>
      <c r="N765" s="932">
        <v>29.5</v>
      </c>
      <c r="O765" s="375" t="str">
        <f>IF(LEN($M765)=1,VLOOKUP(LEFT($M765,1),B758:I765,5,FALSE),IF(LEN($M765)=2,VLOOKUP(LEFT($M765,1),B758:I765,7,FALSE),""))</f>
        <v>G</v>
      </c>
      <c r="P765" s="376" t="str">
        <f>IF(LEN($M765)=1,VLOOKUP(LEFT($M765,1),B758:I765,6,FALSE),IF(LEN($M765)=2,VLOOKUP(LEFT($M765,1),B758:I765,8,FALSE),""))</f>
        <v>Anisia Barton</v>
      </c>
      <c r="Q765" s="346" t="s">
        <v>278</v>
      </c>
      <c r="R765" s="523" t="str">
        <f t="shared" si="675"/>
        <v/>
      </c>
      <c r="S765" s="928"/>
      <c r="T765" s="932"/>
      <c r="U765" s="375" t="str">
        <f>IF(LEN($S765)=1,VLOOKUP(LEFT($S765,1),B758:I765,5,FALSE),IF(LEN($S765)=2,VLOOKUP(LEFT($S765,1),B758:I765,7,FALSE),""))</f>
        <v/>
      </c>
      <c r="V765" s="376" t="str">
        <f>IF(LEN($S765)=1,VLOOKUP(LEFT($S765,1),B758:I765,6,FALSE),IF(LEN($S765)=2,VLOOKUP(LEFT($S765,1),B758:I765,8,FALSE),""))</f>
        <v/>
      </c>
      <c r="W765" s="418">
        <f t="shared" si="682"/>
        <v>1</v>
      </c>
      <c r="Y765" s="418">
        <v>42</v>
      </c>
      <c r="Z765" s="25" t="str">
        <f t="shared" si="676"/>
        <v>Royal</v>
      </c>
      <c r="AA765" s="523">
        <f t="shared" si="677"/>
        <v>0</v>
      </c>
      <c r="AB765" s="32"/>
      <c r="AC765" s="25" t="str">
        <f t="shared" si="678"/>
        <v>Y</v>
      </c>
      <c r="AD765" s="624" t="str">
        <f t="shared" si="678"/>
        <v>Worcester</v>
      </c>
      <c r="AE765" s="624">
        <f>IF(ISNA(MATCH(AC765,N757:N766,0)),0,VLOOKUP(AC765,N757:S766,5,FALSE))</f>
        <v>0</v>
      </c>
      <c r="AF765" s="624" t="str">
        <f t="shared" ref="AF765" si="683">IF(ISNA(MATCH(AC765,T757:T766,0))," ",VLOOKUP(AC765,T757:Y766,5,FALSE))</f>
        <v xml:space="preserve"> </v>
      </c>
      <c r="AG765" s="624">
        <f>IF(ISNA(MATCH(AC765,L758:L765,0)),0,VLOOKUP(AC765,L758:N765,3,FALSE))</f>
        <v>26.1</v>
      </c>
      <c r="AH765" s="624">
        <f>IF(ISNA(MATCH(AC765,R758:R765,0)),0,VLOOKUP(AC765,R758:T765,3,FALSE))</f>
        <v>27.7</v>
      </c>
      <c r="AI765" s="624" t="str">
        <f>IF(ISNA(MATCH(AC765,L758:L765,0)),0,VLOOKUP(AC765,L758:P765,4,FALSE))</f>
        <v>Y</v>
      </c>
      <c r="AJ765" s="624" t="str">
        <f>IF(ISNA(MATCH(AC765,R758:R765,0)),0,VLOOKUP(AC765,R758:U765,4,FALSE))</f>
        <v>YY</v>
      </c>
      <c r="AK765" s="116">
        <f t="shared" si="679"/>
        <v>2</v>
      </c>
      <c r="AL765" s="116">
        <f t="shared" si="680"/>
        <v>1</v>
      </c>
      <c r="AM765" s="116">
        <f>IF(ISNA(MATCH(AC765,L758:L765,0)),0,VLOOKUP(AC765,L758:W765,AM$1,FALSE))</f>
        <v>7</v>
      </c>
      <c r="AN765" s="523">
        <f>IF(ISNA(MATCH(AC765,R758:R765,0)),0,VLOOKUP(AC765,R758:W765,AN$1,FALSE))</f>
        <v>8</v>
      </c>
      <c r="AP765" s="928"/>
      <c r="AQ765" s="932"/>
    </row>
    <row r="766" spans="1:47" ht="15" thickBot="1" x14ac:dyDescent="0.35">
      <c r="M766" s="276"/>
      <c r="N766" s="307"/>
      <c r="S766" s="276"/>
      <c r="T766" s="307"/>
      <c r="AP766" s="276"/>
      <c r="AQ766" s="307"/>
    </row>
    <row r="767" spans="1:47" x14ac:dyDescent="0.3">
      <c r="B767" s="400" t="s">
        <v>258</v>
      </c>
      <c r="C767" s="398"/>
      <c r="D767" s="401" t="s">
        <v>165</v>
      </c>
      <c r="E767" s="398"/>
      <c r="F767" s="398"/>
      <c r="G767" s="402" t="s">
        <v>259</v>
      </c>
      <c r="H767" s="403" t="s">
        <v>249</v>
      </c>
      <c r="I767" s="404" t="s">
        <v>168</v>
      </c>
      <c r="K767" s="360"/>
      <c r="L767" s="661"/>
      <c r="M767" s="387" t="s">
        <v>260</v>
      </c>
      <c r="N767" s="387" t="s">
        <v>261</v>
      </c>
      <c r="O767" s="387" t="s">
        <v>262</v>
      </c>
      <c r="P767" s="388" t="s">
        <v>75</v>
      </c>
      <c r="Q767" s="412"/>
      <c r="R767" s="657"/>
      <c r="S767" s="387" t="s">
        <v>260</v>
      </c>
      <c r="T767" s="387" t="s">
        <v>261</v>
      </c>
      <c r="U767" s="387" t="s">
        <v>262</v>
      </c>
      <c r="V767" s="388" t="s">
        <v>75</v>
      </c>
      <c r="W767" s="672" t="s">
        <v>76</v>
      </c>
      <c r="Y767" s="654" t="s">
        <v>263</v>
      </c>
      <c r="Z767" s="656" t="s">
        <v>74</v>
      </c>
      <c r="AA767" s="657" t="s">
        <v>75</v>
      </c>
      <c r="AC767" s="665" t="s">
        <v>71</v>
      </c>
      <c r="AD767" s="657" t="s">
        <v>86</v>
      </c>
      <c r="AE767" s="661" t="s">
        <v>149</v>
      </c>
      <c r="AF767" s="661" t="s">
        <v>94</v>
      </c>
      <c r="AG767" s="661" t="s">
        <v>149</v>
      </c>
      <c r="AH767" s="661" t="s">
        <v>94</v>
      </c>
      <c r="AI767" s="661" t="s">
        <v>149</v>
      </c>
      <c r="AJ767" s="661" t="s">
        <v>94</v>
      </c>
      <c r="AK767" s="1332" t="s">
        <v>149</v>
      </c>
      <c r="AL767" s="661" t="s">
        <v>94</v>
      </c>
      <c r="AM767" s="1406" t="s">
        <v>76</v>
      </c>
      <c r="AN767" s="1407"/>
      <c r="AP767" s="387" t="s">
        <v>260</v>
      </c>
      <c r="AQ767" s="387" t="s">
        <v>261</v>
      </c>
      <c r="AS767" s="1218" t="s">
        <v>165</v>
      </c>
      <c r="AT767" s="1219" t="s">
        <v>79</v>
      </c>
      <c r="AU767" s="1220" t="s">
        <v>80</v>
      </c>
    </row>
    <row r="768" spans="1:47" ht="15" thickBot="1" x14ac:dyDescent="0.35">
      <c r="B768" s="405">
        <v>69</v>
      </c>
      <c r="C768" s="399"/>
      <c r="D768" s="385" t="str">
        <f>VLOOKUP($B768,EventOrder,6,FALSE)</f>
        <v xml:space="preserve">High Jump (U18/U20) </v>
      </c>
      <c r="E768" s="399"/>
      <c r="F768" s="385"/>
      <c r="G768" s="386" t="str">
        <f>VLOOKUP($B768,EventOrder,4,FALSE)</f>
        <v>U18 Men</v>
      </c>
      <c r="H768" s="396" t="str">
        <f>IF(MID(G768,5,1)="F","F","M")</f>
        <v>M</v>
      </c>
      <c r="I768" s="397">
        <f>VLOOKUP($B768,EventOrder,2,FALSE)</f>
        <v>4.0999999999999996</v>
      </c>
      <c r="K768" s="372"/>
      <c r="L768" s="667" t="s">
        <v>149</v>
      </c>
      <c r="M768" s="409" t="s">
        <v>264</v>
      </c>
      <c r="N768" s="409" t="s">
        <v>265</v>
      </c>
      <c r="O768" s="409" t="s">
        <v>266</v>
      </c>
      <c r="P768" s="408"/>
      <c r="Q768" s="413"/>
      <c r="R768" s="659" t="s">
        <v>94</v>
      </c>
      <c r="S768" s="409" t="s">
        <v>264</v>
      </c>
      <c r="T768" s="409" t="s">
        <v>265</v>
      </c>
      <c r="U768" s="409" t="s">
        <v>266</v>
      </c>
      <c r="V768" s="408"/>
      <c r="W768" s="671"/>
      <c r="Y768" s="655" t="s">
        <v>167</v>
      </c>
      <c r="Z768" s="658" t="s">
        <v>149</v>
      </c>
      <c r="AA768" s="659" t="s">
        <v>94</v>
      </c>
      <c r="AC768" s="666"/>
      <c r="AD768" s="668"/>
      <c r="AE768" s="768" t="s">
        <v>75</v>
      </c>
      <c r="AF768" s="768" t="s">
        <v>75</v>
      </c>
      <c r="AG768" s="768" t="s">
        <v>267</v>
      </c>
      <c r="AH768" s="768" t="s">
        <v>267</v>
      </c>
      <c r="AI768" s="768" t="s">
        <v>268</v>
      </c>
      <c r="AJ768" s="768" t="s">
        <v>268</v>
      </c>
      <c r="AK768" s="770" t="s">
        <v>269</v>
      </c>
      <c r="AL768" s="768" t="s">
        <v>269</v>
      </c>
      <c r="AM768" s="667" t="s">
        <v>149</v>
      </c>
      <c r="AN768" s="659" t="s">
        <v>94</v>
      </c>
      <c r="AP768" s="409" t="s">
        <v>264</v>
      </c>
      <c r="AQ768" s="409" t="s">
        <v>265</v>
      </c>
      <c r="AS768" s="1221" t="s">
        <v>270</v>
      </c>
      <c r="AT768" s="1222" t="s">
        <v>270</v>
      </c>
      <c r="AU768" s="1223" t="s">
        <v>270</v>
      </c>
    </row>
    <row r="769" spans="1:47" ht="15.6" x14ac:dyDescent="0.3">
      <c r="A769" s="416">
        <f>(B768*10)+1</f>
        <v>691</v>
      </c>
      <c r="B769" s="362" t="str">
        <f>'Event Details'!D$22</f>
        <v>S</v>
      </c>
      <c r="C769" s="381" t="str">
        <f>'Event Details'!E$22</f>
        <v>BRAT</v>
      </c>
      <c r="D769" s="379"/>
      <c r="E769" s="378"/>
      <c r="F769" s="363" t="str">
        <f>VLOOKUP($B768,IF($H768="F",TeamSheetFemale,TeamSheetMale),$Y769-1,FALSE)</f>
        <v>S</v>
      </c>
      <c r="G769" s="380" t="str">
        <f>VLOOKUP($B768,IF($H768="F",TeamSheetFemale,TeamSheetMale),$Y769,FALSE)</f>
        <v>Miguel Daley</v>
      </c>
      <c r="H769" s="363">
        <f>VLOOKUP($B768,IF($H768="F",TeamSheetFemale,TeamSheetMale),$Y769+1,FALSE)</f>
        <v>0</v>
      </c>
      <c r="I769" s="364">
        <f>VLOOKUP($B768,IF($H768="F",TeamSheetFemale,TeamSheetMale),$Y769+2,FALSE)</f>
        <v>0</v>
      </c>
      <c r="K769" s="393" t="s">
        <v>271</v>
      </c>
      <c r="L769" s="16" t="str">
        <f t="shared" ref="L769:L776" si="684">LEFT(M769,1)</f>
        <v/>
      </c>
      <c r="M769" s="926"/>
      <c r="N769" s="926"/>
      <c r="O769" s="394" t="str">
        <f>IF(LEN($M769)=1,VLOOKUP(LEFT($M769,1),B769:I776,5,FALSE),IF(LEN($M769)=2,VLOOKUP(LEFT($M769,1),B769:I776,7,FALSE),""))</f>
        <v/>
      </c>
      <c r="P769" s="395" t="str">
        <f>IF(LEN($M769)=1,VLOOKUP(LEFT($M769,1),B769:I776,6,FALSE),IF(LEN($M769)=2,VLOOKUP(LEFT($M769,1),B769:I776,8,FALSE),""))</f>
        <v/>
      </c>
      <c r="Q769" s="406" t="s">
        <v>271</v>
      </c>
      <c r="R769" s="146" t="str">
        <f t="shared" ref="R769:R776" si="685">LEFT(S769,1)</f>
        <v/>
      </c>
      <c r="S769" s="926"/>
      <c r="T769" s="926"/>
      <c r="U769" s="394" t="str">
        <f>IF(LEN($S769)=1,VLOOKUP(LEFT($S769,1),B769:I776,5,FALSE),IF(LEN($S769)=2,VLOOKUP(LEFT($S769,1),B769:I776,7,FALSE),""))</f>
        <v/>
      </c>
      <c r="V769" s="395" t="str">
        <f>IF(LEN($S769)=1,VLOOKUP(LEFT($S769,1),B769:I776,6,FALSE),IF(LEN($S769)=2,VLOOKUP(LEFT($S769,1),B769:I776,8,FALSE),""))</f>
        <v/>
      </c>
      <c r="W769" s="417">
        <f>AN$6</f>
        <v>8</v>
      </c>
      <c r="Y769" s="653">
        <v>7</v>
      </c>
      <c r="Z769" s="653">
        <f t="shared" ref="Z769:Z776" si="686">IF(LEN(M769)&gt;0,VLOOKUP(LEFT(M769,1),ShortName,5,FALSE),0)</f>
        <v>0</v>
      </c>
      <c r="AA769" s="138">
        <f t="shared" ref="AA769:AA776" si="687">IF(LEN(S769)&gt;0,VLOOKUP(LEFT(S769,1),ShortName,5,FALSE),0)</f>
        <v>0</v>
      </c>
      <c r="AC769" s="16" t="str">
        <f t="shared" ref="AC769:AD776" si="688">B769</f>
        <v>S</v>
      </c>
      <c r="AD769" s="419" t="str">
        <f t="shared" si="688"/>
        <v>BRAT</v>
      </c>
      <c r="AE769" s="635">
        <f>IF(ISNA(MATCH(AC769,N769:N778,0)),0,VLOOKUP(AC769,N769:S778,5,FALSE))</f>
        <v>0</v>
      </c>
      <c r="AF769" s="635" t="str">
        <f>IF(ISNA(MATCH(AC769,T769:T778,0))," ",VLOOKUP(AC769,T769:Y778,5,FALSE))</f>
        <v xml:space="preserve"> </v>
      </c>
      <c r="AG769" s="635">
        <f>IF(ISNA(MATCH(AC769,L769:L776,0)),0,VLOOKUP(AC769,L769:N776,3,FALSE))</f>
        <v>0</v>
      </c>
      <c r="AH769" s="635">
        <f>IF(ISNA(MATCH(AC769,R769:R776,0)),0,VLOOKUP(AC769,R769:T776,3,FALSE))</f>
        <v>0</v>
      </c>
      <c r="AI769" s="635">
        <f>IF(ISNA(MATCH(AC769,L769:L776,0)),0,VLOOKUP(AC769,L769:P776,4,FALSE))</f>
        <v>0</v>
      </c>
      <c r="AJ769" s="635">
        <f>IF(ISNA(MATCH(AC769,R769:R776,0)),0,VLOOKUP(AC769,R769:U776,4,FALSE))</f>
        <v>0</v>
      </c>
      <c r="AK769" s="49">
        <f t="shared" ref="AK769:AK776" si="689">IF(AM769=0,0,AN$6-(AM769-1))</f>
        <v>0</v>
      </c>
      <c r="AL769" s="49">
        <f t="shared" ref="AL769:AL776" si="690">IF(AN769=0,0,AN$6-(AN769-1))</f>
        <v>0</v>
      </c>
      <c r="AM769" s="49">
        <f>IF(ISNA(MATCH(AC769,L769:L776,0)),0,VLOOKUP(AC769,L769:W776,AM$1,FALSE))</f>
        <v>0</v>
      </c>
      <c r="AN769" s="138">
        <f>IF(ISNA(MATCH(AC769,R769:R776,0)),0,VLOOKUP(AC769,R769:W776,AN$1,FALSE))</f>
        <v>0</v>
      </c>
      <c r="AP769" s="926"/>
      <c r="AQ769" s="926"/>
      <c r="AS769" s="32">
        <f>IF(LEN(N769)&gt;0,1,0)</f>
        <v>0</v>
      </c>
      <c r="AT769" s="32">
        <f>IF(AND(AS769=1,H768="M"),1,0)</f>
        <v>0</v>
      </c>
      <c r="AU769" s="32">
        <f>IF(AND(AS769=1,H768="F"),1,0)</f>
        <v>0</v>
      </c>
    </row>
    <row r="770" spans="1:47" ht="15.6" x14ac:dyDescent="0.3">
      <c r="A770" s="417">
        <f>A769+1</f>
        <v>692</v>
      </c>
      <c r="B770" s="362" t="str">
        <f>'Event Details'!D$23</f>
        <v>U</v>
      </c>
      <c r="C770" s="381" t="str">
        <f>'Event Details'!E$23</f>
        <v>Kidder &amp; Stourport</v>
      </c>
      <c r="D770" s="379"/>
      <c r="E770" s="378"/>
      <c r="F770" s="363">
        <f>VLOOKUP($B768,IF($H768="F",TeamSheetFemale,TeamSheetMale),$Y770-1,FALSE)</f>
        <v>0</v>
      </c>
      <c r="G770" s="380">
        <f>VLOOKUP($B768,IF($H768="F",TeamSheetFemale,TeamSheetMale),$Y770,FALSE)</f>
        <v>0</v>
      </c>
      <c r="H770" s="363">
        <f>VLOOKUP($B768,IF($H768="F",TeamSheetFemale,TeamSheetMale),$Y770+1,FALSE)</f>
        <v>0</v>
      </c>
      <c r="I770" s="364">
        <f>VLOOKUP($B768,IF($H768="F",TeamSheetFemale,TeamSheetMale),$Y770+2,FALSE)</f>
        <v>0</v>
      </c>
      <c r="K770" s="341" t="s">
        <v>272</v>
      </c>
      <c r="L770" s="16" t="str">
        <f t="shared" si="684"/>
        <v/>
      </c>
      <c r="M770" s="927"/>
      <c r="N770" s="927"/>
      <c r="O770" s="354" t="str">
        <f>IF(LEN($M770)=1,VLOOKUP(LEFT($M770,1),B769:I776,5,FALSE),IF(LEN($M770)=2,VLOOKUP(LEFT($M770,1),B769:I776,7,FALSE),""))</f>
        <v/>
      </c>
      <c r="P770" s="410" t="str">
        <f>IF(LEN($M770)=1,VLOOKUP(LEFT($M770,1),B769:I776,6,FALSE),IF(LEN($M770)=2,VLOOKUP(LEFT($M770,1),B769:I776,8,FALSE),""))</f>
        <v/>
      </c>
      <c r="Q770" s="371" t="s">
        <v>272</v>
      </c>
      <c r="R770" s="146" t="str">
        <f t="shared" si="685"/>
        <v/>
      </c>
      <c r="S770" s="927"/>
      <c r="T770" s="927"/>
      <c r="U770" s="354" t="str">
        <f>IF(LEN($S770)=1,VLOOKUP(LEFT($S770,1),B769:I776,5,FALSE),IF(LEN($S770)=2,VLOOKUP(LEFT($S770,1),B769:I776,7,FALSE),""))</f>
        <v/>
      </c>
      <c r="V770" s="410" t="str">
        <f>IF(LEN($S770)=1,VLOOKUP(LEFT($S770,1),B769:I776,6,FALSE),IF(LEN($S770)=2,VLOOKUP(LEFT($S770,1),B769:I776,8,FALSE),""))</f>
        <v/>
      </c>
      <c r="W770" s="417">
        <f>W769-1</f>
        <v>7</v>
      </c>
      <c r="Y770" s="16">
        <v>12</v>
      </c>
      <c r="Z770" s="16">
        <f t="shared" si="686"/>
        <v>0</v>
      </c>
      <c r="AA770" s="146">
        <f t="shared" si="687"/>
        <v>0</v>
      </c>
      <c r="AC770" s="16" t="str">
        <f t="shared" si="688"/>
        <v>U</v>
      </c>
      <c r="AD770" s="419" t="str">
        <f t="shared" si="688"/>
        <v>Kidder &amp; Stourport</v>
      </c>
      <c r="AE770" s="419">
        <f>IF(ISNA(MATCH(AC770,N769:N778,0)),0,VLOOKUP(AC770,N769:S778,5,FALSE))</f>
        <v>0</v>
      </c>
      <c r="AF770" s="419" t="str">
        <f>IF(ISNA(MATCH(AC770,T769:T778,0))," ",VLOOKUP(AC770,T769:Y778,5,FALSE))</f>
        <v xml:space="preserve"> </v>
      </c>
      <c r="AG770" s="419">
        <f>IF(ISNA(MATCH(AC770,L769:L776,0)),0,VLOOKUP(AC770,L769:N776,3,FALSE))</f>
        <v>0</v>
      </c>
      <c r="AH770" s="419">
        <f>IF(ISNA(MATCH(AC770,R769:R776,0)),0,VLOOKUP(AC770,R769:T776,3,FALSE))</f>
        <v>0</v>
      </c>
      <c r="AI770" s="419">
        <f>IF(ISNA(MATCH(AC770,L769:L776,0)),0,VLOOKUP(AC770,L769:P776,4,FALSE))</f>
        <v>0</v>
      </c>
      <c r="AJ770" s="419">
        <f>IF(ISNA(MATCH(AC770,R769:R776,0)),0,VLOOKUP(AC770,R769:U776,4,FALSE))</f>
        <v>0</v>
      </c>
      <c r="AK770" s="32">
        <f t="shared" si="689"/>
        <v>0</v>
      </c>
      <c r="AL770" s="32">
        <f t="shared" si="690"/>
        <v>0</v>
      </c>
      <c r="AM770" s="32">
        <f>IF(ISNA(MATCH(AC770,L769:L776,0)),0,VLOOKUP(AC770,L769:W776,AM$1,FALSE))</f>
        <v>0</v>
      </c>
      <c r="AN770" s="146">
        <f>IF(ISNA(MATCH(AC770,R769:R776,0)),0,VLOOKUP(AC770,R769:W776,AN$1,FALSE))</f>
        <v>0</v>
      </c>
      <c r="AP770" s="927"/>
      <c r="AQ770" s="927"/>
    </row>
    <row r="771" spans="1:47" ht="15.6" x14ac:dyDescent="0.3">
      <c r="A771" s="417">
        <f t="shared" ref="A771:A776" si="691">A770+1</f>
        <v>693</v>
      </c>
      <c r="B771" s="362" t="str">
        <f>'Event Details'!D$24</f>
        <v>G</v>
      </c>
      <c r="C771" s="381" t="str">
        <f>'Event Details'!E$24</f>
        <v>Royal Sutton</v>
      </c>
      <c r="D771" s="379"/>
      <c r="E771" s="378"/>
      <c r="F771" s="363" t="str">
        <f>VLOOKUP($B768,IF($H768="F",TeamSheetFemale,TeamSheetMale),$Y771-1,FALSE)</f>
        <v>G</v>
      </c>
      <c r="G771" s="380">
        <f>VLOOKUP($B768,IF($H768="F",TeamSheetFemale,TeamSheetMale),$Y771,FALSE)</f>
        <v>0</v>
      </c>
      <c r="H771" s="363" t="str">
        <f>VLOOKUP($B768,IF($H768="F",TeamSheetFemale,TeamSheetMale),$Y771+1,FALSE)</f>
        <v>GG</v>
      </c>
      <c r="I771" s="364">
        <f>VLOOKUP($B768,IF($H768="F",TeamSheetFemale,TeamSheetMale),$Y771+2,FALSE)</f>
        <v>0</v>
      </c>
      <c r="K771" s="341" t="s">
        <v>273</v>
      </c>
      <c r="L771" s="16" t="str">
        <f t="shared" si="684"/>
        <v/>
      </c>
      <c r="M771" s="927"/>
      <c r="N771" s="927"/>
      <c r="O771" s="354" t="str">
        <f>IF(LEN($M771)=1,VLOOKUP(LEFT($M771,1),B769:I776,5,FALSE),IF(LEN($M771)=2,VLOOKUP(LEFT($M771,1),B769:I776,7,FALSE),""))</f>
        <v/>
      </c>
      <c r="P771" s="410" t="str">
        <f>IF(LEN($M771)=1,VLOOKUP(LEFT($M771,1),B769:I776,6,FALSE),IF(LEN($M771)=2,VLOOKUP(LEFT($M771,1),B769:I776,8,FALSE),""))</f>
        <v/>
      </c>
      <c r="Q771" s="371" t="s">
        <v>273</v>
      </c>
      <c r="R771" s="146" t="str">
        <f t="shared" si="685"/>
        <v/>
      </c>
      <c r="S771" s="927"/>
      <c r="T771" s="927"/>
      <c r="U771" s="354" t="str">
        <f>IF(LEN($S771)=1,VLOOKUP(LEFT($S771,1),B769:I776,5,FALSE),IF(LEN($S771)=2,VLOOKUP(LEFT($S771,1),B769:I776,7,FALSE),""))</f>
        <v/>
      </c>
      <c r="V771" s="410" t="str">
        <f>IF(LEN($S771)=1,VLOOKUP(LEFT($S771,1),B769:I776,6,FALSE),IF(LEN($S771)=2,VLOOKUP(LEFT($S771,1),B769:I776,8,FALSE),""))</f>
        <v/>
      </c>
      <c r="W771" s="417">
        <f t="shared" ref="W771:W776" si="692">W770-1</f>
        <v>6</v>
      </c>
      <c r="Y771" s="16">
        <v>17</v>
      </c>
      <c r="Z771" s="16">
        <f t="shared" si="686"/>
        <v>0</v>
      </c>
      <c r="AA771" s="146">
        <f t="shared" si="687"/>
        <v>0</v>
      </c>
      <c r="AC771" s="16" t="str">
        <f t="shared" si="688"/>
        <v>G</v>
      </c>
      <c r="AD771" s="419" t="str">
        <f t="shared" si="688"/>
        <v>Royal Sutton</v>
      </c>
      <c r="AE771" s="419">
        <f>IF(ISNA(MATCH(AC771,N769:N778,0)),0,VLOOKUP(AC771,N769:S778,5,FALSE))</f>
        <v>0</v>
      </c>
      <c r="AF771" s="419" t="str">
        <f>IF(ISNA(MATCH(AC771,T769:T778,0))," ",VLOOKUP(AC771,T769:Y778,5,FALSE))</f>
        <v xml:space="preserve"> </v>
      </c>
      <c r="AG771" s="419">
        <f>IF(ISNA(MATCH(AC771,L769:L776,0)),0,VLOOKUP(AC771,L769:N776,3,FALSE))</f>
        <v>0</v>
      </c>
      <c r="AH771" s="419">
        <f>IF(ISNA(MATCH(AC771,R769:R776,0)),0,VLOOKUP(AC771,R769:T776,3,FALSE))</f>
        <v>0</v>
      </c>
      <c r="AI771" s="419">
        <f>IF(ISNA(MATCH(AC771,L769:L776,0)),0,VLOOKUP(AC771,L769:P776,4,FALSE))</f>
        <v>0</v>
      </c>
      <c r="AJ771" s="419">
        <f>IF(ISNA(MATCH(AC771,R769:R776,0)),0,VLOOKUP(AC771,R769:U776,4,FALSE))</f>
        <v>0</v>
      </c>
      <c r="AK771" s="32">
        <f t="shared" si="689"/>
        <v>0</v>
      </c>
      <c r="AL771" s="32">
        <f t="shared" si="690"/>
        <v>0</v>
      </c>
      <c r="AM771" s="32">
        <f>IF(ISNA(MATCH(AC771,L769:L776,0)),0,VLOOKUP(AC771,L769:W776,AM$1,FALSE))</f>
        <v>0</v>
      </c>
      <c r="AN771" s="146">
        <f>IF(ISNA(MATCH(AC771,R769:R776,0)),0,VLOOKUP(AC771,R769:W776,AN$1,FALSE))</f>
        <v>0</v>
      </c>
      <c r="AP771" s="927"/>
      <c r="AQ771" s="927"/>
    </row>
    <row r="772" spans="1:47" ht="15.6" x14ac:dyDescent="0.3">
      <c r="A772" s="417">
        <f t="shared" si="691"/>
        <v>694</v>
      </c>
      <c r="B772" s="362" t="str">
        <f>'Event Details'!D$25</f>
        <v>R</v>
      </c>
      <c r="C772" s="381" t="str">
        <f>'Event Details'!E$25</f>
        <v>Rugby &amp; N'hampton</v>
      </c>
      <c r="D772" s="379"/>
      <c r="E772" s="378"/>
      <c r="F772" s="363" t="str">
        <f>VLOOKUP($B768,IF($H768="F",TeamSheetFemale,TeamSheetMale),$Y772-1,FALSE)</f>
        <v>R</v>
      </c>
      <c r="G772" s="380">
        <f>VLOOKUP($B768,IF($H768="F",TeamSheetFemale,TeamSheetMale),$Y772,FALSE)</f>
        <v>0</v>
      </c>
      <c r="H772" s="363" t="str">
        <f>VLOOKUP($B768,IF($H768="F",TeamSheetFemale,TeamSheetMale),$Y772+1,FALSE)</f>
        <v>RR</v>
      </c>
      <c r="I772" s="364">
        <f>VLOOKUP($B768,IF($H768="F",TeamSheetFemale,TeamSheetMale),$Y772+2,FALSE)</f>
        <v>0</v>
      </c>
      <c r="K772" s="341" t="s">
        <v>274</v>
      </c>
      <c r="L772" s="16" t="str">
        <f t="shared" si="684"/>
        <v/>
      </c>
      <c r="M772" s="927"/>
      <c r="N772" s="927"/>
      <c r="O772" s="354" t="str">
        <f>IF(LEN($M772)=1,VLOOKUP(LEFT($M772,1),B769:I776,5,FALSE),IF(LEN($M772)=2,VLOOKUP(LEFT($M772,1),B769:I776,7,FALSE),""))</f>
        <v/>
      </c>
      <c r="P772" s="410" t="str">
        <f>IF(LEN($M772)=1,VLOOKUP(LEFT($M772,1),B769:I776,6,FALSE),IF(LEN($M772)=2,VLOOKUP(LEFT($M772,1),B769:I776,8,FALSE),""))</f>
        <v/>
      </c>
      <c r="Q772" s="371" t="s">
        <v>274</v>
      </c>
      <c r="R772" s="146" t="str">
        <f t="shared" si="685"/>
        <v/>
      </c>
      <c r="S772" s="927"/>
      <c r="T772" s="927"/>
      <c r="U772" s="354" t="str">
        <f>IF(LEN($S772)=1,VLOOKUP(LEFT($S772,1),B769:I776,5,FALSE),IF(LEN($S772)=2,VLOOKUP(LEFT($S772,1),B769:I776,7,FALSE),""))</f>
        <v/>
      </c>
      <c r="V772" s="410" t="str">
        <f>IF(LEN($S772)=1,VLOOKUP(LEFT($S772,1),B769:I776,6,FALSE),IF(LEN($S772)=2,VLOOKUP(LEFT($S772,1),B769:I776,8,FALSE),""))</f>
        <v/>
      </c>
      <c r="W772" s="417">
        <f t="shared" si="692"/>
        <v>5</v>
      </c>
      <c r="Y772" s="16">
        <v>22</v>
      </c>
      <c r="Z772" s="16">
        <f t="shared" si="686"/>
        <v>0</v>
      </c>
      <c r="AA772" s="146">
        <f t="shared" si="687"/>
        <v>0</v>
      </c>
      <c r="AC772" s="16" t="str">
        <f t="shared" si="688"/>
        <v>R</v>
      </c>
      <c r="AD772" s="419" t="str">
        <f t="shared" si="688"/>
        <v>Rugby &amp; N'hampton</v>
      </c>
      <c r="AE772" s="419">
        <f>IF(ISNA(MATCH(AC772,N769:N778,0)),0,VLOOKUP(AC772,N769:S778,5,FALSE))</f>
        <v>0</v>
      </c>
      <c r="AF772" s="419" t="str">
        <f>IF(ISNA(MATCH(AC772,T769:T778,0))," ",VLOOKUP(AC772,T769:Y778,5,FALSE))</f>
        <v xml:space="preserve"> </v>
      </c>
      <c r="AG772" s="419">
        <f>IF(ISNA(MATCH(AC772,L769:L776,0)),0,VLOOKUP(AC772,L769:N776,3,FALSE))</f>
        <v>0</v>
      </c>
      <c r="AH772" s="419">
        <f>IF(ISNA(MATCH(AC772,R769:R776,0)),0,VLOOKUP(AC772,R769:T776,3,FALSE))</f>
        <v>0</v>
      </c>
      <c r="AI772" s="419">
        <f>IF(ISNA(MATCH(AC772,L769:L776,0)),0,VLOOKUP(AC772,L769:P776,4,FALSE))</f>
        <v>0</v>
      </c>
      <c r="AJ772" s="419">
        <f>IF(ISNA(MATCH(AC772,R769:R776,0)),0,VLOOKUP(AC772,R769:U776,4,FALSE))</f>
        <v>0</v>
      </c>
      <c r="AK772" s="32">
        <f t="shared" si="689"/>
        <v>0</v>
      </c>
      <c r="AL772" s="32">
        <f t="shared" si="690"/>
        <v>0</v>
      </c>
      <c r="AM772" s="32">
        <f>IF(ISNA(MATCH(AC772,L769:L776,0)),0,VLOOKUP(AC772,L769:W776,AM$1,FALSE))</f>
        <v>0</v>
      </c>
      <c r="AN772" s="146">
        <f>IF(ISNA(MATCH(AC772,R769:R776,0)),0,VLOOKUP(AC772,R769:W776,AN$1,FALSE))</f>
        <v>0</v>
      </c>
      <c r="AP772" s="927"/>
      <c r="AQ772" s="927"/>
    </row>
    <row r="773" spans="1:47" ht="15.6" x14ac:dyDescent="0.3">
      <c r="A773" s="417">
        <f t="shared" si="691"/>
        <v>695</v>
      </c>
      <c r="B773" s="362" t="str">
        <f>'Event Details'!D$26</f>
        <v>M</v>
      </c>
      <c r="C773" s="381" t="str">
        <f>'Event Details'!E$26</f>
        <v>Solihull &amp; S.Heath</v>
      </c>
      <c r="D773" s="379"/>
      <c r="E773" s="378"/>
      <c r="F773" s="363">
        <f>VLOOKUP($B768,IF($H768="F",TeamSheetFemale,TeamSheetMale),$Y773-1,FALSE)</f>
        <v>0</v>
      </c>
      <c r="G773" s="380">
        <f>VLOOKUP($B768,IF($H768="F",TeamSheetFemale,TeamSheetMale),$Y773,FALSE)</f>
        <v>0</v>
      </c>
      <c r="H773" s="363">
        <f>VLOOKUP($B768,IF($H768="F",TeamSheetFemale,TeamSheetMale),$Y773+1,FALSE)</f>
        <v>0</v>
      </c>
      <c r="I773" s="364">
        <f>VLOOKUP($B768,IF($H768="F",TeamSheetFemale,TeamSheetMale),$Y773+2,FALSE)</f>
        <v>0</v>
      </c>
      <c r="K773" s="341" t="s">
        <v>275</v>
      </c>
      <c r="L773" s="16" t="str">
        <f t="shared" si="684"/>
        <v/>
      </c>
      <c r="M773" s="927"/>
      <c r="N773" s="927"/>
      <c r="O773" s="354" t="str">
        <f>IF(LEN($M773)=1,VLOOKUP(LEFT($M773,1),B769:I776,5,FALSE),IF(LEN($M773)=2,VLOOKUP(LEFT($M773,1),B769:I776,7,FALSE),""))</f>
        <v/>
      </c>
      <c r="P773" s="410" t="str">
        <f>IF(LEN($M773)=1,VLOOKUP(LEFT($M773,1),B769:I776,6,FALSE),IF(LEN($M773)=2,VLOOKUP(LEFT($M773,1),B769:I776,8,FALSE),""))</f>
        <v/>
      </c>
      <c r="Q773" s="371" t="s">
        <v>275</v>
      </c>
      <c r="R773" s="146" t="str">
        <f t="shared" si="685"/>
        <v/>
      </c>
      <c r="S773" s="927"/>
      <c r="T773" s="927"/>
      <c r="U773" s="354" t="str">
        <f>IF(LEN($S773)=1,VLOOKUP(LEFT($S773,1),B769:I776,5,FALSE),IF(LEN($S773)=2,VLOOKUP(LEFT($S773,1),B769:I776,7,FALSE),""))</f>
        <v/>
      </c>
      <c r="V773" s="410" t="str">
        <f>IF(LEN($S773)=1,VLOOKUP(LEFT($S773,1),B769:I776,6,FALSE),IF(LEN($S773)=2,VLOOKUP(LEFT($S773,1),B769:I776,8,FALSE),""))</f>
        <v/>
      </c>
      <c r="W773" s="417">
        <f t="shared" si="692"/>
        <v>4</v>
      </c>
      <c r="Y773" s="16">
        <v>27</v>
      </c>
      <c r="Z773" s="16">
        <f t="shared" si="686"/>
        <v>0</v>
      </c>
      <c r="AA773" s="146">
        <f t="shared" si="687"/>
        <v>0</v>
      </c>
      <c r="AC773" s="16" t="str">
        <f t="shared" si="688"/>
        <v>M</v>
      </c>
      <c r="AD773" s="419" t="str">
        <f t="shared" si="688"/>
        <v>Solihull &amp; S.Heath</v>
      </c>
      <c r="AE773" s="419">
        <f>IF(ISNA(MATCH(AC773,N769:N778,0)),0,VLOOKUP(AC773,N769:S778,5,FALSE))</f>
        <v>0</v>
      </c>
      <c r="AF773" s="419" t="str">
        <f>IF(ISNA(MATCH(AC773,T769:T778,0))," ",VLOOKUP(AC773,T769:Y778,5,FALSE))</f>
        <v xml:space="preserve"> </v>
      </c>
      <c r="AG773" s="419">
        <f>IF(ISNA(MATCH(AC773,L769:L776,0)),0,VLOOKUP(AC773,L769:N776,3,FALSE))</f>
        <v>0</v>
      </c>
      <c r="AH773" s="419">
        <f>IF(ISNA(MATCH(AC773,R769:R776,0)),0,VLOOKUP(AC773,R769:T776,3,FALSE))</f>
        <v>0</v>
      </c>
      <c r="AI773" s="419">
        <f>IF(ISNA(MATCH(AC773,L769:L776,0)),0,VLOOKUP(AC773,L769:P776,4,FALSE))</f>
        <v>0</v>
      </c>
      <c r="AJ773" s="419">
        <f>IF(ISNA(MATCH(AC773,R769:R776,0)),0,VLOOKUP(AC773,R769:U776,4,FALSE))</f>
        <v>0</v>
      </c>
      <c r="AK773" s="32">
        <f t="shared" si="689"/>
        <v>0</v>
      </c>
      <c r="AL773" s="32">
        <f t="shared" si="690"/>
        <v>0</v>
      </c>
      <c r="AM773" s="32">
        <f>IF(ISNA(MATCH(AC773,L769:L776,0)),0,VLOOKUP(AC773,L769:W776,AM$1,FALSE))</f>
        <v>0</v>
      </c>
      <c r="AN773" s="146">
        <f>IF(ISNA(MATCH(AC773,R769:R776,0)),0,VLOOKUP(AC773,R769:W776,AN$1,FALSE))</f>
        <v>0</v>
      </c>
      <c r="AP773" s="927"/>
      <c r="AQ773" s="927"/>
    </row>
    <row r="774" spans="1:47" ht="15.6" x14ac:dyDescent="0.3">
      <c r="A774" s="417">
        <f t="shared" si="691"/>
        <v>696</v>
      </c>
      <c r="B774" s="362" t="str">
        <f>'Event Details'!D$27</f>
        <v>D</v>
      </c>
      <c r="C774" s="381" t="str">
        <f>'Event Details'!E$27</f>
        <v>Stratford</v>
      </c>
      <c r="D774" s="379"/>
      <c r="E774" s="378"/>
      <c r="F774" s="363" t="str">
        <f>VLOOKUP($B768,IF($H768="F",TeamSheetFemale,TeamSheetMale),$Y774-1,FALSE)</f>
        <v>D</v>
      </c>
      <c r="G774" s="380" t="str">
        <f>VLOOKUP($B768,IF($H768="F",TeamSheetFemale,TeamSheetMale),$Y774,FALSE)</f>
        <v>Will Hovell</v>
      </c>
      <c r="H774" s="363" t="str">
        <f>VLOOKUP($B768,IF($H768="F",TeamSheetFemale,TeamSheetMale),$Y774+1,FALSE)</f>
        <v>DD</v>
      </c>
      <c r="I774" s="364">
        <f>VLOOKUP($B768,IF($H768="F",TeamSheetFemale,TeamSheetMale),$Y774+2,FALSE)</f>
        <v>0</v>
      </c>
      <c r="K774" s="341" t="s">
        <v>276</v>
      </c>
      <c r="L774" s="16" t="str">
        <f t="shared" si="684"/>
        <v/>
      </c>
      <c r="M774" s="927"/>
      <c r="N774" s="927"/>
      <c r="O774" s="354" t="str">
        <f>IF(LEN($M774)=1,VLOOKUP(LEFT($M774,1),B769:I776,5,FALSE),IF(LEN($M774)=2,VLOOKUP(LEFT($M774,1),B769:I776,7,FALSE),""))</f>
        <v/>
      </c>
      <c r="P774" s="410" t="str">
        <f>IF(LEN($M774)=1,VLOOKUP(LEFT($M774,1),B769:I776,6,FALSE),IF(LEN($M774)=2,VLOOKUP(LEFT($M774,1),B769:I776,8,FALSE),""))</f>
        <v/>
      </c>
      <c r="Q774" s="371" t="s">
        <v>276</v>
      </c>
      <c r="R774" s="146" t="str">
        <f t="shared" si="685"/>
        <v/>
      </c>
      <c r="S774" s="927"/>
      <c r="T774" s="927"/>
      <c r="U774" s="354" t="str">
        <f>IF(LEN($S774)=1,VLOOKUP(LEFT($S774,1),B769:I776,5,FALSE),IF(LEN($S774)=2,VLOOKUP(LEFT($S774,1),B769:I776,7,FALSE),""))</f>
        <v/>
      </c>
      <c r="V774" s="410" t="str">
        <f>IF(LEN($S774)=1,VLOOKUP(LEFT($S774,1),B769:I776,6,FALSE),IF(LEN($S774)=2,VLOOKUP(LEFT($S774,1),B769:I776,8,FALSE),""))</f>
        <v/>
      </c>
      <c r="W774" s="417">
        <f t="shared" si="692"/>
        <v>3</v>
      </c>
      <c r="Y774" s="16">
        <v>32</v>
      </c>
      <c r="Z774" s="16">
        <f t="shared" si="686"/>
        <v>0</v>
      </c>
      <c r="AA774" s="146">
        <f t="shared" si="687"/>
        <v>0</v>
      </c>
      <c r="AC774" s="16" t="str">
        <f t="shared" si="688"/>
        <v>D</v>
      </c>
      <c r="AD774" s="419" t="str">
        <f t="shared" si="688"/>
        <v>Stratford</v>
      </c>
      <c r="AE774" s="419">
        <f>IF(ISNA(MATCH(AC774,N769:N778,0)),0,VLOOKUP(AC774,N769:S778,5,FALSE))</f>
        <v>0</v>
      </c>
      <c r="AF774" s="419" t="str">
        <f>IF(ISNA(MATCH(AC774,T769:T778,0))," ",VLOOKUP(AC774,T769:Y778,5,FALSE))</f>
        <v xml:space="preserve"> </v>
      </c>
      <c r="AG774" s="419">
        <f>IF(ISNA(MATCH(AC774,L769:L776,0)),0,VLOOKUP(AC774,L769:N776,3,FALSE))</f>
        <v>0</v>
      </c>
      <c r="AH774" s="419">
        <f>IF(ISNA(MATCH(AC774,R769:R776,0)),0,VLOOKUP(AC774,R769:T776,3,FALSE))</f>
        <v>0</v>
      </c>
      <c r="AI774" s="419">
        <f>IF(ISNA(MATCH(AC774,L769:L776,0)),0,VLOOKUP(AC774,L769:P776,4,FALSE))</f>
        <v>0</v>
      </c>
      <c r="AJ774" s="419">
        <f>IF(ISNA(MATCH(AC774,R769:R776,0)),0,VLOOKUP(AC774,R769:U776,4,FALSE))</f>
        <v>0</v>
      </c>
      <c r="AK774" s="32">
        <f t="shared" si="689"/>
        <v>0</v>
      </c>
      <c r="AL774" s="32">
        <f t="shared" si="690"/>
        <v>0</v>
      </c>
      <c r="AM774" s="32">
        <f>IF(ISNA(MATCH(AC774,L769:L776,0)),0,VLOOKUP(AC774,L769:W776,AM$1,FALSE))</f>
        <v>0</v>
      </c>
      <c r="AN774" s="146">
        <f>IF(ISNA(MATCH(AC774,R769:R776,0)),0,VLOOKUP(AC774,R769:W776,AN$1,FALSE))</f>
        <v>0</v>
      </c>
      <c r="AP774" s="927"/>
      <c r="AQ774" s="927"/>
    </row>
    <row r="775" spans="1:47" ht="15.6" x14ac:dyDescent="0.3">
      <c r="A775" s="417">
        <f t="shared" si="691"/>
        <v>697</v>
      </c>
      <c r="B775" s="362" t="str">
        <f>'Event Details'!D$28</f>
        <v>F</v>
      </c>
      <c r="C775" s="381" t="str">
        <f>'Event Details'!E$28</f>
        <v>Tamworth</v>
      </c>
      <c r="D775" s="379"/>
      <c r="E775" s="378"/>
      <c r="F775" s="363">
        <f>VLOOKUP($B768,IF($H768="F",TeamSheetFemale,TeamSheetMale),$Y775-1,FALSE)</f>
        <v>0</v>
      </c>
      <c r="G775" s="380">
        <f>VLOOKUP($B768,IF($H768="F",TeamSheetFemale,TeamSheetMale),$Y775,FALSE)</f>
        <v>0</v>
      </c>
      <c r="H775" s="363">
        <f>VLOOKUP($B768,IF($H768="F",TeamSheetFemale,TeamSheetMale),$Y775+1,FALSE)</f>
        <v>0</v>
      </c>
      <c r="I775" s="364">
        <f>VLOOKUP($B768,IF($H768="F",TeamSheetFemale,TeamSheetMale),$Y775+2,FALSE)</f>
        <v>0</v>
      </c>
      <c r="K775" s="341" t="s">
        <v>277</v>
      </c>
      <c r="L775" s="16" t="str">
        <f t="shared" si="684"/>
        <v/>
      </c>
      <c r="M775" s="927"/>
      <c r="N775" s="927"/>
      <c r="O775" s="354" t="str">
        <f>IF(LEN($M775)=1,VLOOKUP(LEFT($M775,1),B769:I776,5,FALSE),IF(LEN($M775)=2,VLOOKUP(LEFT($M775,1),B769:I776,7,FALSE),""))</f>
        <v/>
      </c>
      <c r="P775" s="410" t="str">
        <f>IF(LEN($M775)=1,VLOOKUP(LEFT($M775,1),B769:I776,6,FALSE),IF(LEN($M775)=2,VLOOKUP(LEFT($M775,1),B769:I776,8,FALSE),""))</f>
        <v/>
      </c>
      <c r="Q775" s="371" t="s">
        <v>277</v>
      </c>
      <c r="R775" s="146" t="str">
        <f t="shared" si="685"/>
        <v/>
      </c>
      <c r="S775" s="927"/>
      <c r="T775" s="927"/>
      <c r="U775" s="354" t="str">
        <f>IF(LEN($S775)=1,VLOOKUP(LEFT($S775,1),B769:I776,5,FALSE),IF(LEN($S775)=2,VLOOKUP(LEFT($S775,1),B769:I776,7,FALSE),""))</f>
        <v/>
      </c>
      <c r="V775" s="410" t="str">
        <f>IF(LEN($S775)=1,VLOOKUP(LEFT($S775,1),B769:I776,6,FALSE),IF(LEN($S775)=2,VLOOKUP(LEFT($S775,1),B769:I776,8,FALSE),""))</f>
        <v/>
      </c>
      <c r="W775" s="417">
        <f t="shared" si="692"/>
        <v>2</v>
      </c>
      <c r="Y775" s="16">
        <v>37</v>
      </c>
      <c r="Z775" s="16">
        <f t="shared" si="686"/>
        <v>0</v>
      </c>
      <c r="AA775" s="146">
        <f t="shared" si="687"/>
        <v>0</v>
      </c>
      <c r="AC775" s="16" t="str">
        <f t="shared" si="688"/>
        <v>F</v>
      </c>
      <c r="AD775" s="419" t="str">
        <f t="shared" si="688"/>
        <v>Tamworth</v>
      </c>
      <c r="AE775" s="419">
        <f>IF(ISNA(MATCH(AC775,N767:N776,0)),0,VLOOKUP(AC775,N767:S776,5,FALSE))</f>
        <v>0</v>
      </c>
      <c r="AF775" s="419" t="str">
        <f>IF(ISNA(MATCH(AC775,T767:T776,0))," ",VLOOKUP(AC775,T767:Y776,5,FALSE))</f>
        <v xml:space="preserve"> </v>
      </c>
      <c r="AG775" s="419">
        <f>IF(ISNA(MATCH(AC775,L769:L776,0)),0,VLOOKUP(AC775,L769:N776,3,FALSE))</f>
        <v>0</v>
      </c>
      <c r="AH775" s="419">
        <f>IF(ISNA(MATCH(AC775,R769:R776,0)),0,VLOOKUP(AC775,R769:T776,3,FALSE))</f>
        <v>0</v>
      </c>
      <c r="AI775" s="419">
        <f>IF(ISNA(MATCH(AC775,L769:L776,0)),0,VLOOKUP(AC775,L769:P776,4,FALSE))</f>
        <v>0</v>
      </c>
      <c r="AJ775" s="419">
        <f>IF(ISNA(MATCH(AC775,R769:R776,0)),0,VLOOKUP(AC775,R769:U776,4,FALSE))</f>
        <v>0</v>
      </c>
      <c r="AK775" s="32">
        <f t="shared" si="689"/>
        <v>0</v>
      </c>
      <c r="AL775" s="32">
        <f t="shared" si="690"/>
        <v>0</v>
      </c>
      <c r="AM775" s="32">
        <f>IF(ISNA(MATCH(AC775,L769:L776,0)),0,VLOOKUP(AC775,L769:W776,AM$1,FALSE))</f>
        <v>0</v>
      </c>
      <c r="AN775" s="146">
        <f>IF(ISNA(MATCH(AC775,R769:R776,0)),0,VLOOKUP(AC775,R769:W776,AN$1,FALSE))</f>
        <v>0</v>
      </c>
      <c r="AP775" s="927"/>
      <c r="AQ775" s="927"/>
    </row>
    <row r="776" spans="1:47" ht="16.2" thickBot="1" x14ac:dyDescent="0.35">
      <c r="A776" s="418">
        <f t="shared" si="691"/>
        <v>698</v>
      </c>
      <c r="B776" s="365" t="str">
        <f>'Event Details'!D$29</f>
        <v>Y</v>
      </c>
      <c r="C776" s="366" t="str">
        <f>'Event Details'!E$29</f>
        <v>Worcester</v>
      </c>
      <c r="D776" s="361"/>
      <c r="E776" s="370"/>
      <c r="F776" s="367">
        <f>VLOOKUP($B768,IF($H768="F",TeamSheetFemale,TeamSheetMale),$Y776-1,FALSE)</f>
        <v>0</v>
      </c>
      <c r="G776" s="368">
        <f>VLOOKUP($B768,IF($H768="F",TeamSheetFemale,TeamSheetMale),$Y776,FALSE)</f>
        <v>0</v>
      </c>
      <c r="H776" s="367">
        <f>VLOOKUP($B768,IF($H768="F",TeamSheetFemale,TeamSheetMale),$Y776+1,FALSE)</f>
        <v>0</v>
      </c>
      <c r="I776" s="369">
        <f>VLOOKUP($B768,IF($H768="F",TeamSheetFemale,TeamSheetMale),$Y776+2,FALSE)</f>
        <v>0</v>
      </c>
      <c r="K776" s="346" t="s">
        <v>278</v>
      </c>
      <c r="L776" s="25" t="str">
        <f t="shared" si="684"/>
        <v/>
      </c>
      <c r="M776" s="932"/>
      <c r="N776" s="932"/>
      <c r="O776" s="374" t="str">
        <f>IF(LEN($M776)=1,VLOOKUP(LEFT($M776,1),B769:I776,5,FALSE),IF(LEN($M776)=2,VLOOKUP(LEFT($M776,1),B769:I776,7,FALSE),""))</f>
        <v/>
      </c>
      <c r="P776" s="411" t="str">
        <f>IF(LEN($M776)=1,VLOOKUP(LEFT($M776,1),B769:I776,6,FALSE),IF(LEN($M776)=2,VLOOKUP(LEFT($M776,1),B769:I776,8,FALSE),""))</f>
        <v/>
      </c>
      <c r="Q776" s="407" t="s">
        <v>278</v>
      </c>
      <c r="R776" s="523" t="str">
        <f t="shared" si="685"/>
        <v/>
      </c>
      <c r="S776" s="932"/>
      <c r="T776" s="932"/>
      <c r="U776" s="374" t="str">
        <f>IF(LEN($S776)=1,VLOOKUP(LEFT($S776,1),B769:I776,5,FALSE),IF(LEN($S776)=2,VLOOKUP(LEFT($S776,1),B769:I776,7,FALSE),""))</f>
        <v/>
      </c>
      <c r="V776" s="411" t="str">
        <f>IF(LEN($S776)=1,VLOOKUP(LEFT($S776,1),B769:I776,6,FALSE),IF(LEN($S776)=2,VLOOKUP(LEFT($S776,1),B769:I776,8,FALSE),""))</f>
        <v/>
      </c>
      <c r="W776" s="418">
        <f t="shared" si="692"/>
        <v>1</v>
      </c>
      <c r="Y776" s="25">
        <v>42</v>
      </c>
      <c r="Z776" s="25">
        <f t="shared" si="686"/>
        <v>0</v>
      </c>
      <c r="AA776" s="523">
        <f t="shared" si="687"/>
        <v>0</v>
      </c>
      <c r="AC776" s="25" t="str">
        <f t="shared" si="688"/>
        <v>Y</v>
      </c>
      <c r="AD776" s="624" t="str">
        <f t="shared" si="688"/>
        <v>Worcester</v>
      </c>
      <c r="AE776" s="624">
        <f>IF(ISNA(MATCH(AC776,N768:N777,0)),0,VLOOKUP(AC776,N768:S777,5,FALSE))</f>
        <v>0</v>
      </c>
      <c r="AF776" s="624" t="str">
        <f t="shared" ref="AF776" si="693">IF(ISNA(MATCH(AC776,T768:T777,0))," ",VLOOKUP(AC776,T768:Y777,5,FALSE))</f>
        <v xml:space="preserve"> </v>
      </c>
      <c r="AG776" s="624">
        <f>IF(ISNA(MATCH(AC776,L769:L776,0)),0,VLOOKUP(AC776,L769:N776,3,FALSE))</f>
        <v>0</v>
      </c>
      <c r="AH776" s="624">
        <f>IF(ISNA(MATCH(AC776,R769:R776,0)),0,VLOOKUP(AC776,R769:T776,3,FALSE))</f>
        <v>0</v>
      </c>
      <c r="AI776" s="624">
        <f>IF(ISNA(MATCH(AC776,L769:L776,0)),0,VLOOKUP(AC776,L769:P776,4,FALSE))</f>
        <v>0</v>
      </c>
      <c r="AJ776" s="624">
        <f>IF(ISNA(MATCH(AC776,R769:R776,0)),0,VLOOKUP(AC776,R769:U776,4,FALSE))</f>
        <v>0</v>
      </c>
      <c r="AK776" s="116">
        <f t="shared" si="689"/>
        <v>0</v>
      </c>
      <c r="AL776" s="116">
        <f t="shared" si="690"/>
        <v>0</v>
      </c>
      <c r="AM776" s="116">
        <f>IF(ISNA(MATCH(AC776,L769:L776,0)),0,VLOOKUP(AC776,L769:W776,AM$1,FALSE))</f>
        <v>0</v>
      </c>
      <c r="AN776" s="523">
        <f>IF(ISNA(MATCH(AC776,R769:R776,0)),0,VLOOKUP(AC776,R769:W776,AN$1,FALSE))</f>
        <v>0</v>
      </c>
      <c r="AP776" s="932"/>
      <c r="AQ776" s="932"/>
    </row>
    <row r="777" spans="1:47" ht="15" thickBot="1" x14ac:dyDescent="0.35">
      <c r="M777" s="276"/>
      <c r="N777" s="307"/>
      <c r="S777" s="276"/>
      <c r="T777" s="307"/>
      <c r="AP777" s="276"/>
      <c r="AQ777" s="307"/>
    </row>
    <row r="778" spans="1:47" x14ac:dyDescent="0.3">
      <c r="B778" s="400" t="s">
        <v>258</v>
      </c>
      <c r="C778" s="398"/>
      <c r="D778" s="401" t="s">
        <v>165</v>
      </c>
      <c r="E778" s="398"/>
      <c r="F778" s="398"/>
      <c r="G778" s="402" t="s">
        <v>259</v>
      </c>
      <c r="H778" s="403" t="s">
        <v>249</v>
      </c>
      <c r="I778" s="404" t="s">
        <v>168</v>
      </c>
      <c r="K778" s="360"/>
      <c r="L778" s="661"/>
      <c r="M778" s="387" t="s">
        <v>260</v>
      </c>
      <c r="N778" s="387" t="s">
        <v>261</v>
      </c>
      <c r="O778" s="387" t="s">
        <v>262</v>
      </c>
      <c r="P778" s="388" t="s">
        <v>75</v>
      </c>
      <c r="Q778" s="389"/>
      <c r="R778" s="657"/>
      <c r="S778" s="387" t="s">
        <v>260</v>
      </c>
      <c r="T778" s="387" t="s">
        <v>261</v>
      </c>
      <c r="U778" s="387" t="s">
        <v>262</v>
      </c>
      <c r="V778" s="388" t="s">
        <v>75</v>
      </c>
      <c r="W778" s="672" t="s">
        <v>76</v>
      </c>
      <c r="Y778" s="414" t="s">
        <v>263</v>
      </c>
      <c r="Z778" s="656" t="s">
        <v>74</v>
      </c>
      <c r="AA778" s="657" t="s">
        <v>75</v>
      </c>
      <c r="AC778" s="665" t="s">
        <v>71</v>
      </c>
      <c r="AD778" s="657" t="s">
        <v>86</v>
      </c>
      <c r="AE778" s="661" t="s">
        <v>149</v>
      </c>
      <c r="AF778" s="661" t="s">
        <v>94</v>
      </c>
      <c r="AG778" s="661" t="s">
        <v>149</v>
      </c>
      <c r="AH778" s="661" t="s">
        <v>94</v>
      </c>
      <c r="AI778" s="661" t="s">
        <v>149</v>
      </c>
      <c r="AJ778" s="661" t="s">
        <v>94</v>
      </c>
      <c r="AK778" s="1332" t="s">
        <v>149</v>
      </c>
      <c r="AL778" s="661" t="s">
        <v>94</v>
      </c>
      <c r="AM778" s="1406" t="s">
        <v>76</v>
      </c>
      <c r="AN778" s="1407"/>
      <c r="AP778" s="387" t="s">
        <v>260</v>
      </c>
      <c r="AQ778" s="387" t="s">
        <v>261</v>
      </c>
      <c r="AS778" s="1218" t="s">
        <v>165</v>
      </c>
      <c r="AT778" s="1219" t="s">
        <v>79</v>
      </c>
      <c r="AU778" s="1220" t="s">
        <v>80</v>
      </c>
    </row>
    <row r="779" spans="1:47" ht="15" thickBot="1" x14ac:dyDescent="0.35">
      <c r="B779" s="405">
        <v>70</v>
      </c>
      <c r="C779" s="399"/>
      <c r="D779" s="385" t="str">
        <f>VLOOKUP($B779,EventOrder,6,FALSE)</f>
        <v xml:space="preserve">200m (U18/U20) </v>
      </c>
      <c r="E779" s="399"/>
      <c r="F779" s="385"/>
      <c r="G779" s="386" t="str">
        <f>VLOOKUP($B779,EventOrder,4,FALSE)</f>
        <v>U18 Female</v>
      </c>
      <c r="H779" s="396" t="str">
        <f>IF(MID(G779,5,1)="F","F","M")</f>
        <v>F</v>
      </c>
      <c r="I779" s="397">
        <f>VLOOKUP($B779,EventOrder,2,FALSE)</f>
        <v>4.1500000000000004</v>
      </c>
      <c r="K779" s="377"/>
      <c r="L779" s="667" t="s">
        <v>149</v>
      </c>
      <c r="M779" s="409" t="s">
        <v>264</v>
      </c>
      <c r="N779" s="409" t="s">
        <v>265</v>
      </c>
      <c r="O779" s="390" t="s">
        <v>266</v>
      </c>
      <c r="P779" s="391"/>
      <c r="Q779" s="392"/>
      <c r="R779" s="659" t="s">
        <v>94</v>
      </c>
      <c r="S779" s="409" t="s">
        <v>264</v>
      </c>
      <c r="T779" s="409" t="s">
        <v>265</v>
      </c>
      <c r="U779" s="390" t="s">
        <v>266</v>
      </c>
      <c r="V779" s="391"/>
      <c r="W779" s="671"/>
      <c r="Y779" s="415" t="s">
        <v>167</v>
      </c>
      <c r="Z779" s="658" t="s">
        <v>149</v>
      </c>
      <c r="AA779" s="659" t="s">
        <v>94</v>
      </c>
      <c r="AC779" s="666"/>
      <c r="AD779" s="668"/>
      <c r="AE779" s="768" t="s">
        <v>75</v>
      </c>
      <c r="AF779" s="768" t="s">
        <v>75</v>
      </c>
      <c r="AG779" s="768" t="s">
        <v>267</v>
      </c>
      <c r="AH779" s="768" t="s">
        <v>267</v>
      </c>
      <c r="AI779" s="768" t="s">
        <v>268</v>
      </c>
      <c r="AJ779" s="768" t="s">
        <v>268</v>
      </c>
      <c r="AK779" s="770" t="s">
        <v>269</v>
      </c>
      <c r="AL779" s="768" t="s">
        <v>269</v>
      </c>
      <c r="AM779" s="667" t="s">
        <v>149</v>
      </c>
      <c r="AN779" s="659" t="s">
        <v>94</v>
      </c>
      <c r="AP779" s="409" t="s">
        <v>264</v>
      </c>
      <c r="AQ779" s="409" t="s">
        <v>265</v>
      </c>
      <c r="AS779" s="1221" t="s">
        <v>270</v>
      </c>
      <c r="AT779" s="1222" t="s">
        <v>270</v>
      </c>
      <c r="AU779" s="1223" t="s">
        <v>270</v>
      </c>
    </row>
    <row r="780" spans="1:47" ht="15.6" x14ac:dyDescent="0.3">
      <c r="A780" s="416">
        <f>(B779*10)+1</f>
        <v>701</v>
      </c>
      <c r="B780" s="362" t="str">
        <f>'Event Details'!D$22</f>
        <v>S</v>
      </c>
      <c r="C780" s="381" t="str">
        <f>'Event Details'!E$22</f>
        <v>BRAT</v>
      </c>
      <c r="D780" s="379"/>
      <c r="E780" s="378"/>
      <c r="F780" s="363" t="str">
        <f>VLOOKUP($B779,IF($H779="F",TeamSheetFemale,TeamSheetMale),$Y780-1,FALSE)</f>
        <v>S</v>
      </c>
      <c r="G780" s="380" t="str">
        <f>VLOOKUP($B779,IF($H779="F",TeamSheetFemale,TeamSheetMale),$Y780,FALSE)</f>
        <v xml:space="preserve">Daniella Anozie </v>
      </c>
      <c r="H780" s="363" t="str">
        <f>VLOOKUP($B779,IF($H779="F",TeamSheetFemale,TeamSheetMale),$Y780+1,FALSE)</f>
        <v>SS</v>
      </c>
      <c r="I780" s="364" t="str">
        <f>VLOOKUP($B779,IF($H779="F",TeamSheetFemale,TeamSheetMale),$Y780+2,FALSE)</f>
        <v>Maryam Mohammed Hadi</v>
      </c>
      <c r="K780" s="393" t="s">
        <v>271</v>
      </c>
      <c r="L780" s="16" t="str">
        <f t="shared" ref="L780:L787" si="694">LEFT(M780,1)</f>
        <v>F</v>
      </c>
      <c r="M780" s="926" t="s">
        <v>142</v>
      </c>
      <c r="N780" s="926">
        <v>26.3</v>
      </c>
      <c r="O780" s="394" t="str">
        <f>IF(LEN($M780)=1,VLOOKUP(LEFT($M780,1),B780:I787,5,FALSE),IF(LEN($M780)=2,VLOOKUP(LEFT($M780,1),B780:I787,7,FALSE),""))</f>
        <v>F</v>
      </c>
      <c r="P780" s="395" t="str">
        <f>IF(LEN($M780)=1,VLOOKUP(LEFT($M780,1),B780:I787,6,FALSE),IF(LEN($M780)=2,VLOOKUP(LEFT($M780,1),B780:I787,8,FALSE),""))</f>
        <v>Lorelai Maxwell</v>
      </c>
      <c r="Q780" s="393" t="s">
        <v>271</v>
      </c>
      <c r="R780" s="146" t="str">
        <f t="shared" ref="R780:R787" si="695">LEFT(S780,1)</f>
        <v>F</v>
      </c>
      <c r="S780" s="926" t="s">
        <v>576</v>
      </c>
      <c r="T780" s="926">
        <v>31.6</v>
      </c>
      <c r="U780" s="394" t="str">
        <f>IF(LEN($S780)=1,VLOOKUP(LEFT($S780,1),B780:I787,5,FALSE),IF(LEN($S780)=2,VLOOKUP(LEFT($S780,1),B780:I787,7,FALSE),""))</f>
        <v>FF</v>
      </c>
      <c r="V780" s="395" t="str">
        <f>IF(LEN($S780)=1,VLOOKUP(LEFT($S780,1),B780:I787,6,FALSE),IF(LEN($S780)=2,VLOOKUP(LEFT($S780,1),B780:I787,8,FALSE),""))</f>
        <v>Chloe Massey</v>
      </c>
      <c r="W780" s="417">
        <f>AN$6</f>
        <v>8</v>
      </c>
      <c r="Y780" s="416">
        <v>7</v>
      </c>
      <c r="Z780" s="653" t="str">
        <f t="shared" ref="Z780:Z787" si="696">IF(LEN(M780)&gt;0,VLOOKUP(LEFT(M780,1),ShortName,5,FALSE),0)</f>
        <v>Tam</v>
      </c>
      <c r="AA780" s="138" t="str">
        <f t="shared" ref="AA780:AA787" si="697">IF(LEN(S780)&gt;0,VLOOKUP(LEFT(S780,1),ShortName,5,FALSE),0)</f>
        <v>Tam</v>
      </c>
      <c r="AC780" s="16" t="str">
        <f t="shared" ref="AC780:AD787" si="698">B780</f>
        <v>S</v>
      </c>
      <c r="AD780" s="419" t="str">
        <f t="shared" si="698"/>
        <v>BRAT</v>
      </c>
      <c r="AE780" s="635">
        <f>IF(ISNA(MATCH(AC780,N780:N789,0)),0,VLOOKUP(AC780,N780:S789,5,FALSE))</f>
        <v>0</v>
      </c>
      <c r="AF780" s="635" t="str">
        <f>IF(ISNA(MATCH(AC780,T780:T789,0))," ",VLOOKUP(AC780,T780:Y789,5,FALSE))</f>
        <v xml:space="preserve"> </v>
      </c>
      <c r="AG780" s="635">
        <f>IF(ISNA(MATCH(AC780,L780:L787,0)),0,VLOOKUP(AC780,L780:N787,3,FALSE))</f>
        <v>29.8</v>
      </c>
      <c r="AH780" s="635">
        <f>IF(ISNA(MATCH(AC780,R780:R787,0)),0,VLOOKUP(AC780,R780:T787,3,FALSE))</f>
        <v>0</v>
      </c>
      <c r="AI780" s="635" t="str">
        <f>IF(ISNA(MATCH(AC780,L780:L787,0)),0,VLOOKUP(AC780,L780:P787,4,FALSE))</f>
        <v>S</v>
      </c>
      <c r="AJ780" s="635">
        <f>IF(ISNA(MATCH(AC780,R780:R787,0)),0,VLOOKUP(AC780,R780:U787,4,FALSE))</f>
        <v>0</v>
      </c>
      <c r="AK780" s="49">
        <f t="shared" ref="AK780:AK787" si="699">IF(AM780=0,0,AN$6-(AM780-1))</f>
        <v>5</v>
      </c>
      <c r="AL780" s="49">
        <f t="shared" ref="AL780:AL787" si="700">IF(AN780=0,0,AN$6-(AN780-1))</f>
        <v>0</v>
      </c>
      <c r="AM780" s="49">
        <f>IF(ISNA(MATCH(AC780,L780:L787,0)),0,VLOOKUP(AC780,L780:W787,AM$1,FALSE))</f>
        <v>4</v>
      </c>
      <c r="AN780" s="138">
        <f>IF(ISNA(MATCH(AC780,R780:R787,0)),0,VLOOKUP(AC780,R780:W787,AN$1,FALSE))</f>
        <v>0</v>
      </c>
      <c r="AP780" s="926"/>
      <c r="AQ780" s="926"/>
      <c r="AS780" s="32">
        <f>IF(LEN(N780)&gt;0,1,0)</f>
        <v>1</v>
      </c>
      <c r="AT780" s="32">
        <f>IF(AND(AS780=1,H779="M"),1,0)</f>
        <v>0</v>
      </c>
      <c r="AU780" s="32">
        <f>IF(AND(AS780=1,H779="F"),1,0)</f>
        <v>1</v>
      </c>
    </row>
    <row r="781" spans="1:47" ht="15.6" x14ac:dyDescent="0.3">
      <c r="A781" s="417">
        <f>A780+1</f>
        <v>702</v>
      </c>
      <c r="B781" s="362" t="str">
        <f>'Event Details'!D$23</f>
        <v>U</v>
      </c>
      <c r="C781" s="381" t="str">
        <f>'Event Details'!E$23</f>
        <v>Kidder &amp; Stourport</v>
      </c>
      <c r="D781" s="379"/>
      <c r="E781" s="378"/>
      <c r="F781" s="363" t="str">
        <f>VLOOKUP($B779,IF($H779="F",TeamSheetFemale,TeamSheetMale),$Y781-1,FALSE)</f>
        <v>U</v>
      </c>
      <c r="G781" s="380" t="str">
        <f>VLOOKUP($B779,IF($H779="F",TeamSheetFemale,TeamSheetMale),$Y781,FALSE)</f>
        <v>Emma Ross</v>
      </c>
      <c r="H781" s="363">
        <f>VLOOKUP($B779,IF($H779="F",TeamSheetFemale,TeamSheetMale),$Y781+1,FALSE)</f>
        <v>0</v>
      </c>
      <c r="I781" s="364">
        <f>VLOOKUP($B779,IF($H779="F",TeamSheetFemale,TeamSheetMale),$Y781+2,FALSE)</f>
        <v>0</v>
      </c>
      <c r="K781" s="341" t="s">
        <v>272</v>
      </c>
      <c r="L781" s="16" t="str">
        <f t="shared" si="694"/>
        <v>D</v>
      </c>
      <c r="M781" s="927" t="s">
        <v>136</v>
      </c>
      <c r="N781" s="927">
        <v>27.2</v>
      </c>
      <c r="O781" s="353" t="str">
        <f>IF(LEN($M781)=1,VLOOKUP(LEFT($M781,1),B780:I787,5,FALSE),IF(LEN($M781)=2,VLOOKUP(LEFT($M781,1),B780:I787,7,FALSE),""))</f>
        <v>D</v>
      </c>
      <c r="P781" s="373" t="str">
        <f>IF(LEN($M781)=1,VLOOKUP(LEFT($M781,1),B780:I787,6,FALSE),IF(LEN($M781)=2,VLOOKUP(LEFT($M781,1),B780:I787,8,FALSE),""))</f>
        <v>Ella Smith</v>
      </c>
      <c r="Q781" s="341" t="s">
        <v>272</v>
      </c>
      <c r="R781" s="146" t="str">
        <f t="shared" si="695"/>
        <v/>
      </c>
      <c r="S781" s="927"/>
      <c r="T781" s="927"/>
      <c r="U781" s="353" t="str">
        <f>IF(LEN($S781)=1,VLOOKUP(LEFT($S781,1),B780:I787,5,FALSE),IF(LEN($S781)=2,VLOOKUP(LEFT($S781,1),B780:I787,7,FALSE),""))</f>
        <v/>
      </c>
      <c r="V781" s="373" t="str">
        <f>IF(LEN($S781)=1,VLOOKUP(LEFT($S781,1),B780:I787,6,FALSE),IF(LEN($S781)=2,VLOOKUP(LEFT($S781,1),B780:I787,8,FALSE),""))</f>
        <v/>
      </c>
      <c r="W781" s="417">
        <f>W780-1</f>
        <v>7</v>
      </c>
      <c r="Y781" s="417">
        <v>12</v>
      </c>
      <c r="Z781" s="16" t="str">
        <f t="shared" si="696"/>
        <v>Strat</v>
      </c>
      <c r="AA781" s="146">
        <f t="shared" si="697"/>
        <v>0</v>
      </c>
      <c r="AC781" s="16" t="str">
        <f t="shared" si="698"/>
        <v>U</v>
      </c>
      <c r="AD781" s="419" t="str">
        <f t="shared" si="698"/>
        <v>Kidder &amp; Stourport</v>
      </c>
      <c r="AE781" s="419">
        <f>IF(ISNA(MATCH(AC781,N780:N789,0)),0,VLOOKUP(AC781,N780:S789,5,FALSE))</f>
        <v>0</v>
      </c>
      <c r="AF781" s="419" t="str">
        <f>IF(ISNA(MATCH(AC781,T780:T789,0))," ",VLOOKUP(AC781,T780:Y789,5,FALSE))</f>
        <v xml:space="preserve"> </v>
      </c>
      <c r="AG781" s="419">
        <f>IF(ISNA(MATCH(AC781,L780:L787,0)),0,VLOOKUP(AC781,L780:N787,3,FALSE))</f>
        <v>27.9</v>
      </c>
      <c r="AH781" s="419">
        <f>IF(ISNA(MATCH(AC781,R780:R787,0)),0,VLOOKUP(AC781,R780:T787,3,FALSE))</f>
        <v>0</v>
      </c>
      <c r="AI781" s="419" t="str">
        <f>IF(ISNA(MATCH(AC781,L780:L787,0)),0,VLOOKUP(AC781,L780:P787,4,FALSE))</f>
        <v>U</v>
      </c>
      <c r="AJ781" s="419">
        <f>IF(ISNA(MATCH(AC781,R780:R787,0)),0,VLOOKUP(AC781,R780:U787,4,FALSE))</f>
        <v>0</v>
      </c>
      <c r="AK781" s="32">
        <f t="shared" si="699"/>
        <v>3</v>
      </c>
      <c r="AL781" s="32">
        <f t="shared" si="700"/>
        <v>0</v>
      </c>
      <c r="AM781" s="32">
        <f>IF(ISNA(MATCH(AC781,L780:L787,0)),0,VLOOKUP(AC781,L780:W787,AM$1,FALSE))</f>
        <v>6</v>
      </c>
      <c r="AN781" s="146">
        <f>IF(ISNA(MATCH(AC781,R780:R787,0)),0,VLOOKUP(AC781,R780:W787,AN$1,FALSE))</f>
        <v>0</v>
      </c>
      <c r="AP781" s="927"/>
      <c r="AQ781" s="927"/>
    </row>
    <row r="782" spans="1:47" ht="15.6" x14ac:dyDescent="0.3">
      <c r="A782" s="417">
        <f t="shared" ref="A782:A787" si="701">A781+1</f>
        <v>703</v>
      </c>
      <c r="B782" s="362" t="str">
        <f>'Event Details'!D$24</f>
        <v>G</v>
      </c>
      <c r="C782" s="381" t="str">
        <f>'Event Details'!E$24</f>
        <v>Royal Sutton</v>
      </c>
      <c r="D782" s="379"/>
      <c r="E782" s="378"/>
      <c r="F782" s="363" t="str">
        <f>VLOOKUP($B779,IF($H779="F",TeamSheetFemale,TeamSheetMale),$Y782-1,FALSE)</f>
        <v>G</v>
      </c>
      <c r="G782" s="380" t="str">
        <f>VLOOKUP($B779,IF($H779="F",TeamSheetFemale,TeamSheetMale),$Y782,FALSE)</f>
        <v>Lennie Covey</v>
      </c>
      <c r="H782" s="363" t="str">
        <f>VLOOKUP($B779,IF($H779="F",TeamSheetFemale,TeamSheetMale),$Y782+1,FALSE)</f>
        <v>GG</v>
      </c>
      <c r="I782" s="364">
        <f>VLOOKUP($B779,IF($H779="F",TeamSheetFemale,TeamSheetMale),$Y782+2,FALSE)</f>
        <v>0</v>
      </c>
      <c r="K782" s="341" t="s">
        <v>273</v>
      </c>
      <c r="L782" s="16" t="str">
        <f t="shared" si="694"/>
        <v>U</v>
      </c>
      <c r="M782" s="927" t="s">
        <v>130</v>
      </c>
      <c r="N782" s="927">
        <v>27.9</v>
      </c>
      <c r="O782" s="353" t="str">
        <f>IF(LEN($M782)=1,VLOOKUP(LEFT($M782,1),B780:I787,5,FALSE),IF(LEN($M782)=2,VLOOKUP(LEFT($M782,1),B780:I787,7,FALSE),""))</f>
        <v>U</v>
      </c>
      <c r="P782" s="373" t="str">
        <f>IF(LEN($M782)=1,VLOOKUP(LEFT($M782,1),B780:I787,6,FALSE),IF(LEN($M782)=2,VLOOKUP(LEFT($M782,1),B780:I787,8,FALSE),""))</f>
        <v>Emma Ross</v>
      </c>
      <c r="Q782" s="341" t="s">
        <v>273</v>
      </c>
      <c r="R782" s="146" t="str">
        <f t="shared" si="695"/>
        <v/>
      </c>
      <c r="S782" s="927"/>
      <c r="T782" s="927"/>
      <c r="U782" s="353" t="str">
        <f>IF(LEN($S782)=1,VLOOKUP(LEFT($S782,1),B780:I787,5,FALSE),IF(LEN($S782)=2,VLOOKUP(LEFT($S782,1),B780:I787,7,FALSE),""))</f>
        <v/>
      </c>
      <c r="V782" s="373" t="str">
        <f>IF(LEN($S782)=1,VLOOKUP(LEFT($S782,1),B780:I787,6,FALSE),IF(LEN($S782)=2,VLOOKUP(LEFT($S782,1),B780:I787,8,FALSE),""))</f>
        <v/>
      </c>
      <c r="W782" s="417">
        <f t="shared" ref="W782:W787" si="702">W781-1</f>
        <v>6</v>
      </c>
      <c r="Y782" s="417">
        <v>17</v>
      </c>
      <c r="Z782" s="16" t="str">
        <f t="shared" si="696"/>
        <v>K&amp;S</v>
      </c>
      <c r="AA782" s="146">
        <f t="shared" si="697"/>
        <v>0</v>
      </c>
      <c r="AB782" s="32"/>
      <c r="AC782" s="16" t="str">
        <f t="shared" si="698"/>
        <v>G</v>
      </c>
      <c r="AD782" s="419" t="str">
        <f t="shared" si="698"/>
        <v>Royal Sutton</v>
      </c>
      <c r="AE782" s="419">
        <f>IF(ISNA(MATCH(AC782,N780:N789,0)),0,VLOOKUP(AC782,N780:S789,5,FALSE))</f>
        <v>0</v>
      </c>
      <c r="AF782" s="419" t="str">
        <f>IF(ISNA(MATCH(AC782,T780:T789,0))," ",VLOOKUP(AC782,T780:Y789,5,FALSE))</f>
        <v xml:space="preserve"> </v>
      </c>
      <c r="AG782" s="419">
        <f>IF(ISNA(MATCH(AC782,L780:L787,0)),0,VLOOKUP(AC782,L780:N787,3,FALSE))</f>
        <v>0</v>
      </c>
      <c r="AH782" s="419">
        <f>IF(ISNA(MATCH(AC782,R780:R787,0)),0,VLOOKUP(AC782,R780:T787,3,FALSE))</f>
        <v>0</v>
      </c>
      <c r="AI782" s="419">
        <f>IF(ISNA(MATCH(AC782,L780:L787,0)),0,VLOOKUP(AC782,L780:P787,4,FALSE))</f>
        <v>0</v>
      </c>
      <c r="AJ782" s="419">
        <f>IF(ISNA(MATCH(AC782,R780:R787,0)),0,VLOOKUP(AC782,R780:U787,4,FALSE))</f>
        <v>0</v>
      </c>
      <c r="AK782" s="32">
        <f t="shared" si="699"/>
        <v>0</v>
      </c>
      <c r="AL782" s="32">
        <f t="shared" si="700"/>
        <v>0</v>
      </c>
      <c r="AM782" s="32">
        <f>IF(ISNA(MATCH(AC782,L780:L787,0)),0,VLOOKUP(AC782,L780:W787,AM$1,FALSE))</f>
        <v>0</v>
      </c>
      <c r="AN782" s="146">
        <f>IF(ISNA(MATCH(AC782,R780:R787,0)),0,VLOOKUP(AC782,R780:W787,AN$1,FALSE))</f>
        <v>0</v>
      </c>
      <c r="AP782" s="927"/>
      <c r="AQ782" s="927"/>
    </row>
    <row r="783" spans="1:47" ht="15.6" x14ac:dyDescent="0.3">
      <c r="A783" s="417">
        <f t="shared" si="701"/>
        <v>704</v>
      </c>
      <c r="B783" s="362" t="str">
        <f>'Event Details'!D$25</f>
        <v>R</v>
      </c>
      <c r="C783" s="381" t="str">
        <f>'Event Details'!E$25</f>
        <v>Rugby &amp; N'hampton</v>
      </c>
      <c r="D783" s="379"/>
      <c r="E783" s="378"/>
      <c r="F783" s="363" t="str">
        <f>VLOOKUP($B779,IF($H779="F",TeamSheetFemale,TeamSheetMale),$Y783-1,FALSE)</f>
        <v>R</v>
      </c>
      <c r="G783" s="380" t="str">
        <f>VLOOKUP($B779,IF($H779="F",TeamSheetFemale,TeamSheetMale),$Y783,FALSE)</f>
        <v>Emily Kendrick</v>
      </c>
      <c r="H783" s="363" t="str">
        <f>VLOOKUP($B779,IF($H779="F",TeamSheetFemale,TeamSheetMale),$Y783+1,FALSE)</f>
        <v>RR</v>
      </c>
      <c r="I783" s="364">
        <f>VLOOKUP($B779,IF($H779="F",TeamSheetFemale,TeamSheetMale),$Y783+2,FALSE)</f>
        <v>0</v>
      </c>
      <c r="K783" s="341" t="s">
        <v>274</v>
      </c>
      <c r="L783" s="16" t="str">
        <f t="shared" si="694"/>
        <v>R</v>
      </c>
      <c r="M783" s="927" t="s">
        <v>118</v>
      </c>
      <c r="N783" s="927">
        <v>28.8</v>
      </c>
      <c r="O783" s="353" t="str">
        <f>IF(LEN($M783)=1,VLOOKUP(LEFT($M783,1),B780:I787,5,FALSE),IF(LEN($M783)=2,VLOOKUP(LEFT($M783,1),B780:I787,7,FALSE),""))</f>
        <v>R</v>
      </c>
      <c r="P783" s="373" t="str">
        <f>IF(LEN($M783)=1,VLOOKUP(LEFT($M783,1),B780:I787,6,FALSE),IF(LEN($M783)=2,VLOOKUP(LEFT($M783,1),B780:I787,8,FALSE),""))</f>
        <v>Emily Kendrick</v>
      </c>
      <c r="Q783" s="341" t="s">
        <v>274</v>
      </c>
      <c r="R783" s="146" t="str">
        <f t="shared" si="695"/>
        <v/>
      </c>
      <c r="S783" s="927"/>
      <c r="T783" s="927"/>
      <c r="U783" s="353" t="str">
        <f>IF(LEN($S783)=1,VLOOKUP(LEFT($S783,1),B780:I787,5,FALSE),IF(LEN($S783)=2,VLOOKUP(LEFT($S783,1),B780:I787,7,FALSE),""))</f>
        <v/>
      </c>
      <c r="V783" s="373" t="str">
        <f>IF(LEN($S783)=1,VLOOKUP(LEFT($S783,1),B780:I787,6,FALSE),IF(LEN($S783)=2,VLOOKUP(LEFT($S783,1),B780:I787,8,FALSE),""))</f>
        <v/>
      </c>
      <c r="W783" s="417">
        <f t="shared" si="702"/>
        <v>5</v>
      </c>
      <c r="Y783" s="417">
        <v>22</v>
      </c>
      <c r="Z783" s="16" t="str">
        <f t="shared" si="696"/>
        <v>Rugby</v>
      </c>
      <c r="AA783" s="146">
        <f t="shared" si="697"/>
        <v>0</v>
      </c>
      <c r="AB783" s="32"/>
      <c r="AC783" s="16" t="str">
        <f t="shared" si="698"/>
        <v>R</v>
      </c>
      <c r="AD783" s="419" t="str">
        <f t="shared" si="698"/>
        <v>Rugby &amp; N'hampton</v>
      </c>
      <c r="AE783" s="419">
        <f>IF(ISNA(MATCH(AC783,N780:N789,0)),0,VLOOKUP(AC783,N780:S789,5,FALSE))</f>
        <v>0</v>
      </c>
      <c r="AF783" s="419" t="str">
        <f>IF(ISNA(MATCH(AC783,T780:T789,0))," ",VLOOKUP(AC783,T780:Y789,5,FALSE))</f>
        <v xml:space="preserve"> </v>
      </c>
      <c r="AG783" s="419">
        <f>IF(ISNA(MATCH(AC783,L780:L787,0)),0,VLOOKUP(AC783,L780:N787,3,FALSE))</f>
        <v>28.8</v>
      </c>
      <c r="AH783" s="419">
        <f>IF(ISNA(MATCH(AC783,R780:R787,0)),0,VLOOKUP(AC783,R780:T787,3,FALSE))</f>
        <v>0</v>
      </c>
      <c r="AI783" s="419" t="str">
        <f>IF(ISNA(MATCH(AC783,L780:L787,0)),0,VLOOKUP(AC783,L780:P787,4,FALSE))</f>
        <v>R</v>
      </c>
      <c r="AJ783" s="419">
        <f>IF(ISNA(MATCH(AC783,R780:R787,0)),0,VLOOKUP(AC783,R780:U787,4,FALSE))</f>
        <v>0</v>
      </c>
      <c r="AK783" s="32">
        <f t="shared" si="699"/>
        <v>4</v>
      </c>
      <c r="AL783" s="32">
        <f t="shared" si="700"/>
        <v>0</v>
      </c>
      <c r="AM783" s="32">
        <f>IF(ISNA(MATCH(AC783,L780:L787,0)),0,VLOOKUP(AC783,L780:W787,AM$1,FALSE))</f>
        <v>5</v>
      </c>
      <c r="AN783" s="146">
        <f>IF(ISNA(MATCH(AC783,R780:R787,0)),0,VLOOKUP(AC783,R780:W787,AN$1,FALSE))</f>
        <v>0</v>
      </c>
      <c r="AP783" s="927"/>
      <c r="AQ783" s="927"/>
    </row>
    <row r="784" spans="1:47" ht="15.6" x14ac:dyDescent="0.3">
      <c r="A784" s="417">
        <f t="shared" si="701"/>
        <v>705</v>
      </c>
      <c r="B784" s="362" t="str">
        <f>'Event Details'!D$26</f>
        <v>M</v>
      </c>
      <c r="C784" s="381" t="str">
        <f>'Event Details'!E$26</f>
        <v>Solihull &amp; S.Heath</v>
      </c>
      <c r="D784" s="379"/>
      <c r="E784" s="378"/>
      <c r="F784" s="363">
        <f>VLOOKUP($B779,IF($H779="F",TeamSheetFemale,TeamSheetMale),$Y784-1,FALSE)</f>
        <v>0</v>
      </c>
      <c r="G784" s="380">
        <f>VLOOKUP($B779,IF($H779="F",TeamSheetFemale,TeamSheetMale),$Y784,FALSE)</f>
        <v>0</v>
      </c>
      <c r="H784" s="363">
        <f>VLOOKUP($B779,IF($H779="F",TeamSheetFemale,TeamSheetMale),$Y784+1,FALSE)</f>
        <v>0</v>
      </c>
      <c r="I784" s="364">
        <f>VLOOKUP($B779,IF($H779="F",TeamSheetFemale,TeamSheetMale),$Y784+2,FALSE)</f>
        <v>0</v>
      </c>
      <c r="K784" s="341" t="s">
        <v>275</v>
      </c>
      <c r="L784" s="16" t="str">
        <f t="shared" si="694"/>
        <v>S</v>
      </c>
      <c r="M784" s="927" t="s">
        <v>100</v>
      </c>
      <c r="N784" s="927">
        <v>29.8</v>
      </c>
      <c r="O784" s="353" t="str">
        <f>IF(LEN($M784)=1,VLOOKUP(LEFT($M784,1),B780:I787,5,FALSE),IF(LEN($M784)=2,VLOOKUP(LEFT($M784,1),B780:I787,7,FALSE),""))</f>
        <v>S</v>
      </c>
      <c r="P784" s="373" t="str">
        <f>IF(LEN($M784)=1,VLOOKUP(LEFT($M784,1),B780:I787,6,FALSE),IF(LEN($M784)=2,VLOOKUP(LEFT($M784,1),B780:I787,8,FALSE),""))</f>
        <v xml:space="preserve">Daniella Anozie </v>
      </c>
      <c r="Q784" s="341" t="s">
        <v>275</v>
      </c>
      <c r="R784" s="146" t="str">
        <f t="shared" si="695"/>
        <v/>
      </c>
      <c r="S784" s="927"/>
      <c r="T784" s="927"/>
      <c r="U784" s="353" t="str">
        <f>IF(LEN($S784)=1,VLOOKUP(LEFT($S784,1),B780:I787,5,FALSE),IF(LEN($S784)=2,VLOOKUP(LEFT($S784,1),B780:I787,7,FALSE),""))</f>
        <v/>
      </c>
      <c r="V784" s="373" t="str">
        <f>IF(LEN($S784)=1,VLOOKUP(LEFT($S784,1),B780:I787,6,FALSE),IF(LEN($S784)=2,VLOOKUP(LEFT($S784,1),B780:I787,8,FALSE),""))</f>
        <v/>
      </c>
      <c r="W784" s="417">
        <f t="shared" si="702"/>
        <v>4</v>
      </c>
      <c r="Y784" s="417">
        <v>27</v>
      </c>
      <c r="Z784" s="16" t="str">
        <f t="shared" si="696"/>
        <v>BRAT</v>
      </c>
      <c r="AA784" s="146">
        <f t="shared" si="697"/>
        <v>0</v>
      </c>
      <c r="AB784" s="32"/>
      <c r="AC784" s="16" t="str">
        <f t="shared" si="698"/>
        <v>M</v>
      </c>
      <c r="AD784" s="419" t="str">
        <f t="shared" si="698"/>
        <v>Solihull &amp; S.Heath</v>
      </c>
      <c r="AE784" s="419">
        <f>IF(ISNA(MATCH(AC784,N780:N789,0)),0,VLOOKUP(AC784,N780:S789,5,FALSE))</f>
        <v>0</v>
      </c>
      <c r="AF784" s="419" t="str">
        <f>IF(ISNA(MATCH(AC784,T780:T789,0))," ",VLOOKUP(AC784,T780:Y789,5,FALSE))</f>
        <v xml:space="preserve"> </v>
      </c>
      <c r="AG784" s="419">
        <f>IF(ISNA(MATCH(AC784,L780:L787,0)),0,VLOOKUP(AC784,L780:N787,3,FALSE))</f>
        <v>0</v>
      </c>
      <c r="AH784" s="419">
        <f>IF(ISNA(MATCH(AC784,R780:R787,0)),0,VLOOKUP(AC784,R780:T787,3,FALSE))</f>
        <v>0</v>
      </c>
      <c r="AI784" s="419">
        <f>IF(ISNA(MATCH(AC784,L780:L787,0)),0,VLOOKUP(AC784,L780:P787,4,FALSE))</f>
        <v>0</v>
      </c>
      <c r="AJ784" s="419">
        <f>IF(ISNA(MATCH(AC784,R780:R787,0)),0,VLOOKUP(AC784,R780:U787,4,FALSE))</f>
        <v>0</v>
      </c>
      <c r="AK784" s="32">
        <f t="shared" si="699"/>
        <v>0</v>
      </c>
      <c r="AL784" s="32">
        <f t="shared" si="700"/>
        <v>0</v>
      </c>
      <c r="AM784" s="32">
        <f>IF(ISNA(MATCH(AC784,L780:L787,0)),0,VLOOKUP(AC784,L780:W787,AM$1,FALSE))</f>
        <v>0</v>
      </c>
      <c r="AN784" s="146">
        <f>IF(ISNA(MATCH(AC784,R780:R787,0)),0,VLOOKUP(AC784,R780:W787,AN$1,FALSE))</f>
        <v>0</v>
      </c>
      <c r="AP784" s="927"/>
      <c r="AQ784" s="927"/>
    </row>
    <row r="785" spans="1:47" ht="15.6" x14ac:dyDescent="0.3">
      <c r="A785" s="417">
        <f t="shared" si="701"/>
        <v>706</v>
      </c>
      <c r="B785" s="362" t="str">
        <f>'Event Details'!D$27</f>
        <v>D</v>
      </c>
      <c r="C785" s="381" t="str">
        <f>'Event Details'!E$27</f>
        <v>Stratford</v>
      </c>
      <c r="D785" s="379"/>
      <c r="E785" s="378"/>
      <c r="F785" s="363" t="str">
        <f>VLOOKUP($B779,IF($H779="F",TeamSheetFemale,TeamSheetMale),$Y785-1,FALSE)</f>
        <v>D</v>
      </c>
      <c r="G785" s="380" t="str">
        <f>VLOOKUP($B779,IF($H779="F",TeamSheetFemale,TeamSheetMale),$Y785,FALSE)</f>
        <v>Ella Smith</v>
      </c>
      <c r="H785" s="363" t="str">
        <f>VLOOKUP($B779,IF($H779="F",TeamSheetFemale,TeamSheetMale),$Y785+1,FALSE)</f>
        <v>DD</v>
      </c>
      <c r="I785" s="364" t="str">
        <f>VLOOKUP($B779,IF($H779="F",TeamSheetFemale,TeamSheetMale),$Y785+2,FALSE)</f>
        <v>Scarlett Dawson</v>
      </c>
      <c r="K785" s="341" t="s">
        <v>276</v>
      </c>
      <c r="L785" s="16" t="str">
        <f t="shared" si="694"/>
        <v>Y</v>
      </c>
      <c r="M785" s="927" t="s">
        <v>151</v>
      </c>
      <c r="N785" s="927">
        <v>29.9</v>
      </c>
      <c r="O785" s="353" t="str">
        <f>IF(LEN($M785)=1,VLOOKUP(LEFT($M785,1),B780:I787,5,FALSE),IF(LEN($M785)=2,VLOOKUP(LEFT($M785,1),B780:I787,7,FALSE),""))</f>
        <v>Y</v>
      </c>
      <c r="P785" s="373" t="str">
        <f>IF(LEN($M785)=1,VLOOKUP(LEFT($M785,1),B780:I787,6,FALSE),IF(LEN($M785)=2,VLOOKUP(LEFT($M785,1),B780:I787,8,FALSE),""))</f>
        <v>Ella Purves</v>
      </c>
      <c r="Q785" s="341" t="s">
        <v>276</v>
      </c>
      <c r="R785" s="146" t="str">
        <f t="shared" si="695"/>
        <v/>
      </c>
      <c r="S785" s="927"/>
      <c r="T785" s="927"/>
      <c r="U785" s="353" t="str">
        <f>IF(LEN($S785)=1,VLOOKUP(LEFT($S785,1),B780:I787,5,FALSE),IF(LEN($S785)=2,VLOOKUP(LEFT($S785,1),B780:I787,7,FALSE),""))</f>
        <v/>
      </c>
      <c r="V785" s="373" t="str">
        <f>IF(LEN($S785)=1,VLOOKUP(LEFT($S785,1),B780:I787,6,FALSE),IF(LEN($S785)=2,VLOOKUP(LEFT($S785,1),B780:I787,8,FALSE),""))</f>
        <v/>
      </c>
      <c r="W785" s="417">
        <f t="shared" si="702"/>
        <v>3</v>
      </c>
      <c r="Y785" s="417">
        <v>32</v>
      </c>
      <c r="Z785" s="16" t="str">
        <f t="shared" si="696"/>
        <v>Worc</v>
      </c>
      <c r="AA785" s="146">
        <f t="shared" si="697"/>
        <v>0</v>
      </c>
      <c r="AB785" s="32"/>
      <c r="AC785" s="16" t="str">
        <f t="shared" si="698"/>
        <v>D</v>
      </c>
      <c r="AD785" s="419" t="str">
        <f t="shared" si="698"/>
        <v>Stratford</v>
      </c>
      <c r="AE785" s="419">
        <f>IF(ISNA(MATCH(AC785,N780:N789,0)),0,VLOOKUP(AC785,N780:S789,5,FALSE))</f>
        <v>0</v>
      </c>
      <c r="AF785" s="419" t="str">
        <f>IF(ISNA(MATCH(AC785,T780:T789,0))," ",VLOOKUP(AC785,T780:Y789,5,FALSE))</f>
        <v xml:space="preserve"> </v>
      </c>
      <c r="AG785" s="419">
        <f>IF(ISNA(MATCH(AC785,L780:L787,0)),0,VLOOKUP(AC785,L780:N787,3,FALSE))</f>
        <v>27.2</v>
      </c>
      <c r="AH785" s="419">
        <f>IF(ISNA(MATCH(AC785,R780:R787,0)),0,VLOOKUP(AC785,R780:T787,3,FALSE))</f>
        <v>0</v>
      </c>
      <c r="AI785" s="419" t="str">
        <f>IF(ISNA(MATCH(AC785,L780:L787,0)),0,VLOOKUP(AC785,L780:P787,4,FALSE))</f>
        <v>D</v>
      </c>
      <c r="AJ785" s="419">
        <f>IF(ISNA(MATCH(AC785,R780:R787,0)),0,VLOOKUP(AC785,R780:U787,4,FALSE))</f>
        <v>0</v>
      </c>
      <c r="AK785" s="32">
        <f t="shared" si="699"/>
        <v>2</v>
      </c>
      <c r="AL785" s="32">
        <f t="shared" si="700"/>
        <v>0</v>
      </c>
      <c r="AM785" s="32">
        <f>IF(ISNA(MATCH(AC785,L780:L787,0)),0,VLOOKUP(AC785,L780:W787,AM$1,FALSE))</f>
        <v>7</v>
      </c>
      <c r="AN785" s="146">
        <f>IF(ISNA(MATCH(AC785,R780:R787,0)),0,VLOOKUP(AC785,R780:W787,AN$1,FALSE))</f>
        <v>0</v>
      </c>
      <c r="AP785" s="927"/>
      <c r="AQ785" s="927"/>
    </row>
    <row r="786" spans="1:47" ht="15.6" x14ac:dyDescent="0.3">
      <c r="A786" s="417">
        <f t="shared" si="701"/>
        <v>707</v>
      </c>
      <c r="B786" s="362" t="str">
        <f>'Event Details'!D$28</f>
        <v>F</v>
      </c>
      <c r="C786" s="381" t="str">
        <f>'Event Details'!E$28</f>
        <v>Tamworth</v>
      </c>
      <c r="D786" s="379"/>
      <c r="E786" s="378"/>
      <c r="F786" s="363" t="str">
        <f>VLOOKUP($B779,IF($H779="F",TeamSheetFemale,TeamSheetMale),$Y786-1,FALSE)</f>
        <v>F</v>
      </c>
      <c r="G786" s="380" t="str">
        <f>VLOOKUP($B779,IF($H779="F",TeamSheetFemale,TeamSheetMale),$Y786,FALSE)</f>
        <v>Lorelai Maxwell</v>
      </c>
      <c r="H786" s="363" t="str">
        <f>VLOOKUP($B779,IF($H779="F",TeamSheetFemale,TeamSheetMale),$Y786+1,FALSE)</f>
        <v>FF</v>
      </c>
      <c r="I786" s="364" t="str">
        <f>VLOOKUP($B779,IF($H779="F",TeamSheetFemale,TeamSheetMale),$Y786+2,FALSE)</f>
        <v>Chloe Massey</v>
      </c>
      <c r="K786" s="341" t="s">
        <v>277</v>
      </c>
      <c r="L786" s="16" t="str">
        <f t="shared" si="694"/>
        <v/>
      </c>
      <c r="M786" s="927"/>
      <c r="N786" s="927"/>
      <c r="O786" s="353" t="str">
        <f>IF(LEN($M786)=1,VLOOKUP(LEFT($M786,1),B780:I787,5,FALSE),IF(LEN($M786)=2,VLOOKUP(LEFT($M786,1),B780:I787,7,FALSE),""))</f>
        <v/>
      </c>
      <c r="P786" s="373" t="str">
        <f>IF(LEN($M786)=1,VLOOKUP(LEFT($M786,1),B780:I787,6,FALSE),IF(LEN($M786)=2,VLOOKUP(LEFT($M786,1),B780:I787,8,FALSE),""))</f>
        <v/>
      </c>
      <c r="Q786" s="341" t="s">
        <v>277</v>
      </c>
      <c r="R786" s="146" t="str">
        <f t="shared" si="695"/>
        <v/>
      </c>
      <c r="S786" s="927"/>
      <c r="T786" s="927"/>
      <c r="U786" s="353" t="str">
        <f>IF(LEN($S786)=1,VLOOKUP(LEFT($S786,1),B780:I787,5,FALSE),IF(LEN($S786)=2,VLOOKUP(LEFT($S786,1),B780:I787,7,FALSE),""))</f>
        <v/>
      </c>
      <c r="V786" s="373" t="str">
        <f>IF(LEN($S786)=1,VLOOKUP(LEFT($S786,1),B780:I787,6,FALSE),IF(LEN($S786)=2,VLOOKUP(LEFT($S786,1),B780:I787,8,FALSE),""))</f>
        <v/>
      </c>
      <c r="W786" s="417">
        <f t="shared" si="702"/>
        <v>2</v>
      </c>
      <c r="Y786" s="417">
        <v>37</v>
      </c>
      <c r="Z786" s="16">
        <f t="shared" si="696"/>
        <v>0</v>
      </c>
      <c r="AA786" s="146">
        <f t="shared" si="697"/>
        <v>0</v>
      </c>
      <c r="AB786" s="32"/>
      <c r="AC786" s="16" t="str">
        <f t="shared" si="698"/>
        <v>F</v>
      </c>
      <c r="AD786" s="419" t="str">
        <f t="shared" si="698"/>
        <v>Tamworth</v>
      </c>
      <c r="AE786" s="419">
        <f>IF(ISNA(MATCH(AC786,N778:N787,0)),0,VLOOKUP(AC786,N778:S787,5,FALSE))</f>
        <v>0</v>
      </c>
      <c r="AF786" s="419" t="str">
        <f>IF(ISNA(MATCH(AC786,T778:T787,0))," ",VLOOKUP(AC786,T778:Y787,5,FALSE))</f>
        <v xml:space="preserve"> </v>
      </c>
      <c r="AG786" s="419">
        <f>IF(ISNA(MATCH(AC786,L780:L787,0)),0,VLOOKUP(AC786,L780:N787,3,FALSE))</f>
        <v>26.3</v>
      </c>
      <c r="AH786" s="419">
        <f>IF(ISNA(MATCH(AC786,R780:R787,0)),0,VLOOKUP(AC786,R780:T787,3,FALSE))</f>
        <v>31.6</v>
      </c>
      <c r="AI786" s="419" t="str">
        <f>IF(ISNA(MATCH(AC786,L780:L787,0)),0,VLOOKUP(AC786,L780:P787,4,FALSE))</f>
        <v>F</v>
      </c>
      <c r="AJ786" s="419" t="str">
        <f>IF(ISNA(MATCH(AC786,R780:R787,0)),0,VLOOKUP(AC786,R780:U787,4,FALSE))</f>
        <v>FF</v>
      </c>
      <c r="AK786" s="32">
        <f t="shared" si="699"/>
        <v>1</v>
      </c>
      <c r="AL786" s="32">
        <f t="shared" si="700"/>
        <v>1</v>
      </c>
      <c r="AM786" s="32">
        <f>IF(ISNA(MATCH(AC786,L780:L787,0)),0,VLOOKUP(AC786,L780:W787,AM$1,FALSE))</f>
        <v>8</v>
      </c>
      <c r="AN786" s="146">
        <f>IF(ISNA(MATCH(AC786,R780:R787,0)),0,VLOOKUP(AC786,R780:W787,AN$1,FALSE))</f>
        <v>8</v>
      </c>
      <c r="AP786" s="927"/>
      <c r="AQ786" s="927"/>
    </row>
    <row r="787" spans="1:47" ht="16.2" thickBot="1" x14ac:dyDescent="0.35">
      <c r="A787" s="418">
        <f t="shared" si="701"/>
        <v>708</v>
      </c>
      <c r="B787" s="365" t="str">
        <f>'Event Details'!D$29</f>
        <v>Y</v>
      </c>
      <c r="C787" s="366" t="str">
        <f>'Event Details'!E$29</f>
        <v>Worcester</v>
      </c>
      <c r="D787" s="361"/>
      <c r="E787" s="370"/>
      <c r="F787" s="367" t="str">
        <f>VLOOKUP($B779,IF($H779="F",TeamSheetFemale,TeamSheetMale),$Y787-1,FALSE)</f>
        <v>Y</v>
      </c>
      <c r="G787" s="368" t="str">
        <f>VLOOKUP($B779,IF($H779="F",TeamSheetFemale,TeamSheetMale),$Y787,FALSE)</f>
        <v>Ella Purves</v>
      </c>
      <c r="H787" s="367">
        <f>VLOOKUP($B779,IF($H779="F",TeamSheetFemale,TeamSheetMale),$Y787+1,FALSE)</f>
        <v>0</v>
      </c>
      <c r="I787" s="369">
        <f>VLOOKUP($B779,IF($H779="F",TeamSheetFemale,TeamSheetMale),$Y787+2,FALSE)</f>
        <v>0</v>
      </c>
      <c r="K787" s="346" t="s">
        <v>278</v>
      </c>
      <c r="L787" s="25" t="str">
        <f t="shared" si="694"/>
        <v/>
      </c>
      <c r="M787" s="932"/>
      <c r="N787" s="932"/>
      <c r="O787" s="375" t="str">
        <f>IF(LEN($M787)=1,VLOOKUP(LEFT($M787,1),B780:I787,5,FALSE),IF(LEN($M787)=2,VLOOKUP(LEFT($M787,1),B780:I787,7,FALSE),""))</f>
        <v/>
      </c>
      <c r="P787" s="376" t="str">
        <f>IF(LEN($M787)=1,VLOOKUP(LEFT($M787,1),B780:I787,6,FALSE),IF(LEN($M787)=2,VLOOKUP(LEFT($M787,1),B780:I787,8,FALSE),""))</f>
        <v/>
      </c>
      <c r="Q787" s="346" t="s">
        <v>278</v>
      </c>
      <c r="R787" s="523" t="str">
        <f t="shared" si="695"/>
        <v/>
      </c>
      <c r="S787" s="932"/>
      <c r="T787" s="932"/>
      <c r="U787" s="375" t="str">
        <f>IF(LEN($S787)=1,VLOOKUP(LEFT($S787,1),B780:I787,5,FALSE),IF(LEN($S787)=2,VLOOKUP(LEFT($S787,1),B780:I787,7,FALSE),""))</f>
        <v/>
      </c>
      <c r="V787" s="376" t="str">
        <f>IF(LEN($S787)=1,VLOOKUP(LEFT($S787,1),B780:I787,6,FALSE),IF(LEN($S787)=2,VLOOKUP(LEFT($S787,1),B780:I787,8,FALSE),""))</f>
        <v/>
      </c>
      <c r="W787" s="418">
        <f t="shared" si="702"/>
        <v>1</v>
      </c>
      <c r="Y787" s="418">
        <v>42</v>
      </c>
      <c r="Z787" s="25">
        <f t="shared" si="696"/>
        <v>0</v>
      </c>
      <c r="AA787" s="523">
        <f t="shared" si="697"/>
        <v>0</v>
      </c>
      <c r="AB787" s="32"/>
      <c r="AC787" s="25" t="str">
        <f t="shared" si="698"/>
        <v>Y</v>
      </c>
      <c r="AD787" s="624" t="str">
        <f t="shared" si="698"/>
        <v>Worcester</v>
      </c>
      <c r="AE787" s="624">
        <f>IF(ISNA(MATCH(AC787,N779:N788,0)),0,VLOOKUP(AC787,N779:S788,5,FALSE))</f>
        <v>0</v>
      </c>
      <c r="AF787" s="624" t="str">
        <f t="shared" ref="AF787" si="703">IF(ISNA(MATCH(AC787,T779:T788,0))," ",VLOOKUP(AC787,T779:Y788,5,FALSE))</f>
        <v xml:space="preserve"> </v>
      </c>
      <c r="AG787" s="624">
        <f>IF(ISNA(MATCH(AC787,L780:L787,0)),0,VLOOKUP(AC787,L780:N787,3,FALSE))</f>
        <v>29.9</v>
      </c>
      <c r="AH787" s="624">
        <f>IF(ISNA(MATCH(AC787,R780:R787,0)),0,VLOOKUP(AC787,R780:T787,3,FALSE))</f>
        <v>0</v>
      </c>
      <c r="AI787" s="624" t="str">
        <f>IF(ISNA(MATCH(AC787,L780:L787,0)),0,VLOOKUP(AC787,L780:P787,4,FALSE))</f>
        <v>Y</v>
      </c>
      <c r="AJ787" s="624">
        <f>IF(ISNA(MATCH(AC787,R780:R787,0)),0,VLOOKUP(AC787,R780:U787,4,FALSE))</f>
        <v>0</v>
      </c>
      <c r="AK787" s="116">
        <f t="shared" si="699"/>
        <v>6</v>
      </c>
      <c r="AL787" s="116">
        <f t="shared" si="700"/>
        <v>0</v>
      </c>
      <c r="AM787" s="116">
        <f>IF(ISNA(MATCH(AC787,L780:L787,0)),0,VLOOKUP(AC787,L780:W787,AM$1,FALSE))</f>
        <v>3</v>
      </c>
      <c r="AN787" s="523">
        <f>IF(ISNA(MATCH(AC787,R780:R787,0)),0,VLOOKUP(AC787,R780:W787,AN$1,FALSE))</f>
        <v>0</v>
      </c>
      <c r="AP787" s="932"/>
      <c r="AQ787" s="932"/>
    </row>
    <row r="788" spans="1:47" ht="15" thickBot="1" x14ac:dyDescent="0.35">
      <c r="M788" s="276"/>
      <c r="N788" s="276"/>
      <c r="S788" s="276"/>
      <c r="T788" s="276"/>
      <c r="AP788" s="276"/>
      <c r="AQ788" s="276"/>
    </row>
    <row r="789" spans="1:47" x14ac:dyDescent="0.3">
      <c r="B789" s="400" t="s">
        <v>258</v>
      </c>
      <c r="C789" s="398"/>
      <c r="D789" s="401" t="s">
        <v>165</v>
      </c>
      <c r="E789" s="398"/>
      <c r="F789" s="398"/>
      <c r="G789" s="402" t="s">
        <v>259</v>
      </c>
      <c r="H789" s="403" t="s">
        <v>249</v>
      </c>
      <c r="I789" s="404" t="s">
        <v>168</v>
      </c>
      <c r="K789" s="360"/>
      <c r="L789" s="661"/>
      <c r="M789" s="387" t="s">
        <v>260</v>
      </c>
      <c r="N789" s="387" t="s">
        <v>261</v>
      </c>
      <c r="O789" s="387" t="s">
        <v>262</v>
      </c>
      <c r="P789" s="388" t="s">
        <v>75</v>
      </c>
      <c r="Q789" s="412"/>
      <c r="R789" s="657"/>
      <c r="S789" s="387" t="s">
        <v>260</v>
      </c>
      <c r="T789" s="387" t="s">
        <v>261</v>
      </c>
      <c r="U789" s="387" t="s">
        <v>262</v>
      </c>
      <c r="V789" s="388" t="s">
        <v>75</v>
      </c>
      <c r="W789" s="672" t="s">
        <v>76</v>
      </c>
      <c r="Y789" s="654" t="s">
        <v>263</v>
      </c>
      <c r="Z789" s="656" t="s">
        <v>74</v>
      </c>
      <c r="AA789" s="657" t="s">
        <v>75</v>
      </c>
      <c r="AC789" s="665" t="s">
        <v>71</v>
      </c>
      <c r="AD789" s="657" t="s">
        <v>86</v>
      </c>
      <c r="AE789" s="661" t="s">
        <v>149</v>
      </c>
      <c r="AF789" s="661" t="s">
        <v>94</v>
      </c>
      <c r="AG789" s="661" t="s">
        <v>149</v>
      </c>
      <c r="AH789" s="661" t="s">
        <v>94</v>
      </c>
      <c r="AI789" s="661" t="s">
        <v>149</v>
      </c>
      <c r="AJ789" s="661" t="s">
        <v>94</v>
      </c>
      <c r="AK789" s="1332" t="s">
        <v>149</v>
      </c>
      <c r="AL789" s="661" t="s">
        <v>94</v>
      </c>
      <c r="AM789" s="1406" t="s">
        <v>76</v>
      </c>
      <c r="AN789" s="1407"/>
      <c r="AP789" s="387" t="s">
        <v>260</v>
      </c>
      <c r="AQ789" s="387" t="s">
        <v>261</v>
      </c>
      <c r="AS789" s="1218" t="s">
        <v>165</v>
      </c>
      <c r="AT789" s="1219" t="s">
        <v>79</v>
      </c>
      <c r="AU789" s="1220" t="s">
        <v>80</v>
      </c>
    </row>
    <row r="790" spans="1:47" ht="15" thickBot="1" x14ac:dyDescent="0.35">
      <c r="B790" s="405">
        <v>71</v>
      </c>
      <c r="C790" s="399"/>
      <c r="D790" s="385" t="str">
        <f>VLOOKUP($B790,EventOrder,6,FALSE)</f>
        <v xml:space="preserve">200m </v>
      </c>
      <c r="E790" s="399"/>
      <c r="F790" s="385"/>
      <c r="G790" s="386" t="str">
        <f>VLOOKUP($B790,EventOrder,4,FALSE)</f>
        <v>U14 Male</v>
      </c>
      <c r="H790" s="396" t="str">
        <f>IF(MID(G790,5,1)="F","F","M")</f>
        <v>M</v>
      </c>
      <c r="I790" s="397">
        <f>VLOOKUP($B790,EventOrder,2,FALSE)</f>
        <v>4.2</v>
      </c>
      <c r="K790" s="372"/>
      <c r="L790" s="667" t="s">
        <v>149</v>
      </c>
      <c r="M790" s="409" t="s">
        <v>264</v>
      </c>
      <c r="N790" s="409" t="s">
        <v>265</v>
      </c>
      <c r="O790" s="409" t="s">
        <v>266</v>
      </c>
      <c r="P790" s="408"/>
      <c r="Q790" s="413"/>
      <c r="R790" s="659" t="s">
        <v>94</v>
      </c>
      <c r="S790" s="409" t="s">
        <v>264</v>
      </c>
      <c r="T790" s="409" t="s">
        <v>265</v>
      </c>
      <c r="U790" s="409" t="s">
        <v>266</v>
      </c>
      <c r="V790" s="408"/>
      <c r="W790" s="671"/>
      <c r="Y790" s="655" t="s">
        <v>167</v>
      </c>
      <c r="Z790" s="658" t="s">
        <v>149</v>
      </c>
      <c r="AA790" s="659" t="s">
        <v>94</v>
      </c>
      <c r="AC790" s="666"/>
      <c r="AD790" s="668"/>
      <c r="AE790" s="768" t="s">
        <v>75</v>
      </c>
      <c r="AF790" s="768" t="s">
        <v>75</v>
      </c>
      <c r="AG790" s="768" t="s">
        <v>267</v>
      </c>
      <c r="AH790" s="768" t="s">
        <v>267</v>
      </c>
      <c r="AI790" s="768" t="s">
        <v>268</v>
      </c>
      <c r="AJ790" s="768" t="s">
        <v>268</v>
      </c>
      <c r="AK790" s="770" t="s">
        <v>269</v>
      </c>
      <c r="AL790" s="768" t="s">
        <v>269</v>
      </c>
      <c r="AM790" s="667" t="s">
        <v>149</v>
      </c>
      <c r="AN790" s="659" t="s">
        <v>94</v>
      </c>
      <c r="AP790" s="409" t="s">
        <v>264</v>
      </c>
      <c r="AQ790" s="409" t="s">
        <v>265</v>
      </c>
      <c r="AS790" s="1221" t="s">
        <v>270</v>
      </c>
      <c r="AT790" s="1222" t="s">
        <v>270</v>
      </c>
      <c r="AU790" s="1223" t="s">
        <v>270</v>
      </c>
    </row>
    <row r="791" spans="1:47" ht="15.6" x14ac:dyDescent="0.3">
      <c r="A791" s="416">
        <f>(B790*10)+1</f>
        <v>711</v>
      </c>
      <c r="B791" s="362" t="str">
        <f>'Event Details'!D$22</f>
        <v>S</v>
      </c>
      <c r="C791" s="381" t="str">
        <f>'Event Details'!E$22</f>
        <v>BRAT</v>
      </c>
      <c r="D791" s="379"/>
      <c r="E791" s="378"/>
      <c r="F791" s="363" t="str">
        <f>VLOOKUP($B790,IF($H790="F",TeamSheetFemale,TeamSheetMale),$Y791-1,FALSE)</f>
        <v>S</v>
      </c>
      <c r="G791" s="380" t="str">
        <f>VLOOKUP($B790,IF($H790="F",TeamSheetFemale,TeamSheetMale),$Y791,FALSE)</f>
        <v>Ethan Jatta</v>
      </c>
      <c r="H791" s="363" t="str">
        <f>VLOOKUP($B790,IF($H790="F",TeamSheetFemale,TeamSheetMale),$Y791+1,FALSE)</f>
        <v>SS</v>
      </c>
      <c r="I791" s="364" t="str">
        <f>VLOOKUP($B790,IF($H790="F",TeamSheetFemale,TeamSheetMale),$Y791+2,FALSE)</f>
        <v>Adam Makame</v>
      </c>
      <c r="K791" s="393" t="s">
        <v>271</v>
      </c>
      <c r="L791" s="16" t="str">
        <f t="shared" ref="L791:L798" si="704">LEFT(M791,1)</f>
        <v>D</v>
      </c>
      <c r="M791" s="926" t="s">
        <v>136</v>
      </c>
      <c r="N791" s="926">
        <v>27.1</v>
      </c>
      <c r="O791" s="394" t="str">
        <f>IF(LEN($M791)=1,VLOOKUP(LEFT($M791,1),B791:I798,5,FALSE),IF(LEN($M791)=2,VLOOKUP(LEFT($M791,1),B791:I798,7,FALSE),""))</f>
        <v>D</v>
      </c>
      <c r="P791" s="395" t="str">
        <f>IF(LEN($M791)=1,VLOOKUP(LEFT($M791,1),B791:I798,6,FALSE),IF(LEN($M791)=2,VLOOKUP(LEFT($M791,1),B791:I798,8,FALSE),""))</f>
        <v>Fynn Allen</v>
      </c>
      <c r="Q791" s="406" t="s">
        <v>271</v>
      </c>
      <c r="R791" s="146" t="str">
        <f t="shared" ref="R791:R798" si="705">LEFT(S791,1)</f>
        <v>G</v>
      </c>
      <c r="S791" s="926" t="s">
        <v>820</v>
      </c>
      <c r="T791" s="926">
        <v>27.9</v>
      </c>
      <c r="U791" s="394" t="str">
        <f>IF(LEN($S791)=1,VLOOKUP(LEFT($S791,1),B791:I798,5,FALSE),IF(LEN($S791)=2,VLOOKUP(LEFT($S791,1),B791:I798,7,FALSE),""))</f>
        <v>GG</v>
      </c>
      <c r="V791" s="395" t="str">
        <f>IF(LEN($S791)=1,VLOOKUP(LEFT($S791,1),B791:I798,6,FALSE),IF(LEN($S791)=2,VLOOKUP(LEFT($S791,1),B791:I798,8,FALSE),""))</f>
        <v>Oliver Marsh</v>
      </c>
      <c r="W791" s="417">
        <f>AN$6</f>
        <v>8</v>
      </c>
      <c r="Y791" s="653">
        <v>7</v>
      </c>
      <c r="Z791" s="653" t="str">
        <f t="shared" ref="Z791:Z798" si="706">IF(LEN(M791)&gt;0,VLOOKUP(LEFT(M791,1),ShortName,5,FALSE),0)</f>
        <v>Strat</v>
      </c>
      <c r="AA791" s="138" t="str">
        <f t="shared" ref="AA791:AA798" si="707">IF(LEN(S791)&gt;0,VLOOKUP(LEFT(S791,1),ShortName,5,FALSE),0)</f>
        <v>Royal</v>
      </c>
      <c r="AC791" s="16" t="str">
        <f t="shared" ref="AC791:AD798" si="708">B791</f>
        <v>S</v>
      </c>
      <c r="AD791" s="419" t="str">
        <f t="shared" si="708"/>
        <v>BRAT</v>
      </c>
      <c r="AE791" s="635">
        <f>IF(ISNA(MATCH(AC791,N791:N800,0)),0,VLOOKUP(AC791,N791:S800,5,FALSE))</f>
        <v>0</v>
      </c>
      <c r="AF791" s="635" t="str">
        <f>IF(ISNA(MATCH(AC791,T791:T800,0))," ",VLOOKUP(AC791,T791:Y800,5,FALSE))</f>
        <v xml:space="preserve"> </v>
      </c>
      <c r="AG791" s="635">
        <f>IF(ISNA(MATCH(AC791,L791:L798,0)),0,VLOOKUP(AC791,L791:N798,3,FALSE))</f>
        <v>30</v>
      </c>
      <c r="AH791" s="635">
        <f>IF(ISNA(MATCH(AC791,R791:R798,0)),0,VLOOKUP(AC791,R791:T798,3,FALSE))</f>
        <v>30.4</v>
      </c>
      <c r="AI791" s="635" t="str">
        <f>IF(ISNA(MATCH(AC791,L791:L798,0)),0,VLOOKUP(AC791,L791:P798,4,FALSE))</f>
        <v>S</v>
      </c>
      <c r="AJ791" s="635" t="str">
        <f>IF(ISNA(MATCH(AC791,R791:R798,0)),0,VLOOKUP(AC791,R791:U798,4,FALSE))</f>
        <v>SS</v>
      </c>
      <c r="AK791" s="49">
        <f t="shared" ref="AK791:AK798" si="709">IF(AM791=0,0,AN$6-(AM791-1))</f>
        <v>5</v>
      </c>
      <c r="AL791" s="49">
        <f t="shared" ref="AL791:AL798" si="710">IF(AN791=0,0,AN$6-(AN791-1))</f>
        <v>3</v>
      </c>
      <c r="AM791" s="49">
        <f>IF(ISNA(MATCH(AC791,L791:L798,0)),0,VLOOKUP(AC791,L791:W798,AM$1,FALSE))</f>
        <v>4</v>
      </c>
      <c r="AN791" s="138">
        <f>IF(ISNA(MATCH(AC791,R791:R798,0)),0,VLOOKUP(AC791,R791:W798,AN$1,FALSE))</f>
        <v>6</v>
      </c>
      <c r="AP791" s="926"/>
      <c r="AQ791" s="926"/>
      <c r="AS791" s="32">
        <f>IF(LEN(N791)&gt;0,1,0)</f>
        <v>1</v>
      </c>
      <c r="AT791" s="32">
        <f>IF(AND(AS791=1,H790="M"),1,0)</f>
        <v>1</v>
      </c>
      <c r="AU791" s="32">
        <f>IF(AND(AS791=1,H790="F"),1,0)</f>
        <v>0</v>
      </c>
    </row>
    <row r="792" spans="1:47" ht="15.6" x14ac:dyDescent="0.3">
      <c r="A792" s="417">
        <f>A791+1</f>
        <v>712</v>
      </c>
      <c r="B792" s="362" t="str">
        <f>'Event Details'!D$23</f>
        <v>U</v>
      </c>
      <c r="C792" s="381" t="str">
        <f>'Event Details'!E$23</f>
        <v>Kidder &amp; Stourport</v>
      </c>
      <c r="D792" s="379"/>
      <c r="E792" s="378"/>
      <c r="F792" s="363" t="str">
        <f>VLOOKUP($B790,IF($H790="F",TeamSheetFemale,TeamSheetMale),$Y792-1,FALSE)</f>
        <v>U</v>
      </c>
      <c r="G792" s="380" t="str">
        <f>VLOOKUP($B790,IF($H790="F",TeamSheetFemale,TeamSheetMale),$Y792,FALSE)</f>
        <v>Alexander Bird</v>
      </c>
      <c r="H792" s="363">
        <f>VLOOKUP($B790,IF($H790="F",TeamSheetFemale,TeamSheetMale),$Y792+1,FALSE)</f>
        <v>0</v>
      </c>
      <c r="I792" s="364">
        <f>VLOOKUP($B790,IF($H790="F",TeamSheetFemale,TeamSheetMale),$Y792+2,FALSE)</f>
        <v>0</v>
      </c>
      <c r="K792" s="341" t="s">
        <v>272</v>
      </c>
      <c r="L792" s="16" t="str">
        <f t="shared" si="704"/>
        <v>G</v>
      </c>
      <c r="M792" s="927" t="s">
        <v>110</v>
      </c>
      <c r="N792" s="927">
        <v>28.2</v>
      </c>
      <c r="O792" s="354" t="str">
        <f>IF(LEN($M792)=1,VLOOKUP(LEFT($M792,1),B791:I798,5,FALSE),IF(LEN($M792)=2,VLOOKUP(LEFT($M792,1),B791:I798,7,FALSE),""))</f>
        <v>G</v>
      </c>
      <c r="P792" s="410" t="str">
        <f>IF(LEN($M792)=1,VLOOKUP(LEFT($M792,1),B791:I798,6,FALSE),IF(LEN($M792)=2,VLOOKUP(LEFT($M792,1),B791:I798,8,FALSE),""))</f>
        <v>Karram Sahota</v>
      </c>
      <c r="Q792" s="371" t="s">
        <v>272</v>
      </c>
      <c r="R792" s="146" t="str">
        <f t="shared" si="705"/>
        <v>M</v>
      </c>
      <c r="S792" s="927" t="s">
        <v>821</v>
      </c>
      <c r="T792" s="927">
        <v>29.6</v>
      </c>
      <c r="U792" s="354" t="str">
        <f>IF(LEN($S792)=1,VLOOKUP(LEFT($S792,1),B791:I798,5,FALSE),IF(LEN($S792)=2,VLOOKUP(LEFT($S792,1),B791:I798,7,FALSE),""))</f>
        <v>MM</v>
      </c>
      <c r="V792" s="410" t="str">
        <f>IF(LEN($S792)=1,VLOOKUP(LEFT($S792,1),B791:I798,6,FALSE),IF(LEN($S792)=2,VLOOKUP(LEFT($S792,1),B791:I798,8,FALSE),""))</f>
        <v>Jacob Austerberry</v>
      </c>
      <c r="W792" s="417">
        <f>W791-1</f>
        <v>7</v>
      </c>
      <c r="Y792" s="16">
        <v>12</v>
      </c>
      <c r="Z792" s="16" t="str">
        <f t="shared" si="706"/>
        <v>Royal</v>
      </c>
      <c r="AA792" s="146" t="str">
        <f t="shared" si="707"/>
        <v>Sol</v>
      </c>
      <c r="AC792" s="16" t="str">
        <f t="shared" si="708"/>
        <v>U</v>
      </c>
      <c r="AD792" s="419" t="str">
        <f t="shared" si="708"/>
        <v>Kidder &amp; Stourport</v>
      </c>
      <c r="AE792" s="419">
        <f>IF(ISNA(MATCH(AC792,N791:N800,0)),0,VLOOKUP(AC792,N791:S800,5,FALSE))</f>
        <v>0</v>
      </c>
      <c r="AF792" s="419" t="str">
        <f>IF(ISNA(MATCH(AC792,T791:T800,0))," ",VLOOKUP(AC792,T791:Y800,5,FALSE))</f>
        <v xml:space="preserve"> </v>
      </c>
      <c r="AG792" s="419">
        <f>IF(ISNA(MATCH(AC792,L791:L798,0)),0,VLOOKUP(AC792,L791:N798,3,FALSE))</f>
        <v>31.4</v>
      </c>
      <c r="AH792" s="419">
        <f>IF(ISNA(MATCH(AC792,R791:R798,0)),0,VLOOKUP(AC792,R791:T798,3,FALSE))</f>
        <v>0</v>
      </c>
      <c r="AI792" s="419" t="str">
        <f>IF(ISNA(MATCH(AC792,L791:L798,0)),0,VLOOKUP(AC792,L791:P798,4,FALSE))</f>
        <v>U</v>
      </c>
      <c r="AJ792" s="419">
        <f>IF(ISNA(MATCH(AC792,R791:R798,0)),0,VLOOKUP(AC792,R791:U798,4,FALSE))</f>
        <v>0</v>
      </c>
      <c r="AK792" s="32">
        <f t="shared" si="709"/>
        <v>6</v>
      </c>
      <c r="AL792" s="32">
        <f t="shared" si="710"/>
        <v>0</v>
      </c>
      <c r="AM792" s="32">
        <f>IF(ISNA(MATCH(AC792,L791:L798,0)),0,VLOOKUP(AC792,L791:W798,AM$1,FALSE))</f>
        <v>3</v>
      </c>
      <c r="AN792" s="146">
        <f>IF(ISNA(MATCH(AC792,R791:R798,0)),0,VLOOKUP(AC792,R791:W798,AN$1,FALSE))</f>
        <v>0</v>
      </c>
      <c r="AP792" s="927"/>
      <c r="AQ792" s="927"/>
    </row>
    <row r="793" spans="1:47" ht="15.6" x14ac:dyDescent="0.3">
      <c r="A793" s="417">
        <f t="shared" ref="A793:A798" si="711">A792+1</f>
        <v>713</v>
      </c>
      <c r="B793" s="362" t="str">
        <f>'Event Details'!D$24</f>
        <v>G</v>
      </c>
      <c r="C793" s="381" t="str">
        <f>'Event Details'!E$24</f>
        <v>Royal Sutton</v>
      </c>
      <c r="D793" s="379"/>
      <c r="E793" s="378"/>
      <c r="F793" s="363" t="str">
        <f>VLOOKUP($B790,IF($H790="F",TeamSheetFemale,TeamSheetMale),$Y793-1,FALSE)</f>
        <v>G</v>
      </c>
      <c r="G793" s="380" t="str">
        <f>VLOOKUP($B790,IF($H790="F",TeamSheetFemale,TeamSheetMale),$Y793,FALSE)</f>
        <v>Karram Sahota</v>
      </c>
      <c r="H793" s="363" t="str">
        <f>VLOOKUP($B790,IF($H790="F",TeamSheetFemale,TeamSheetMale),$Y793+1,FALSE)</f>
        <v>GG</v>
      </c>
      <c r="I793" s="364" t="str">
        <f>VLOOKUP($B790,IF($H790="F",TeamSheetFemale,TeamSheetMale),$Y793+2,FALSE)</f>
        <v>Oliver Marsh</v>
      </c>
      <c r="K793" s="341" t="s">
        <v>273</v>
      </c>
      <c r="L793" s="16" t="str">
        <f t="shared" si="704"/>
        <v>M</v>
      </c>
      <c r="M793" s="927" t="s">
        <v>127</v>
      </c>
      <c r="N793" s="927">
        <v>29</v>
      </c>
      <c r="O793" s="354" t="str">
        <f>IF(LEN($M793)=1,VLOOKUP(LEFT($M793,1),B791:I798,5,FALSE),IF(LEN($M793)=2,VLOOKUP(LEFT($M793,1),B791:I798,7,FALSE),""))</f>
        <v>M</v>
      </c>
      <c r="P793" s="410" t="str">
        <f>IF(LEN($M793)=1,VLOOKUP(LEFT($M793,1),B791:I798,6,FALSE),IF(LEN($M793)=2,VLOOKUP(LEFT($M793,1),B791:I798,8,FALSE),""))</f>
        <v>Joshua Baylis</v>
      </c>
      <c r="Q793" s="371" t="s">
        <v>273</v>
      </c>
      <c r="R793" s="146" t="str">
        <f t="shared" si="705"/>
        <v>S</v>
      </c>
      <c r="S793" s="927" t="s">
        <v>818</v>
      </c>
      <c r="T793" s="927">
        <v>30.4</v>
      </c>
      <c r="U793" s="354" t="str">
        <f>IF(LEN($S793)=1,VLOOKUP(LEFT($S793,1),B791:I798,5,FALSE),IF(LEN($S793)=2,VLOOKUP(LEFT($S793,1),B791:I798,7,FALSE),""))</f>
        <v>SS</v>
      </c>
      <c r="V793" s="410" t="str">
        <f>IF(LEN($S793)=1,VLOOKUP(LEFT($S793,1),B791:I798,6,FALSE),IF(LEN($S793)=2,VLOOKUP(LEFT($S793,1),B791:I798,8,FALSE),""))</f>
        <v>Adam Makame</v>
      </c>
      <c r="W793" s="417">
        <f t="shared" ref="W793:W798" si="712">W792-1</f>
        <v>6</v>
      </c>
      <c r="Y793" s="16">
        <v>17</v>
      </c>
      <c r="Z793" s="16" t="str">
        <f t="shared" si="706"/>
        <v>Sol</v>
      </c>
      <c r="AA793" s="146" t="str">
        <f t="shared" si="707"/>
        <v>BRAT</v>
      </c>
      <c r="AC793" s="16" t="str">
        <f t="shared" si="708"/>
        <v>G</v>
      </c>
      <c r="AD793" s="419" t="str">
        <f t="shared" si="708"/>
        <v>Royal Sutton</v>
      </c>
      <c r="AE793" s="419">
        <f>IF(ISNA(MATCH(AC793,N791:N800,0)),0,VLOOKUP(AC793,N791:S800,5,FALSE))</f>
        <v>0</v>
      </c>
      <c r="AF793" s="419" t="str">
        <f>IF(ISNA(MATCH(AC793,T791:T800,0))," ",VLOOKUP(AC793,T791:Y800,5,FALSE))</f>
        <v xml:space="preserve"> </v>
      </c>
      <c r="AG793" s="419">
        <f>IF(ISNA(MATCH(AC793,L791:L798,0)),0,VLOOKUP(AC793,L791:N798,3,FALSE))</f>
        <v>28.2</v>
      </c>
      <c r="AH793" s="419">
        <f>IF(ISNA(MATCH(AC793,R791:R798,0)),0,VLOOKUP(AC793,R791:T798,3,FALSE))</f>
        <v>27.9</v>
      </c>
      <c r="AI793" s="419" t="str">
        <f>IF(ISNA(MATCH(AC793,L791:L798,0)),0,VLOOKUP(AC793,L791:P798,4,FALSE))</f>
        <v>G</v>
      </c>
      <c r="AJ793" s="419" t="str">
        <f>IF(ISNA(MATCH(AC793,R791:R798,0)),0,VLOOKUP(AC793,R791:U798,4,FALSE))</f>
        <v>GG</v>
      </c>
      <c r="AK793" s="32">
        <f t="shared" si="709"/>
        <v>2</v>
      </c>
      <c r="AL793" s="32">
        <f t="shared" si="710"/>
        <v>1</v>
      </c>
      <c r="AM793" s="32">
        <f>IF(ISNA(MATCH(AC793,L791:L798,0)),0,VLOOKUP(AC793,L791:W798,AM$1,FALSE))</f>
        <v>7</v>
      </c>
      <c r="AN793" s="146">
        <f>IF(ISNA(MATCH(AC793,R791:R798,0)),0,VLOOKUP(AC793,R791:W798,AN$1,FALSE))</f>
        <v>8</v>
      </c>
      <c r="AP793" s="927"/>
      <c r="AQ793" s="927"/>
    </row>
    <row r="794" spans="1:47" ht="15.6" x14ac:dyDescent="0.3">
      <c r="A794" s="417">
        <f t="shared" si="711"/>
        <v>714</v>
      </c>
      <c r="B794" s="362" t="str">
        <f>'Event Details'!D$25</f>
        <v>R</v>
      </c>
      <c r="C794" s="381" t="str">
        <f>'Event Details'!E$25</f>
        <v>Rugby &amp; N'hampton</v>
      </c>
      <c r="D794" s="379"/>
      <c r="E794" s="378"/>
      <c r="F794" s="363" t="str">
        <f>VLOOKUP($B790,IF($H790="F",TeamSheetFemale,TeamSheetMale),$Y794-1,FALSE)</f>
        <v>R</v>
      </c>
      <c r="G794" s="380" t="str">
        <f>VLOOKUP($B790,IF($H790="F",TeamSheetFemale,TeamSheetMale),$Y794,FALSE)</f>
        <v>Joe Walden</v>
      </c>
      <c r="H794" s="363" t="str">
        <f>VLOOKUP($B790,IF($H790="F",TeamSheetFemale,TeamSheetMale),$Y794+1,FALSE)</f>
        <v>RR</v>
      </c>
      <c r="I794" s="364" t="str">
        <f>VLOOKUP($B790,IF($H790="F",TeamSheetFemale,TeamSheetMale),$Y794+2,FALSE)</f>
        <v>Hugo Fernandez</v>
      </c>
      <c r="K794" s="341" t="s">
        <v>274</v>
      </c>
      <c r="L794" s="16" t="str">
        <f t="shared" si="704"/>
        <v>R</v>
      </c>
      <c r="M794" s="927" t="s">
        <v>118</v>
      </c>
      <c r="N794" s="927">
        <v>29</v>
      </c>
      <c r="O794" s="354" t="str">
        <f>IF(LEN($M794)=1,VLOOKUP(LEFT($M794,1),B791:I798,5,FALSE),IF(LEN($M794)=2,VLOOKUP(LEFT($M794,1),B791:I798,7,FALSE),""))</f>
        <v>R</v>
      </c>
      <c r="P794" s="410" t="str">
        <f>IF(LEN($M794)=1,VLOOKUP(LEFT($M794,1),B791:I798,6,FALSE),IF(LEN($M794)=2,VLOOKUP(LEFT($M794,1),B791:I798,8,FALSE),""))</f>
        <v>Joe Walden</v>
      </c>
      <c r="Q794" s="371" t="s">
        <v>274</v>
      </c>
      <c r="R794" s="146" t="str">
        <f t="shared" si="705"/>
        <v>D</v>
      </c>
      <c r="S794" s="927" t="s">
        <v>513</v>
      </c>
      <c r="T794" s="927">
        <v>30.5</v>
      </c>
      <c r="U794" s="354" t="str">
        <f>IF(LEN($S794)=1,VLOOKUP(LEFT($S794,1),B791:I798,5,FALSE),IF(LEN($S794)=2,VLOOKUP(LEFT($S794,1),B791:I798,7,FALSE),""))</f>
        <v>DD</v>
      </c>
      <c r="V794" s="410" t="str">
        <f>IF(LEN($S794)=1,VLOOKUP(LEFT($S794,1),B791:I798,6,FALSE),IF(LEN($S794)=2,VLOOKUP(LEFT($S794,1),B791:I798,8,FALSE),""))</f>
        <v>Jasper Hadley</v>
      </c>
      <c r="W794" s="417">
        <f t="shared" si="712"/>
        <v>5</v>
      </c>
      <c r="Y794" s="16">
        <v>22</v>
      </c>
      <c r="Z794" s="16" t="str">
        <f t="shared" si="706"/>
        <v>Rugby</v>
      </c>
      <c r="AA794" s="146" t="str">
        <f t="shared" si="707"/>
        <v>Strat</v>
      </c>
      <c r="AC794" s="16" t="str">
        <f t="shared" si="708"/>
        <v>R</v>
      </c>
      <c r="AD794" s="419" t="str">
        <f t="shared" si="708"/>
        <v>Rugby &amp; N'hampton</v>
      </c>
      <c r="AE794" s="419">
        <f>IF(ISNA(MATCH(AC794,N791:N800,0)),0,VLOOKUP(AC794,N791:S800,5,FALSE))</f>
        <v>0</v>
      </c>
      <c r="AF794" s="419" t="str">
        <f>IF(ISNA(MATCH(AC794,T791:T800,0))," ",VLOOKUP(AC794,T791:Y800,5,FALSE))</f>
        <v xml:space="preserve"> </v>
      </c>
      <c r="AG794" s="419">
        <f>IF(ISNA(MATCH(AC794,L791:L798,0)),0,VLOOKUP(AC794,L791:N798,3,FALSE))</f>
        <v>29</v>
      </c>
      <c r="AH794" s="419">
        <f>IF(ISNA(MATCH(AC794,R791:R798,0)),0,VLOOKUP(AC794,R791:T798,3,FALSE))</f>
        <v>30.7</v>
      </c>
      <c r="AI794" s="419" t="str">
        <f>IF(ISNA(MATCH(AC794,L791:L798,0)),0,VLOOKUP(AC794,L791:P798,4,FALSE))</f>
        <v>R</v>
      </c>
      <c r="AJ794" s="419" t="str">
        <f>IF(ISNA(MATCH(AC794,R791:R798,0)),0,VLOOKUP(AC794,R791:U798,4,FALSE))</f>
        <v>RR</v>
      </c>
      <c r="AK794" s="32">
        <f t="shared" si="709"/>
        <v>4</v>
      </c>
      <c r="AL794" s="32">
        <f t="shared" si="710"/>
        <v>5</v>
      </c>
      <c r="AM794" s="32">
        <f>IF(ISNA(MATCH(AC794,L791:L798,0)),0,VLOOKUP(AC794,L791:W798,AM$1,FALSE))</f>
        <v>5</v>
      </c>
      <c r="AN794" s="146">
        <f>IF(ISNA(MATCH(AC794,R791:R798,0)),0,VLOOKUP(AC794,R791:W798,AN$1,FALSE))</f>
        <v>4</v>
      </c>
      <c r="AP794" s="927"/>
      <c r="AQ794" s="927"/>
    </row>
    <row r="795" spans="1:47" ht="15.6" x14ac:dyDescent="0.3">
      <c r="A795" s="417">
        <f t="shared" si="711"/>
        <v>715</v>
      </c>
      <c r="B795" s="362" t="str">
        <f>'Event Details'!D$26</f>
        <v>M</v>
      </c>
      <c r="C795" s="381" t="str">
        <f>'Event Details'!E$26</f>
        <v>Solihull &amp; S.Heath</v>
      </c>
      <c r="D795" s="379"/>
      <c r="E795" s="378"/>
      <c r="F795" s="363" t="str">
        <f>VLOOKUP($B790,IF($H790="F",TeamSheetFemale,TeamSheetMale),$Y795-1,FALSE)</f>
        <v>M</v>
      </c>
      <c r="G795" s="380" t="str">
        <f>VLOOKUP($B790,IF($H790="F",TeamSheetFemale,TeamSheetMale),$Y795,FALSE)</f>
        <v>Joshua Baylis</v>
      </c>
      <c r="H795" s="363" t="str">
        <f>VLOOKUP($B790,IF($H790="F",TeamSheetFemale,TeamSheetMale),$Y795+1,FALSE)</f>
        <v>MM</v>
      </c>
      <c r="I795" s="364" t="str">
        <f>VLOOKUP($B790,IF($H790="F",TeamSheetFemale,TeamSheetMale),$Y795+2,FALSE)</f>
        <v>Jacob Austerberry</v>
      </c>
      <c r="K795" s="341" t="s">
        <v>275</v>
      </c>
      <c r="L795" s="16" t="str">
        <f t="shared" si="704"/>
        <v>S</v>
      </c>
      <c r="M795" s="927" t="s">
        <v>100</v>
      </c>
      <c r="N795" s="927">
        <v>30</v>
      </c>
      <c r="O795" s="354" t="str">
        <f>IF(LEN($M795)=1,VLOOKUP(LEFT($M795,1),B791:I798,5,FALSE),IF(LEN($M795)=2,VLOOKUP(LEFT($M795,1),B791:I798,7,FALSE),""))</f>
        <v>S</v>
      </c>
      <c r="P795" s="410" t="str">
        <f>IF(LEN($M795)=1,VLOOKUP(LEFT($M795,1),B791:I798,6,FALSE),IF(LEN($M795)=2,VLOOKUP(LEFT($M795,1),B791:I798,8,FALSE),""))</f>
        <v>Ethan Jatta</v>
      </c>
      <c r="Q795" s="371" t="s">
        <v>275</v>
      </c>
      <c r="R795" s="146" t="str">
        <f t="shared" si="705"/>
        <v>R</v>
      </c>
      <c r="S795" s="927" t="s">
        <v>819</v>
      </c>
      <c r="T795" s="927">
        <v>30.7</v>
      </c>
      <c r="U795" s="354" t="str">
        <f>IF(LEN($S795)=1,VLOOKUP(LEFT($S795,1),B791:I798,5,FALSE),IF(LEN($S795)=2,VLOOKUP(LEFT($S795,1),B791:I798,7,FALSE),""))</f>
        <v>RR</v>
      </c>
      <c r="V795" s="410" t="str">
        <f>IF(LEN($S795)=1,VLOOKUP(LEFT($S795,1),B791:I798,6,FALSE),IF(LEN($S795)=2,VLOOKUP(LEFT($S795,1),B791:I798,8,FALSE),""))</f>
        <v>Hugo Fernandez</v>
      </c>
      <c r="W795" s="417">
        <f t="shared" si="712"/>
        <v>4</v>
      </c>
      <c r="Y795" s="16">
        <v>27</v>
      </c>
      <c r="Z795" s="16" t="str">
        <f t="shared" si="706"/>
        <v>BRAT</v>
      </c>
      <c r="AA795" s="146" t="str">
        <f t="shared" si="707"/>
        <v>Rugby</v>
      </c>
      <c r="AC795" s="16" t="str">
        <f t="shared" si="708"/>
        <v>M</v>
      </c>
      <c r="AD795" s="419" t="str">
        <f t="shared" si="708"/>
        <v>Solihull &amp; S.Heath</v>
      </c>
      <c r="AE795" s="419">
        <f>IF(ISNA(MATCH(AC795,N791:N800,0)),0,VLOOKUP(AC795,N791:S800,5,FALSE))</f>
        <v>0</v>
      </c>
      <c r="AF795" s="419" t="str">
        <f>IF(ISNA(MATCH(AC795,T791:T800,0))," ",VLOOKUP(AC795,T791:Y800,5,FALSE))</f>
        <v xml:space="preserve"> </v>
      </c>
      <c r="AG795" s="419">
        <f>IF(ISNA(MATCH(AC795,L791:L798,0)),0,VLOOKUP(AC795,L791:N798,3,FALSE))</f>
        <v>29</v>
      </c>
      <c r="AH795" s="419">
        <f>IF(ISNA(MATCH(AC795,R791:R798,0)),0,VLOOKUP(AC795,R791:T798,3,FALSE))</f>
        <v>29.6</v>
      </c>
      <c r="AI795" s="419" t="str">
        <f>IF(ISNA(MATCH(AC795,L791:L798,0)),0,VLOOKUP(AC795,L791:P798,4,FALSE))</f>
        <v>M</v>
      </c>
      <c r="AJ795" s="419" t="str">
        <f>IF(ISNA(MATCH(AC795,R791:R798,0)),0,VLOOKUP(AC795,R791:U798,4,FALSE))</f>
        <v>MM</v>
      </c>
      <c r="AK795" s="32">
        <f t="shared" si="709"/>
        <v>3</v>
      </c>
      <c r="AL795" s="32">
        <f t="shared" si="710"/>
        <v>2</v>
      </c>
      <c r="AM795" s="32">
        <f>IF(ISNA(MATCH(AC795,L791:L798,0)),0,VLOOKUP(AC795,L791:W798,AM$1,FALSE))</f>
        <v>6</v>
      </c>
      <c r="AN795" s="146">
        <f>IF(ISNA(MATCH(AC795,R791:R798,0)),0,VLOOKUP(AC795,R791:W798,AN$1,FALSE))</f>
        <v>7</v>
      </c>
      <c r="AP795" s="927"/>
      <c r="AQ795" s="927"/>
    </row>
    <row r="796" spans="1:47" ht="15.6" x14ac:dyDescent="0.3">
      <c r="A796" s="417">
        <f t="shared" si="711"/>
        <v>716</v>
      </c>
      <c r="B796" s="362" t="str">
        <f>'Event Details'!D$27</f>
        <v>D</v>
      </c>
      <c r="C796" s="381" t="str">
        <f>'Event Details'!E$27</f>
        <v>Stratford</v>
      </c>
      <c r="D796" s="379"/>
      <c r="E796" s="378"/>
      <c r="F796" s="363" t="str">
        <f>VLOOKUP($B790,IF($H790="F",TeamSheetFemale,TeamSheetMale),$Y796-1,FALSE)</f>
        <v>D</v>
      </c>
      <c r="G796" s="380" t="str">
        <f>VLOOKUP($B790,IF($H790="F",TeamSheetFemale,TeamSheetMale),$Y796,FALSE)</f>
        <v>Fynn Allen</v>
      </c>
      <c r="H796" s="363" t="str">
        <f>VLOOKUP($B790,IF($H790="F",TeamSheetFemale,TeamSheetMale),$Y796+1,FALSE)</f>
        <v>DD</v>
      </c>
      <c r="I796" s="364" t="str">
        <f>VLOOKUP($B790,IF($H790="F",TeamSheetFemale,TeamSheetMale),$Y796+2,FALSE)</f>
        <v>Jasper Hadley</v>
      </c>
      <c r="K796" s="341" t="s">
        <v>276</v>
      </c>
      <c r="L796" s="16" t="str">
        <f t="shared" si="704"/>
        <v>U</v>
      </c>
      <c r="M796" s="927" t="s">
        <v>130</v>
      </c>
      <c r="N796" s="927">
        <v>31.4</v>
      </c>
      <c r="O796" s="354" t="str">
        <f>IF(LEN($M796)=1,VLOOKUP(LEFT($M796,1),B791:I798,5,FALSE),IF(LEN($M796)=2,VLOOKUP(LEFT($M796,1),B791:I798,7,FALSE),""))</f>
        <v>U</v>
      </c>
      <c r="P796" s="410" t="str">
        <f>IF(LEN($M796)=1,VLOOKUP(LEFT($M796,1),B791:I798,6,FALSE),IF(LEN($M796)=2,VLOOKUP(LEFT($M796,1),B791:I798,8,FALSE),""))</f>
        <v>Alexander Bird</v>
      </c>
      <c r="Q796" s="371" t="s">
        <v>276</v>
      </c>
      <c r="R796" s="146" t="str">
        <f t="shared" si="705"/>
        <v/>
      </c>
      <c r="S796" s="927"/>
      <c r="T796" s="927"/>
      <c r="U796" s="354" t="str">
        <f>IF(LEN($S796)=1,VLOOKUP(LEFT($S796,1),B791:I798,5,FALSE),IF(LEN($S796)=2,VLOOKUP(LEFT($S796,1),B791:I798,7,FALSE),""))</f>
        <v/>
      </c>
      <c r="V796" s="410" t="str">
        <f>IF(LEN($S796)=1,VLOOKUP(LEFT($S796,1),B791:I798,6,FALSE),IF(LEN($S796)=2,VLOOKUP(LEFT($S796,1),B791:I798,8,FALSE),""))</f>
        <v/>
      </c>
      <c r="W796" s="417">
        <f t="shared" si="712"/>
        <v>3</v>
      </c>
      <c r="Y796" s="16">
        <v>32</v>
      </c>
      <c r="Z796" s="16" t="str">
        <f t="shared" si="706"/>
        <v>K&amp;S</v>
      </c>
      <c r="AA796" s="146">
        <f t="shared" si="707"/>
        <v>0</v>
      </c>
      <c r="AC796" s="16" t="str">
        <f t="shared" si="708"/>
        <v>D</v>
      </c>
      <c r="AD796" s="419" t="str">
        <f t="shared" si="708"/>
        <v>Stratford</v>
      </c>
      <c r="AE796" s="419">
        <f>IF(ISNA(MATCH(AC796,N791:N800,0)),0,VLOOKUP(AC796,N791:S800,5,FALSE))</f>
        <v>0</v>
      </c>
      <c r="AF796" s="419" t="str">
        <f>IF(ISNA(MATCH(AC796,T791:T800,0))," ",VLOOKUP(AC796,T791:Y800,5,FALSE))</f>
        <v xml:space="preserve"> </v>
      </c>
      <c r="AG796" s="419">
        <f>IF(ISNA(MATCH(AC796,L791:L798,0)),0,VLOOKUP(AC796,L791:N798,3,FALSE))</f>
        <v>27.1</v>
      </c>
      <c r="AH796" s="419">
        <f>IF(ISNA(MATCH(AC796,R791:R798,0)),0,VLOOKUP(AC796,R791:T798,3,FALSE))</f>
        <v>30.5</v>
      </c>
      <c r="AI796" s="419" t="str">
        <f>IF(ISNA(MATCH(AC796,L791:L798,0)),0,VLOOKUP(AC796,L791:P798,4,FALSE))</f>
        <v>D</v>
      </c>
      <c r="AJ796" s="419" t="str">
        <f>IF(ISNA(MATCH(AC796,R791:R798,0)),0,VLOOKUP(AC796,R791:U798,4,FALSE))</f>
        <v>DD</v>
      </c>
      <c r="AK796" s="32">
        <f t="shared" si="709"/>
        <v>1</v>
      </c>
      <c r="AL796" s="32">
        <f t="shared" si="710"/>
        <v>4</v>
      </c>
      <c r="AM796" s="32">
        <f>IF(ISNA(MATCH(AC796,L791:L798,0)),0,VLOOKUP(AC796,L791:W798,AM$1,FALSE))</f>
        <v>8</v>
      </c>
      <c r="AN796" s="146">
        <f>IF(ISNA(MATCH(AC796,R791:R798,0)),0,VLOOKUP(AC796,R791:W798,AN$1,FALSE))</f>
        <v>5</v>
      </c>
      <c r="AP796" s="927"/>
      <c r="AQ796" s="927"/>
    </row>
    <row r="797" spans="1:47" ht="15.6" x14ac:dyDescent="0.3">
      <c r="A797" s="417">
        <f t="shared" si="711"/>
        <v>717</v>
      </c>
      <c r="B797" s="362" t="str">
        <f>'Event Details'!D$28</f>
        <v>F</v>
      </c>
      <c r="C797" s="381" t="str">
        <f>'Event Details'!E$28</f>
        <v>Tamworth</v>
      </c>
      <c r="D797" s="379"/>
      <c r="E797" s="378"/>
      <c r="F797" s="363" t="str">
        <f>VLOOKUP($B790,IF($H790="F",TeamSheetFemale,TeamSheetMale),$Y797-1,FALSE)</f>
        <v>F</v>
      </c>
      <c r="G797" s="380" t="str">
        <f>VLOOKUP($B790,IF($H790="F",TeamSheetFemale,TeamSheetMale),$Y797,FALSE)</f>
        <v>Elijah Brockway</v>
      </c>
      <c r="H797" s="363" t="str">
        <f>VLOOKUP($B790,IF($H790="F",TeamSheetFemale,TeamSheetMale),$Y797+1,FALSE)</f>
        <v>FF</v>
      </c>
      <c r="I797" s="364" t="str">
        <f>VLOOKUP($B790,IF($H790="F",TeamSheetFemale,TeamSheetMale),$Y797+2,FALSE)</f>
        <v>Alfie Kemp</v>
      </c>
      <c r="K797" s="341" t="s">
        <v>277</v>
      </c>
      <c r="L797" s="16" t="str">
        <f t="shared" si="704"/>
        <v>Y</v>
      </c>
      <c r="M797" s="927" t="s">
        <v>151</v>
      </c>
      <c r="N797" s="927">
        <v>32.299999999999997</v>
      </c>
      <c r="O797" s="354" t="str">
        <f>IF(LEN($M797)=1,VLOOKUP(LEFT($M797,1),B791:I798,5,FALSE),IF(LEN($M797)=2,VLOOKUP(LEFT($M797,1),B791:I798,7,FALSE),""))</f>
        <v>Y</v>
      </c>
      <c r="P797" s="410" t="str">
        <f>IF(LEN($M797)=1,VLOOKUP(LEFT($M797,1),B791:I798,6,FALSE),IF(LEN($M797)=2,VLOOKUP(LEFT($M797,1),B791:I798,8,FALSE),""))</f>
        <v>Rayan Faci</v>
      </c>
      <c r="Q797" s="371" t="s">
        <v>277</v>
      </c>
      <c r="R797" s="146" t="str">
        <f t="shared" si="705"/>
        <v/>
      </c>
      <c r="S797" s="927"/>
      <c r="T797" s="927"/>
      <c r="U797" s="354" t="str">
        <f>IF(LEN($S797)=1,VLOOKUP(LEFT($S797,1),B791:I798,5,FALSE),IF(LEN($S797)=2,VLOOKUP(LEFT($S797,1),B791:I798,7,FALSE),""))</f>
        <v/>
      </c>
      <c r="V797" s="410" t="str">
        <f>IF(LEN($S797)=1,VLOOKUP(LEFT($S797,1),B791:I798,6,FALSE),IF(LEN($S797)=2,VLOOKUP(LEFT($S797,1),B791:I798,8,FALSE),""))</f>
        <v/>
      </c>
      <c r="W797" s="417">
        <f t="shared" si="712"/>
        <v>2</v>
      </c>
      <c r="Y797" s="16">
        <v>37</v>
      </c>
      <c r="Z797" s="16" t="str">
        <f t="shared" si="706"/>
        <v>Worc</v>
      </c>
      <c r="AA797" s="146">
        <f t="shared" si="707"/>
        <v>0</v>
      </c>
      <c r="AC797" s="16" t="str">
        <f t="shared" si="708"/>
        <v>F</v>
      </c>
      <c r="AD797" s="419" t="str">
        <f t="shared" si="708"/>
        <v>Tamworth</v>
      </c>
      <c r="AE797" s="419">
        <f>IF(ISNA(MATCH(AC797,N789:N798,0)),0,VLOOKUP(AC797,N789:S798,5,FALSE))</f>
        <v>0</v>
      </c>
      <c r="AF797" s="419" t="str">
        <f>IF(ISNA(MATCH(AC797,T789:T798,0))," ",VLOOKUP(AC797,T789:Y798,5,FALSE))</f>
        <v xml:space="preserve"> </v>
      </c>
      <c r="AG797" s="419">
        <f>IF(ISNA(MATCH(AC797,L791:L798,0)),0,VLOOKUP(AC797,L791:N798,3,FALSE))</f>
        <v>39.1</v>
      </c>
      <c r="AH797" s="419">
        <f>IF(ISNA(MATCH(AC797,R791:R798,0)),0,VLOOKUP(AC797,R791:T798,3,FALSE))</f>
        <v>0</v>
      </c>
      <c r="AI797" s="419" t="str">
        <f>IF(ISNA(MATCH(AC797,L791:L798,0)),0,VLOOKUP(AC797,L791:P798,4,FALSE))</f>
        <v>FF</v>
      </c>
      <c r="AJ797" s="419">
        <f>IF(ISNA(MATCH(AC797,R791:R798,0)),0,VLOOKUP(AC797,R791:U798,4,FALSE))</f>
        <v>0</v>
      </c>
      <c r="AK797" s="32">
        <f t="shared" si="709"/>
        <v>8</v>
      </c>
      <c r="AL797" s="32">
        <f t="shared" si="710"/>
        <v>0</v>
      </c>
      <c r="AM797" s="32">
        <f>IF(ISNA(MATCH(AC797,L791:L798,0)),0,VLOOKUP(AC797,L791:W798,AM$1,FALSE))</f>
        <v>1</v>
      </c>
      <c r="AN797" s="146">
        <f>IF(ISNA(MATCH(AC797,R791:R798,0)),0,VLOOKUP(AC797,R791:W798,AN$1,FALSE))</f>
        <v>0</v>
      </c>
      <c r="AP797" s="927"/>
      <c r="AQ797" s="927"/>
    </row>
    <row r="798" spans="1:47" ht="16.2" thickBot="1" x14ac:dyDescent="0.35">
      <c r="A798" s="418">
        <f t="shared" si="711"/>
        <v>718</v>
      </c>
      <c r="B798" s="365" t="str">
        <f>'Event Details'!D$29</f>
        <v>Y</v>
      </c>
      <c r="C798" s="366" t="str">
        <f>'Event Details'!E$29</f>
        <v>Worcester</v>
      </c>
      <c r="D798" s="361"/>
      <c r="E798" s="370"/>
      <c r="F798" s="367" t="str">
        <f>VLOOKUP($B790,IF($H790="F",TeamSheetFemale,TeamSheetMale),$Y798-1,FALSE)</f>
        <v>Y</v>
      </c>
      <c r="G798" s="368" t="str">
        <f>VLOOKUP($B790,IF($H790="F",TeamSheetFemale,TeamSheetMale),$Y798,FALSE)</f>
        <v>Rayan Faci</v>
      </c>
      <c r="H798" s="367">
        <f>VLOOKUP($B790,IF($H790="F",TeamSheetFemale,TeamSheetMale),$Y798+1,FALSE)</f>
        <v>0</v>
      </c>
      <c r="I798" s="369">
        <f>VLOOKUP($B790,IF($H790="F",TeamSheetFemale,TeamSheetMale),$Y798+2,FALSE)</f>
        <v>0</v>
      </c>
      <c r="K798" s="346" t="s">
        <v>278</v>
      </c>
      <c r="L798" s="25" t="str">
        <f t="shared" si="704"/>
        <v>F</v>
      </c>
      <c r="M798" s="928" t="s">
        <v>576</v>
      </c>
      <c r="N798" s="932">
        <v>39.1</v>
      </c>
      <c r="O798" s="374" t="str">
        <f>IF(LEN($M798)=1,VLOOKUP(LEFT($M798,1),B791:I798,5,FALSE),IF(LEN($M798)=2,VLOOKUP(LEFT($M798,1),B791:I798,7,FALSE),""))</f>
        <v>FF</v>
      </c>
      <c r="P798" s="411" t="str">
        <f>IF(LEN($M798)=1,VLOOKUP(LEFT($M798,1),B791:I798,6,FALSE),IF(LEN($M798)=2,VLOOKUP(LEFT($M798,1),B791:I798,8,FALSE),""))</f>
        <v>Alfie Kemp</v>
      </c>
      <c r="Q798" s="407" t="s">
        <v>278</v>
      </c>
      <c r="R798" s="523" t="str">
        <f t="shared" si="705"/>
        <v/>
      </c>
      <c r="S798" s="928"/>
      <c r="T798" s="932"/>
      <c r="U798" s="374" t="str">
        <f>IF(LEN($S798)=1,VLOOKUP(LEFT($S798,1),B791:I798,5,FALSE),IF(LEN($S798)=2,VLOOKUP(LEFT($S798,1),B791:I798,7,FALSE),""))</f>
        <v/>
      </c>
      <c r="V798" s="411" t="str">
        <f>IF(LEN($S798)=1,VLOOKUP(LEFT($S798,1),B791:I798,6,FALSE),IF(LEN($S798)=2,VLOOKUP(LEFT($S798,1),B791:I798,8,FALSE),""))</f>
        <v/>
      </c>
      <c r="W798" s="418">
        <f t="shared" si="712"/>
        <v>1</v>
      </c>
      <c r="Y798" s="25">
        <v>42</v>
      </c>
      <c r="Z798" s="25" t="str">
        <f t="shared" si="706"/>
        <v>Tam</v>
      </c>
      <c r="AA798" s="523">
        <f t="shared" si="707"/>
        <v>0</v>
      </c>
      <c r="AC798" s="25" t="str">
        <f t="shared" si="708"/>
        <v>Y</v>
      </c>
      <c r="AD798" s="624" t="str">
        <f t="shared" si="708"/>
        <v>Worcester</v>
      </c>
      <c r="AE798" s="624">
        <f>IF(ISNA(MATCH(AC798,N790:N799,0)),0,VLOOKUP(AC798,N790:S799,5,FALSE))</f>
        <v>0</v>
      </c>
      <c r="AF798" s="624" t="str">
        <f t="shared" ref="AF798" si="713">IF(ISNA(MATCH(AC798,T790:T799,0))," ",VLOOKUP(AC798,T790:Y799,5,FALSE))</f>
        <v xml:space="preserve"> </v>
      </c>
      <c r="AG798" s="624">
        <f>IF(ISNA(MATCH(AC798,L791:L798,0)),0,VLOOKUP(AC798,L791:N798,3,FALSE))</f>
        <v>32.299999999999997</v>
      </c>
      <c r="AH798" s="624">
        <f>IF(ISNA(MATCH(AC798,R791:R798,0)),0,VLOOKUP(AC798,R791:T798,3,FALSE))</f>
        <v>0</v>
      </c>
      <c r="AI798" s="624" t="str">
        <f>IF(ISNA(MATCH(AC798,L791:L798,0)),0,VLOOKUP(AC798,L791:P798,4,FALSE))</f>
        <v>Y</v>
      </c>
      <c r="AJ798" s="624">
        <f>IF(ISNA(MATCH(AC798,R791:R798,0)),0,VLOOKUP(AC798,R791:U798,4,FALSE))</f>
        <v>0</v>
      </c>
      <c r="AK798" s="116">
        <f t="shared" si="709"/>
        <v>7</v>
      </c>
      <c r="AL798" s="116">
        <f t="shared" si="710"/>
        <v>0</v>
      </c>
      <c r="AM798" s="116">
        <f>IF(ISNA(MATCH(AC798,L791:L798,0)),0,VLOOKUP(AC798,L791:W798,AM$1,FALSE))</f>
        <v>2</v>
      </c>
      <c r="AN798" s="523">
        <f>IF(ISNA(MATCH(AC798,R791:R798,0)),0,VLOOKUP(AC798,R791:W798,AN$1,FALSE))</f>
        <v>0</v>
      </c>
      <c r="AP798" s="928"/>
      <c r="AQ798" s="932"/>
    </row>
    <row r="799" spans="1:47" ht="15" thickBot="1" x14ac:dyDescent="0.35">
      <c r="M799" s="276"/>
      <c r="N799" s="307"/>
      <c r="S799" s="276"/>
      <c r="T799" s="307"/>
      <c r="AP799" s="276"/>
      <c r="AQ799" s="307"/>
    </row>
    <row r="800" spans="1:47" x14ac:dyDescent="0.3">
      <c r="B800" s="400" t="s">
        <v>258</v>
      </c>
      <c r="C800" s="398"/>
      <c r="D800" s="401" t="s">
        <v>165</v>
      </c>
      <c r="E800" s="398"/>
      <c r="F800" s="398"/>
      <c r="G800" s="402" t="s">
        <v>259</v>
      </c>
      <c r="H800" s="403" t="s">
        <v>249</v>
      </c>
      <c r="I800" s="404" t="s">
        <v>168</v>
      </c>
      <c r="K800" s="360"/>
      <c r="L800" s="661"/>
      <c r="M800" s="929" t="s">
        <v>260</v>
      </c>
      <c r="N800" s="929" t="s">
        <v>261</v>
      </c>
      <c r="O800" s="387" t="s">
        <v>262</v>
      </c>
      <c r="P800" s="388" t="s">
        <v>75</v>
      </c>
      <c r="Q800" s="389"/>
      <c r="R800" s="657"/>
      <c r="S800" s="929" t="s">
        <v>260</v>
      </c>
      <c r="T800" s="929" t="s">
        <v>261</v>
      </c>
      <c r="U800" s="387" t="s">
        <v>262</v>
      </c>
      <c r="V800" s="388" t="s">
        <v>75</v>
      </c>
      <c r="W800" s="672" t="s">
        <v>76</v>
      </c>
      <c r="Y800" s="414" t="s">
        <v>263</v>
      </c>
      <c r="Z800" s="656" t="s">
        <v>74</v>
      </c>
      <c r="AA800" s="657" t="s">
        <v>75</v>
      </c>
      <c r="AC800" s="665" t="s">
        <v>71</v>
      </c>
      <c r="AD800" s="657" t="s">
        <v>86</v>
      </c>
      <c r="AE800" s="661" t="s">
        <v>149</v>
      </c>
      <c r="AF800" s="661" t="s">
        <v>94</v>
      </c>
      <c r="AG800" s="661" t="s">
        <v>149</v>
      </c>
      <c r="AH800" s="661" t="s">
        <v>94</v>
      </c>
      <c r="AI800" s="661" t="s">
        <v>149</v>
      </c>
      <c r="AJ800" s="661" t="s">
        <v>94</v>
      </c>
      <c r="AK800" s="1332" t="s">
        <v>149</v>
      </c>
      <c r="AL800" s="661" t="s">
        <v>94</v>
      </c>
      <c r="AM800" s="1406" t="s">
        <v>76</v>
      </c>
      <c r="AN800" s="1407"/>
      <c r="AP800" s="929" t="s">
        <v>260</v>
      </c>
      <c r="AQ800" s="929" t="s">
        <v>261</v>
      </c>
      <c r="AS800" s="1218" t="s">
        <v>165</v>
      </c>
      <c r="AT800" s="1219" t="s">
        <v>79</v>
      </c>
      <c r="AU800" s="1220" t="s">
        <v>80</v>
      </c>
    </row>
    <row r="801" spans="1:47" ht="15" thickBot="1" x14ac:dyDescent="0.35">
      <c r="B801" s="405">
        <v>72</v>
      </c>
      <c r="C801" s="399"/>
      <c r="D801" s="385" t="str">
        <f>VLOOKUP($B801,EventOrder,6,FALSE)</f>
        <v xml:space="preserve">200m </v>
      </c>
      <c r="E801" s="399"/>
      <c r="F801" s="385"/>
      <c r="G801" s="386" t="str">
        <f>VLOOKUP($B801,EventOrder,4,FALSE)</f>
        <v>U16 Male</v>
      </c>
      <c r="H801" s="396" t="str">
        <f>IF(MID(G801,5,1)="F","F","M")</f>
        <v>M</v>
      </c>
      <c r="I801" s="397">
        <f>VLOOKUP($B801,EventOrder,2,FALSE)</f>
        <v>4.25</v>
      </c>
      <c r="K801" s="377"/>
      <c r="L801" s="667" t="s">
        <v>149</v>
      </c>
      <c r="M801" s="930" t="s">
        <v>264</v>
      </c>
      <c r="N801" s="930" t="s">
        <v>265</v>
      </c>
      <c r="O801" s="390" t="s">
        <v>266</v>
      </c>
      <c r="P801" s="391"/>
      <c r="Q801" s="392"/>
      <c r="R801" s="659" t="s">
        <v>94</v>
      </c>
      <c r="S801" s="930" t="s">
        <v>264</v>
      </c>
      <c r="T801" s="930" t="s">
        <v>265</v>
      </c>
      <c r="U801" s="390" t="s">
        <v>266</v>
      </c>
      <c r="V801" s="391"/>
      <c r="W801" s="671"/>
      <c r="Y801" s="415" t="s">
        <v>167</v>
      </c>
      <c r="Z801" s="658" t="s">
        <v>149</v>
      </c>
      <c r="AA801" s="659" t="s">
        <v>94</v>
      </c>
      <c r="AC801" s="666"/>
      <c r="AD801" s="668"/>
      <c r="AE801" s="768" t="s">
        <v>75</v>
      </c>
      <c r="AF801" s="768" t="s">
        <v>75</v>
      </c>
      <c r="AG801" s="768" t="s">
        <v>267</v>
      </c>
      <c r="AH801" s="768" t="s">
        <v>267</v>
      </c>
      <c r="AI801" s="768" t="s">
        <v>268</v>
      </c>
      <c r="AJ801" s="768" t="s">
        <v>268</v>
      </c>
      <c r="AK801" s="770" t="s">
        <v>269</v>
      </c>
      <c r="AL801" s="768" t="s">
        <v>269</v>
      </c>
      <c r="AM801" s="667" t="s">
        <v>149</v>
      </c>
      <c r="AN801" s="659" t="s">
        <v>94</v>
      </c>
      <c r="AP801" s="930" t="s">
        <v>264</v>
      </c>
      <c r="AQ801" s="930" t="s">
        <v>265</v>
      </c>
      <c r="AS801" s="1221" t="s">
        <v>270</v>
      </c>
      <c r="AT801" s="1222" t="s">
        <v>270</v>
      </c>
      <c r="AU801" s="1223" t="s">
        <v>270</v>
      </c>
    </row>
    <row r="802" spans="1:47" ht="15.6" x14ac:dyDescent="0.3">
      <c r="A802" s="416">
        <f>(B801*10)+1</f>
        <v>721</v>
      </c>
      <c r="B802" s="362" t="str">
        <f>'Event Details'!D$22</f>
        <v>S</v>
      </c>
      <c r="C802" s="381" t="str">
        <f>'Event Details'!E$22</f>
        <v>BRAT</v>
      </c>
      <c r="D802" s="379"/>
      <c r="E802" s="378"/>
      <c r="F802" s="363" t="str">
        <f>VLOOKUP($B801,IF($H801="F",TeamSheetFemale,TeamSheetMale),$Y802-1,FALSE)</f>
        <v>S</v>
      </c>
      <c r="G802" s="380" t="str">
        <f>VLOOKUP($B801,IF($H801="F",TeamSheetFemale,TeamSheetMale),$Y802,FALSE)</f>
        <v>Dominic Francis-Gordon</v>
      </c>
      <c r="H802" s="363" t="str">
        <f>VLOOKUP($B801,IF($H801="F",TeamSheetFemale,TeamSheetMale),$Y802+1,FALSE)</f>
        <v>SS</v>
      </c>
      <c r="I802" s="364" t="str">
        <f>VLOOKUP($B801,IF($H801="F",TeamSheetFemale,TeamSheetMale),$Y802+2,FALSE)</f>
        <v xml:space="preserve">JAYARD VALERIO </v>
      </c>
      <c r="K802" s="393" t="s">
        <v>271</v>
      </c>
      <c r="L802" s="16" t="str">
        <f t="shared" ref="L802:L809" si="714">LEFT(M802,1)</f>
        <v>M</v>
      </c>
      <c r="M802" s="926" t="s">
        <v>127</v>
      </c>
      <c r="N802" s="926">
        <v>23.5</v>
      </c>
      <c r="O802" s="394" t="str">
        <f>IF(LEN($M802)=1,VLOOKUP(LEFT($M802,1),B802:I809,5,FALSE),IF(LEN($M802)=2,VLOOKUP(LEFT($M802,1),B802:I809,7,FALSE),""))</f>
        <v>M</v>
      </c>
      <c r="P802" s="395" t="str">
        <f>IF(LEN($M802)=1,VLOOKUP(LEFT($M802,1),B802:I809,6,FALSE),IF(LEN($M802)=2,VLOOKUP(LEFT($M802,1),B802:I809,8,FALSE),""))</f>
        <v>Charlie Hughes</v>
      </c>
      <c r="Q802" s="393" t="s">
        <v>271</v>
      </c>
      <c r="R802" s="146" t="str">
        <f t="shared" ref="R802:R809" si="715">LEFT(S802,1)</f>
        <v>S</v>
      </c>
      <c r="S802" s="926" t="s">
        <v>818</v>
      </c>
      <c r="T802" s="926">
        <v>24.9</v>
      </c>
      <c r="U802" s="394" t="str">
        <f>IF(LEN($S802)=1,VLOOKUP(LEFT($S802,1),B802:I809,5,FALSE),IF(LEN($S802)=2,VLOOKUP(LEFT($S802,1),B802:I809,7,FALSE),""))</f>
        <v>SS</v>
      </c>
      <c r="V802" s="395" t="str">
        <f>IF(LEN($S802)=1,VLOOKUP(LEFT($S802,1),B802:I809,6,FALSE),IF(LEN($S802)=2,VLOOKUP(LEFT($S802,1),B802:I809,8,FALSE),""))</f>
        <v xml:space="preserve">JAYARD VALERIO </v>
      </c>
      <c r="W802" s="417">
        <f>AN$6</f>
        <v>8</v>
      </c>
      <c r="Y802" s="416">
        <v>7</v>
      </c>
      <c r="Z802" s="653" t="str">
        <f t="shared" ref="Z802:Z809" si="716">IF(LEN(M802)&gt;0,VLOOKUP(LEFT(M802,1),ShortName,5,FALSE),0)</f>
        <v>Sol</v>
      </c>
      <c r="AA802" s="138" t="str">
        <f t="shared" ref="AA802:AA809" si="717">IF(LEN(S802)&gt;0,VLOOKUP(LEFT(S802,1),ShortName,5,FALSE),0)</f>
        <v>BRAT</v>
      </c>
      <c r="AC802" s="16" t="str">
        <f t="shared" ref="AC802:AD809" si="718">B802</f>
        <v>S</v>
      </c>
      <c r="AD802" s="419" t="str">
        <f t="shared" si="718"/>
        <v>BRAT</v>
      </c>
      <c r="AE802" s="635">
        <f>IF(ISNA(MATCH(AC802,N802:N811,0)),0,VLOOKUP(AC802,N802:S811,5,FALSE))</f>
        <v>0</v>
      </c>
      <c r="AF802" s="635" t="str">
        <f>IF(ISNA(MATCH(AC802,T802:T811,0))," ",VLOOKUP(AC802,T802:Y811,5,FALSE))</f>
        <v xml:space="preserve"> </v>
      </c>
      <c r="AG802" s="635">
        <f>IF(ISNA(MATCH(AC802,L802:L809,0)),0,VLOOKUP(AC802,L802:N809,3,FALSE))</f>
        <v>24.2</v>
      </c>
      <c r="AH802" s="635">
        <f>IF(ISNA(MATCH(AC802,R802:R809,0)),0,VLOOKUP(AC802,R802:T809,3,FALSE))</f>
        <v>24.9</v>
      </c>
      <c r="AI802" s="635" t="str">
        <f>IF(ISNA(MATCH(AC802,L802:L809,0)),0,VLOOKUP(AC802,L802:P809,4,FALSE))</f>
        <v>S</v>
      </c>
      <c r="AJ802" s="635" t="str">
        <f>IF(ISNA(MATCH(AC802,R802:R809,0)),0,VLOOKUP(AC802,R802:U809,4,FALSE))</f>
        <v>SS</v>
      </c>
      <c r="AK802" s="49">
        <f t="shared" ref="AK802:AK809" si="719">IF(AM802=0,0,AN$6-(AM802-1))</f>
        <v>2</v>
      </c>
      <c r="AL802" s="49">
        <f t="shared" ref="AL802:AL809" si="720">IF(AN802=0,0,AN$6-(AN802-1))</f>
        <v>1</v>
      </c>
      <c r="AM802" s="49">
        <f>IF(ISNA(MATCH(AC802,L802:L809,0)),0,VLOOKUP(AC802,L802:W809,AM$1,FALSE))</f>
        <v>7</v>
      </c>
      <c r="AN802" s="138">
        <f>IF(ISNA(MATCH(AC802,R802:R809,0)),0,VLOOKUP(AC802,R802:W809,AN$1,FALSE))</f>
        <v>8</v>
      </c>
      <c r="AP802" s="926"/>
      <c r="AQ802" s="926"/>
      <c r="AS802" s="32">
        <f>IF(LEN(N802)&gt;0,1,0)</f>
        <v>1</v>
      </c>
      <c r="AT802" s="32">
        <f>IF(AND(AS802=1,H801="M"),1,0)</f>
        <v>1</v>
      </c>
      <c r="AU802" s="32">
        <f>IF(AND(AS802=1,H801="F"),1,0)</f>
        <v>0</v>
      </c>
    </row>
    <row r="803" spans="1:47" ht="15.6" x14ac:dyDescent="0.3">
      <c r="A803" s="417">
        <f>A802+1</f>
        <v>722</v>
      </c>
      <c r="B803" s="362" t="str">
        <f>'Event Details'!D$23</f>
        <v>U</v>
      </c>
      <c r="C803" s="381" t="str">
        <f>'Event Details'!E$23</f>
        <v>Kidder &amp; Stourport</v>
      </c>
      <c r="D803" s="379"/>
      <c r="E803" s="378"/>
      <c r="F803" s="363">
        <f>VLOOKUP($B801,IF($H801="F",TeamSheetFemale,TeamSheetMale),$Y803-1,FALSE)</f>
        <v>0</v>
      </c>
      <c r="G803" s="380">
        <f>VLOOKUP($B801,IF($H801="F",TeamSheetFemale,TeamSheetMale),$Y803,FALSE)</f>
        <v>0</v>
      </c>
      <c r="H803" s="363">
        <f>VLOOKUP($B801,IF($H801="F",TeamSheetFemale,TeamSheetMale),$Y803+1,FALSE)</f>
        <v>0</v>
      </c>
      <c r="I803" s="364">
        <f>VLOOKUP($B801,IF($H801="F",TeamSheetFemale,TeamSheetMale),$Y803+2,FALSE)</f>
        <v>0</v>
      </c>
      <c r="K803" s="341" t="s">
        <v>272</v>
      </c>
      <c r="L803" s="16" t="str">
        <f t="shared" si="714"/>
        <v>S</v>
      </c>
      <c r="M803" s="927" t="s">
        <v>100</v>
      </c>
      <c r="N803" s="927">
        <v>24.2</v>
      </c>
      <c r="O803" s="353" t="str">
        <f>IF(LEN($M803)=1,VLOOKUP(LEFT($M803,1),B802:I809,5,FALSE),IF(LEN($M803)=2,VLOOKUP(LEFT($M803,1),B802:I809,7,FALSE),""))</f>
        <v>S</v>
      </c>
      <c r="P803" s="373" t="str">
        <f>IF(LEN($M803)=1,VLOOKUP(LEFT($M803,1),B802:I809,6,FALSE),IF(LEN($M803)=2,VLOOKUP(LEFT($M803,1),B802:I809,8,FALSE),""))</f>
        <v>Dominic Francis-Gordon</v>
      </c>
      <c r="Q803" s="341" t="s">
        <v>272</v>
      </c>
      <c r="R803" s="146" t="str">
        <f t="shared" si="715"/>
        <v>G</v>
      </c>
      <c r="S803" s="927" t="s">
        <v>820</v>
      </c>
      <c r="T803" s="927">
        <v>25</v>
      </c>
      <c r="U803" s="353" t="str">
        <f>IF(LEN($S803)=1,VLOOKUP(LEFT($S803,1),B802:I809,5,FALSE),IF(LEN($S803)=2,VLOOKUP(LEFT($S803,1),B802:I809,7,FALSE),""))</f>
        <v>GG</v>
      </c>
      <c r="V803" s="373" t="str">
        <f>IF(LEN($S803)=1,VLOOKUP(LEFT($S803,1),B802:I809,6,FALSE),IF(LEN($S803)=2,VLOOKUP(LEFT($S803,1),B802:I809,8,FALSE),""))</f>
        <v>Joseph Smith</v>
      </c>
      <c r="W803" s="417">
        <f>W802-1</f>
        <v>7</v>
      </c>
      <c r="Y803" s="417">
        <v>12</v>
      </c>
      <c r="Z803" s="16" t="str">
        <f t="shared" si="716"/>
        <v>BRAT</v>
      </c>
      <c r="AA803" s="146" t="str">
        <f t="shared" si="717"/>
        <v>Royal</v>
      </c>
      <c r="AC803" s="16" t="str">
        <f t="shared" si="718"/>
        <v>U</v>
      </c>
      <c r="AD803" s="419" t="str">
        <f t="shared" si="718"/>
        <v>Kidder &amp; Stourport</v>
      </c>
      <c r="AE803" s="419">
        <f>IF(ISNA(MATCH(AC803,N802:N811,0)),0,VLOOKUP(AC803,N802:S811,5,FALSE))</f>
        <v>0</v>
      </c>
      <c r="AF803" s="419" t="str">
        <f>IF(ISNA(MATCH(AC803,T802:T811,0))," ",VLOOKUP(AC803,T802:Y811,5,FALSE))</f>
        <v xml:space="preserve"> </v>
      </c>
      <c r="AG803" s="419">
        <f>IF(ISNA(MATCH(AC803,L802:L809,0)),0,VLOOKUP(AC803,L802:N809,3,FALSE))</f>
        <v>0</v>
      </c>
      <c r="AH803" s="419">
        <f>IF(ISNA(MATCH(AC803,R802:R809,0)),0,VLOOKUP(AC803,R802:T809,3,FALSE))</f>
        <v>0</v>
      </c>
      <c r="AI803" s="419">
        <f>IF(ISNA(MATCH(AC803,L802:L809,0)),0,VLOOKUP(AC803,L802:P809,4,FALSE))</f>
        <v>0</v>
      </c>
      <c r="AJ803" s="419">
        <f>IF(ISNA(MATCH(AC803,R802:R809,0)),0,VLOOKUP(AC803,R802:U809,4,FALSE))</f>
        <v>0</v>
      </c>
      <c r="AK803" s="32">
        <f t="shared" si="719"/>
        <v>0</v>
      </c>
      <c r="AL803" s="32">
        <f t="shared" si="720"/>
        <v>0</v>
      </c>
      <c r="AM803" s="32">
        <f>IF(ISNA(MATCH(AC803,L802:L809,0)),0,VLOOKUP(AC803,L802:W809,AM$1,FALSE))</f>
        <v>0</v>
      </c>
      <c r="AN803" s="146">
        <f>IF(ISNA(MATCH(AC803,R802:R809,0)),0,VLOOKUP(AC803,R802:W809,AN$1,FALSE))</f>
        <v>0</v>
      </c>
      <c r="AP803" s="927"/>
      <c r="AQ803" s="927"/>
    </row>
    <row r="804" spans="1:47" ht="15.6" x14ac:dyDescent="0.3">
      <c r="A804" s="417">
        <f t="shared" ref="A804:A809" si="721">A803+1</f>
        <v>723</v>
      </c>
      <c r="B804" s="362" t="str">
        <f>'Event Details'!D$24</f>
        <v>G</v>
      </c>
      <c r="C804" s="381" t="str">
        <f>'Event Details'!E$24</f>
        <v>Royal Sutton</v>
      </c>
      <c r="D804" s="379"/>
      <c r="E804" s="378"/>
      <c r="F804" s="363" t="str">
        <f>VLOOKUP($B801,IF($H801="F",TeamSheetFemale,TeamSheetMale),$Y804-1,FALSE)</f>
        <v>G</v>
      </c>
      <c r="G804" s="380" t="str">
        <f>VLOOKUP($B801,IF($H801="F",TeamSheetFemale,TeamSheetMale),$Y804,FALSE)</f>
        <v>Reuban Higgins</v>
      </c>
      <c r="H804" s="363" t="str">
        <f>VLOOKUP($B801,IF($H801="F",TeamSheetFemale,TeamSheetMale),$Y804+1,FALSE)</f>
        <v>GG</v>
      </c>
      <c r="I804" s="364" t="str">
        <f>VLOOKUP($B801,IF($H801="F",TeamSheetFemale,TeamSheetMale),$Y804+2,FALSE)</f>
        <v>Joseph Smith</v>
      </c>
      <c r="K804" s="341" t="s">
        <v>273</v>
      </c>
      <c r="L804" s="16" t="str">
        <f t="shared" si="714"/>
        <v>D</v>
      </c>
      <c r="M804" s="927" t="s">
        <v>136</v>
      </c>
      <c r="N804" s="927">
        <v>24.4</v>
      </c>
      <c r="O804" s="353" t="str">
        <f>IF(LEN($M804)=1,VLOOKUP(LEFT($M804,1),B802:I809,5,FALSE),IF(LEN($M804)=2,VLOOKUP(LEFT($M804,1),B802:I809,7,FALSE),""))</f>
        <v>D</v>
      </c>
      <c r="P804" s="373" t="str">
        <f>IF(LEN($M804)=1,VLOOKUP(LEFT($M804,1),B802:I809,6,FALSE),IF(LEN($M804)=2,VLOOKUP(LEFT($M804,1),B802:I809,8,FALSE),""))</f>
        <v>Zac Birch</v>
      </c>
      <c r="Q804" s="341" t="s">
        <v>273</v>
      </c>
      <c r="R804" s="146" t="str">
        <f t="shared" si="715"/>
        <v>D</v>
      </c>
      <c r="S804" s="927" t="s">
        <v>513</v>
      </c>
      <c r="T804" s="927">
        <v>25.6</v>
      </c>
      <c r="U804" s="353" t="str">
        <f>IF(LEN($S804)=1,VLOOKUP(LEFT($S804,1),B802:I809,5,FALSE),IF(LEN($S804)=2,VLOOKUP(LEFT($S804,1),B802:I809,7,FALSE),""))</f>
        <v>DD</v>
      </c>
      <c r="V804" s="373" t="str">
        <f>IF(LEN($S804)=1,VLOOKUP(LEFT($S804,1),B802:I809,6,FALSE),IF(LEN($S804)=2,VLOOKUP(LEFT($S804,1),B802:I809,8,FALSE),""))</f>
        <v xml:space="preserve">Jasper Cooper </v>
      </c>
      <c r="W804" s="417">
        <f t="shared" ref="W804:W809" si="722">W803-1</f>
        <v>6</v>
      </c>
      <c r="Y804" s="417">
        <v>17</v>
      </c>
      <c r="Z804" s="16" t="str">
        <f t="shared" si="716"/>
        <v>Strat</v>
      </c>
      <c r="AA804" s="146" t="str">
        <f t="shared" si="717"/>
        <v>Strat</v>
      </c>
      <c r="AB804" s="32"/>
      <c r="AC804" s="16" t="str">
        <f t="shared" si="718"/>
        <v>G</v>
      </c>
      <c r="AD804" s="419" t="str">
        <f t="shared" si="718"/>
        <v>Royal Sutton</v>
      </c>
      <c r="AE804" s="419">
        <f>IF(ISNA(MATCH(AC804,N802:N811,0)),0,VLOOKUP(AC804,N802:S811,5,FALSE))</f>
        <v>0</v>
      </c>
      <c r="AF804" s="419" t="str">
        <f>IF(ISNA(MATCH(AC804,T802:T811,0))," ",VLOOKUP(AC804,T802:Y811,5,FALSE))</f>
        <v xml:space="preserve"> </v>
      </c>
      <c r="AG804" s="419">
        <f>IF(ISNA(MATCH(AC804,L802:L809,0)),0,VLOOKUP(AC804,L802:N809,3,FALSE))</f>
        <v>25.4</v>
      </c>
      <c r="AH804" s="419">
        <f>IF(ISNA(MATCH(AC804,R802:R809,0)),0,VLOOKUP(AC804,R802:T809,3,FALSE))</f>
        <v>25</v>
      </c>
      <c r="AI804" s="419" t="str">
        <f>IF(ISNA(MATCH(AC804,L802:L809,0)),0,VLOOKUP(AC804,L802:P809,4,FALSE))</f>
        <v>G</v>
      </c>
      <c r="AJ804" s="419" t="str">
        <f>IF(ISNA(MATCH(AC804,R802:R809,0)),0,VLOOKUP(AC804,R802:U809,4,FALSE))</f>
        <v>GG</v>
      </c>
      <c r="AK804" s="32">
        <f t="shared" si="719"/>
        <v>5</v>
      </c>
      <c r="AL804" s="32">
        <f t="shared" si="720"/>
        <v>2</v>
      </c>
      <c r="AM804" s="32">
        <f>IF(ISNA(MATCH(AC804,L802:L809,0)),0,VLOOKUP(AC804,L802:W809,AM$1,FALSE))</f>
        <v>4</v>
      </c>
      <c r="AN804" s="146">
        <f>IF(ISNA(MATCH(AC804,R802:R809,0)),0,VLOOKUP(AC804,R802:W809,AN$1,FALSE))</f>
        <v>7</v>
      </c>
      <c r="AP804" s="927"/>
      <c r="AQ804" s="927"/>
    </row>
    <row r="805" spans="1:47" ht="15.6" x14ac:dyDescent="0.3">
      <c r="A805" s="417">
        <f t="shared" si="721"/>
        <v>724</v>
      </c>
      <c r="B805" s="362" t="str">
        <f>'Event Details'!D$25</f>
        <v>R</v>
      </c>
      <c r="C805" s="381" t="str">
        <f>'Event Details'!E$25</f>
        <v>Rugby &amp; N'hampton</v>
      </c>
      <c r="D805" s="379"/>
      <c r="E805" s="378"/>
      <c r="F805" s="363" t="str">
        <f>VLOOKUP($B801,IF($H801="F",TeamSheetFemale,TeamSheetMale),$Y805-1,FALSE)</f>
        <v>R</v>
      </c>
      <c r="G805" s="380" t="str">
        <f>VLOOKUP($B801,IF($H801="F",TeamSheetFemale,TeamSheetMale),$Y805,FALSE)</f>
        <v>Alfie Goodman</v>
      </c>
      <c r="H805" s="363" t="str">
        <f>VLOOKUP($B801,IF($H801="F",TeamSheetFemale,TeamSheetMale),$Y805+1,FALSE)</f>
        <v>RR</v>
      </c>
      <c r="I805" s="364" t="str">
        <f>VLOOKUP($B801,IF($H801="F",TeamSheetFemale,TeamSheetMale),$Y805+2,FALSE)</f>
        <v>Tyrell Fowles</v>
      </c>
      <c r="K805" s="341" t="s">
        <v>274</v>
      </c>
      <c r="L805" s="16" t="str">
        <f t="shared" si="714"/>
        <v>R</v>
      </c>
      <c r="M805" s="927" t="s">
        <v>118</v>
      </c>
      <c r="N805" s="927">
        <v>24.7</v>
      </c>
      <c r="O805" s="353" t="str">
        <f>IF(LEN($M805)=1,VLOOKUP(LEFT($M805,1),B802:I809,5,FALSE),IF(LEN($M805)=2,VLOOKUP(LEFT($M805,1),B802:I809,7,FALSE),""))</f>
        <v>R</v>
      </c>
      <c r="P805" s="373" t="str">
        <f>IF(LEN($M805)=1,VLOOKUP(LEFT($M805,1),B802:I809,6,FALSE),IF(LEN($M805)=2,VLOOKUP(LEFT($M805,1),B802:I809,8,FALSE),""))</f>
        <v>Alfie Goodman</v>
      </c>
      <c r="Q805" s="341" t="s">
        <v>274</v>
      </c>
      <c r="R805" s="146" t="str">
        <f t="shared" si="715"/>
        <v>R</v>
      </c>
      <c r="S805" s="927" t="s">
        <v>819</v>
      </c>
      <c r="T805" s="927">
        <v>25.6</v>
      </c>
      <c r="U805" s="353" t="str">
        <f>IF(LEN($S805)=1,VLOOKUP(LEFT($S805,1),B802:I809,5,FALSE),IF(LEN($S805)=2,VLOOKUP(LEFT($S805,1),B802:I809,7,FALSE),""))</f>
        <v>RR</v>
      </c>
      <c r="V805" s="373" t="str">
        <f>IF(LEN($S805)=1,VLOOKUP(LEFT($S805,1),B802:I809,6,FALSE),IF(LEN($S805)=2,VLOOKUP(LEFT($S805,1),B802:I809,8,FALSE),""))</f>
        <v>Tyrell Fowles</v>
      </c>
      <c r="W805" s="417">
        <f t="shared" si="722"/>
        <v>5</v>
      </c>
      <c r="Y805" s="417">
        <v>22</v>
      </c>
      <c r="Z805" s="16" t="str">
        <f t="shared" si="716"/>
        <v>Rugby</v>
      </c>
      <c r="AA805" s="146" t="str">
        <f t="shared" si="717"/>
        <v>Rugby</v>
      </c>
      <c r="AB805" s="32"/>
      <c r="AC805" s="16" t="str">
        <f t="shared" si="718"/>
        <v>R</v>
      </c>
      <c r="AD805" s="419" t="str">
        <f t="shared" si="718"/>
        <v>Rugby &amp; N'hampton</v>
      </c>
      <c r="AE805" s="419">
        <f>IF(ISNA(MATCH(AC805,N802:N811,0)),0,VLOOKUP(AC805,N802:S811,5,FALSE))</f>
        <v>0</v>
      </c>
      <c r="AF805" s="419" t="str">
        <f>IF(ISNA(MATCH(AC805,T802:T811,0))," ",VLOOKUP(AC805,T802:Y811,5,FALSE))</f>
        <v xml:space="preserve"> </v>
      </c>
      <c r="AG805" s="419">
        <f>IF(ISNA(MATCH(AC805,L802:L809,0)),0,VLOOKUP(AC805,L802:N809,3,FALSE))</f>
        <v>24.7</v>
      </c>
      <c r="AH805" s="419">
        <f>IF(ISNA(MATCH(AC805,R802:R809,0)),0,VLOOKUP(AC805,R802:T809,3,FALSE))</f>
        <v>25.6</v>
      </c>
      <c r="AI805" s="419" t="str">
        <f>IF(ISNA(MATCH(AC805,L802:L809,0)),0,VLOOKUP(AC805,L802:P809,4,FALSE))</f>
        <v>R</v>
      </c>
      <c r="AJ805" s="419" t="str">
        <f>IF(ISNA(MATCH(AC805,R802:R809,0)),0,VLOOKUP(AC805,R802:U809,4,FALSE))</f>
        <v>RR</v>
      </c>
      <c r="AK805" s="32">
        <f t="shared" si="719"/>
        <v>4</v>
      </c>
      <c r="AL805" s="32">
        <f t="shared" si="720"/>
        <v>4</v>
      </c>
      <c r="AM805" s="32">
        <f>IF(ISNA(MATCH(AC805,L802:L809,0)),0,VLOOKUP(AC805,L802:W809,AM$1,FALSE))</f>
        <v>5</v>
      </c>
      <c r="AN805" s="146">
        <f>IF(ISNA(MATCH(AC805,R802:R809,0)),0,VLOOKUP(AC805,R802:W809,AN$1,FALSE))</f>
        <v>5</v>
      </c>
      <c r="AP805" s="927"/>
      <c r="AQ805" s="927"/>
    </row>
    <row r="806" spans="1:47" ht="15.6" x14ac:dyDescent="0.3">
      <c r="A806" s="417">
        <f t="shared" si="721"/>
        <v>725</v>
      </c>
      <c r="B806" s="362" t="str">
        <f>'Event Details'!D$26</f>
        <v>M</v>
      </c>
      <c r="C806" s="381" t="str">
        <f>'Event Details'!E$26</f>
        <v>Solihull &amp; S.Heath</v>
      </c>
      <c r="D806" s="379"/>
      <c r="E806" s="378"/>
      <c r="F806" s="363" t="str">
        <f>VLOOKUP($B801,IF($H801="F",TeamSheetFemale,TeamSheetMale),$Y806-1,FALSE)</f>
        <v>M</v>
      </c>
      <c r="G806" s="380" t="str">
        <f>VLOOKUP($B801,IF($H801="F",TeamSheetFemale,TeamSheetMale),$Y806,FALSE)</f>
        <v>Charlie Hughes</v>
      </c>
      <c r="H806" s="363" t="str">
        <f>VLOOKUP($B801,IF($H801="F",TeamSheetFemale,TeamSheetMale),$Y806+1,FALSE)</f>
        <v>MM</v>
      </c>
      <c r="I806" s="364" t="str">
        <f>VLOOKUP($B801,IF($H801="F",TeamSheetFemale,TeamSheetMale),$Y806+2,FALSE)</f>
        <v>Jason Bedford</v>
      </c>
      <c r="K806" s="341" t="s">
        <v>275</v>
      </c>
      <c r="L806" s="16" t="str">
        <f t="shared" si="714"/>
        <v>G</v>
      </c>
      <c r="M806" s="927" t="s">
        <v>110</v>
      </c>
      <c r="N806" s="927">
        <v>25.4</v>
      </c>
      <c r="O806" s="353" t="str">
        <f>IF(LEN($M806)=1,VLOOKUP(LEFT($M806,1),B802:I809,5,FALSE),IF(LEN($M806)=2,VLOOKUP(LEFT($M806,1),B802:I809,7,FALSE),""))</f>
        <v>G</v>
      </c>
      <c r="P806" s="373" t="str">
        <f>IF(LEN($M806)=1,VLOOKUP(LEFT($M806,1),B802:I809,6,FALSE),IF(LEN($M806)=2,VLOOKUP(LEFT($M806,1),B802:I809,8,FALSE),""))</f>
        <v>Reuban Higgins</v>
      </c>
      <c r="Q806" s="341" t="s">
        <v>275</v>
      </c>
      <c r="R806" s="146" t="str">
        <f t="shared" si="715"/>
        <v>M</v>
      </c>
      <c r="S806" s="927" t="s">
        <v>821</v>
      </c>
      <c r="T806" s="927">
        <v>25.7</v>
      </c>
      <c r="U806" s="353" t="str">
        <f>IF(LEN($S806)=1,VLOOKUP(LEFT($S806,1),B802:I809,5,FALSE),IF(LEN($S806)=2,VLOOKUP(LEFT($S806,1),B802:I809,7,FALSE),""))</f>
        <v>MM</v>
      </c>
      <c r="V806" s="373" t="str">
        <f>IF(LEN($S806)=1,VLOOKUP(LEFT($S806,1),B802:I809,6,FALSE),IF(LEN($S806)=2,VLOOKUP(LEFT($S806,1),B802:I809,8,FALSE),""))</f>
        <v>Jason Bedford</v>
      </c>
      <c r="W806" s="417">
        <f t="shared" si="722"/>
        <v>4</v>
      </c>
      <c r="Y806" s="417">
        <v>27</v>
      </c>
      <c r="Z806" s="16" t="str">
        <f t="shared" si="716"/>
        <v>Royal</v>
      </c>
      <c r="AA806" s="146" t="str">
        <f t="shared" si="717"/>
        <v>Sol</v>
      </c>
      <c r="AB806" s="32"/>
      <c r="AC806" s="16" t="str">
        <f t="shared" si="718"/>
        <v>M</v>
      </c>
      <c r="AD806" s="419" t="str">
        <f t="shared" si="718"/>
        <v>Solihull &amp; S.Heath</v>
      </c>
      <c r="AE806" s="419">
        <f>IF(ISNA(MATCH(AC806,N802:N811,0)),0,VLOOKUP(AC806,N802:S811,5,FALSE))</f>
        <v>0</v>
      </c>
      <c r="AF806" s="419" t="str">
        <f>IF(ISNA(MATCH(AC806,T802:T811,0))," ",VLOOKUP(AC806,T802:Y811,5,FALSE))</f>
        <v xml:space="preserve"> </v>
      </c>
      <c r="AG806" s="419">
        <f>IF(ISNA(MATCH(AC806,L802:L809,0)),0,VLOOKUP(AC806,L802:N809,3,FALSE))</f>
        <v>23.5</v>
      </c>
      <c r="AH806" s="419">
        <f>IF(ISNA(MATCH(AC806,R802:R809,0)),0,VLOOKUP(AC806,R802:T809,3,FALSE))</f>
        <v>25.7</v>
      </c>
      <c r="AI806" s="419" t="str">
        <f>IF(ISNA(MATCH(AC806,L802:L809,0)),0,VLOOKUP(AC806,L802:P809,4,FALSE))</f>
        <v>M</v>
      </c>
      <c r="AJ806" s="419" t="str">
        <f>IF(ISNA(MATCH(AC806,R802:R809,0)),0,VLOOKUP(AC806,R802:U809,4,FALSE))</f>
        <v>MM</v>
      </c>
      <c r="AK806" s="32">
        <f t="shared" si="719"/>
        <v>1</v>
      </c>
      <c r="AL806" s="32">
        <f t="shared" si="720"/>
        <v>5</v>
      </c>
      <c r="AM806" s="32">
        <f>IF(ISNA(MATCH(AC806,L802:L809,0)),0,VLOOKUP(AC806,L802:W809,AM$1,FALSE))</f>
        <v>8</v>
      </c>
      <c r="AN806" s="146">
        <f>IF(ISNA(MATCH(AC806,R802:R809,0)),0,VLOOKUP(AC806,R802:W809,AN$1,FALSE))</f>
        <v>4</v>
      </c>
      <c r="AP806" s="927"/>
      <c r="AQ806" s="927"/>
    </row>
    <row r="807" spans="1:47" ht="15.6" x14ac:dyDescent="0.3">
      <c r="A807" s="417">
        <f t="shared" si="721"/>
        <v>726</v>
      </c>
      <c r="B807" s="362" t="str">
        <f>'Event Details'!D$27</f>
        <v>D</v>
      </c>
      <c r="C807" s="381" t="str">
        <f>'Event Details'!E$27</f>
        <v>Stratford</v>
      </c>
      <c r="D807" s="379"/>
      <c r="E807" s="378"/>
      <c r="F807" s="363" t="str">
        <f>VLOOKUP($B801,IF($H801="F",TeamSheetFemale,TeamSheetMale),$Y807-1,FALSE)</f>
        <v>D</v>
      </c>
      <c r="G807" s="380" t="str">
        <f>VLOOKUP($B801,IF($H801="F",TeamSheetFemale,TeamSheetMale),$Y807,FALSE)</f>
        <v>Zac Birch</v>
      </c>
      <c r="H807" s="363" t="str">
        <f>VLOOKUP($B801,IF($H801="F",TeamSheetFemale,TeamSheetMale),$Y807+1,FALSE)</f>
        <v>DD</v>
      </c>
      <c r="I807" s="364" t="str">
        <f>VLOOKUP($B801,IF($H801="F",TeamSheetFemale,TeamSheetMale),$Y807+2,FALSE)</f>
        <v xml:space="preserve">Jasper Cooper </v>
      </c>
      <c r="K807" s="341" t="s">
        <v>276</v>
      </c>
      <c r="L807" s="16" t="str">
        <f t="shared" si="714"/>
        <v>Y</v>
      </c>
      <c r="M807" s="927" t="s">
        <v>151</v>
      </c>
      <c r="N807" s="927">
        <v>25.7</v>
      </c>
      <c r="O807" s="353" t="str">
        <f>IF(LEN($M807)=1,VLOOKUP(LEFT($M807,1),B802:I809,5,FALSE),IF(LEN($M807)=2,VLOOKUP(LEFT($M807,1),B802:I809,7,FALSE),""))</f>
        <v>Y</v>
      </c>
      <c r="P807" s="373" t="str">
        <f>IF(LEN($M807)=1,VLOOKUP(LEFT($M807,1),B802:I809,6,FALSE),IF(LEN($M807)=2,VLOOKUP(LEFT($M807,1),B802:I809,8,FALSE),""))</f>
        <v>Oscar Farmer</v>
      </c>
      <c r="Q807" s="341" t="s">
        <v>276</v>
      </c>
      <c r="R807" s="146" t="str">
        <f t="shared" si="715"/>
        <v>F</v>
      </c>
      <c r="S807" s="927" t="s">
        <v>576</v>
      </c>
      <c r="T807" s="927">
        <v>26.3</v>
      </c>
      <c r="U807" s="353" t="str">
        <f>IF(LEN($S807)=1,VLOOKUP(LEFT($S807,1),B802:I809,5,FALSE),IF(LEN($S807)=2,VLOOKUP(LEFT($S807,1),B802:I809,7,FALSE),""))</f>
        <v>FF</v>
      </c>
      <c r="V807" s="373" t="str">
        <f>IF(LEN($S807)=1,VLOOKUP(LEFT($S807,1),B802:I809,6,FALSE),IF(LEN($S807)=2,VLOOKUP(LEFT($S807,1),B802:I809,8,FALSE),""))</f>
        <v>Lucas Lee</v>
      </c>
      <c r="W807" s="417">
        <f t="shared" si="722"/>
        <v>3</v>
      </c>
      <c r="Y807" s="417">
        <v>32</v>
      </c>
      <c r="Z807" s="16" t="str">
        <f t="shared" si="716"/>
        <v>Worc</v>
      </c>
      <c r="AA807" s="146" t="str">
        <f t="shared" si="717"/>
        <v>Tam</v>
      </c>
      <c r="AB807" s="32"/>
      <c r="AC807" s="16" t="str">
        <f t="shared" si="718"/>
        <v>D</v>
      </c>
      <c r="AD807" s="419" t="str">
        <f t="shared" si="718"/>
        <v>Stratford</v>
      </c>
      <c r="AE807" s="419">
        <f>IF(ISNA(MATCH(AC807,N802:N811,0)),0,VLOOKUP(AC807,N802:S811,5,FALSE))</f>
        <v>0</v>
      </c>
      <c r="AF807" s="419" t="str">
        <f>IF(ISNA(MATCH(AC807,T802:T811,0))," ",VLOOKUP(AC807,T802:Y811,5,FALSE))</f>
        <v xml:space="preserve"> </v>
      </c>
      <c r="AG807" s="419">
        <f>IF(ISNA(MATCH(AC807,L802:L809,0)),0,VLOOKUP(AC807,L802:N809,3,FALSE))</f>
        <v>24.4</v>
      </c>
      <c r="AH807" s="419">
        <f>IF(ISNA(MATCH(AC807,R802:R809,0)),0,VLOOKUP(AC807,R802:T809,3,FALSE))</f>
        <v>25.6</v>
      </c>
      <c r="AI807" s="419" t="str">
        <f>IF(ISNA(MATCH(AC807,L802:L809,0)),0,VLOOKUP(AC807,L802:P809,4,FALSE))</f>
        <v>D</v>
      </c>
      <c r="AJ807" s="419" t="str">
        <f>IF(ISNA(MATCH(AC807,R802:R809,0)),0,VLOOKUP(AC807,R802:U809,4,FALSE))</f>
        <v>DD</v>
      </c>
      <c r="AK807" s="32">
        <f t="shared" si="719"/>
        <v>3</v>
      </c>
      <c r="AL807" s="32">
        <f t="shared" si="720"/>
        <v>3</v>
      </c>
      <c r="AM807" s="32">
        <f>IF(ISNA(MATCH(AC807,L802:L809,0)),0,VLOOKUP(AC807,L802:W809,AM$1,FALSE))</f>
        <v>6</v>
      </c>
      <c r="AN807" s="146">
        <f>IF(ISNA(MATCH(AC807,R802:R809,0)),0,VLOOKUP(AC807,R802:W809,AN$1,FALSE))</f>
        <v>6</v>
      </c>
      <c r="AP807" s="927"/>
      <c r="AQ807" s="927"/>
    </row>
    <row r="808" spans="1:47" ht="15.6" x14ac:dyDescent="0.3">
      <c r="A808" s="417">
        <f t="shared" si="721"/>
        <v>727</v>
      </c>
      <c r="B808" s="362" t="str">
        <f>'Event Details'!D$28</f>
        <v>F</v>
      </c>
      <c r="C808" s="381" t="str">
        <f>'Event Details'!E$28</f>
        <v>Tamworth</v>
      </c>
      <c r="D808" s="379"/>
      <c r="E808" s="378"/>
      <c r="F808" s="363" t="str">
        <f>VLOOKUP($B801,IF($H801="F",TeamSheetFemale,TeamSheetMale),$Y808-1,FALSE)</f>
        <v>F</v>
      </c>
      <c r="G808" s="380" t="str">
        <f>VLOOKUP($B801,IF($H801="F",TeamSheetFemale,TeamSheetMale),$Y808,FALSE)</f>
        <v>Oscar Brehler</v>
      </c>
      <c r="H808" s="363" t="str">
        <f>VLOOKUP($B801,IF($H801="F",TeamSheetFemale,TeamSheetMale),$Y808+1,FALSE)</f>
        <v>FF</v>
      </c>
      <c r="I808" s="364" t="str">
        <f>VLOOKUP($B801,IF($H801="F",TeamSheetFemale,TeamSheetMale),$Y808+2,FALSE)</f>
        <v>Lucas Lee</v>
      </c>
      <c r="K808" s="341" t="s">
        <v>277</v>
      </c>
      <c r="L808" s="16" t="str">
        <f t="shared" si="714"/>
        <v>F</v>
      </c>
      <c r="M808" s="931" t="s">
        <v>142</v>
      </c>
      <c r="N808" s="927">
        <v>25.8</v>
      </c>
      <c r="O808" s="353" t="str">
        <f>IF(LEN($M808)=1,VLOOKUP(LEFT($M808,1),B802:I809,5,FALSE),IF(LEN($M808)=2,VLOOKUP(LEFT($M808,1),B802:I809,7,FALSE),""))</f>
        <v>F</v>
      </c>
      <c r="P808" s="373" t="str">
        <f>IF(LEN($M808)=1,VLOOKUP(LEFT($M808,1),B802:I809,6,FALSE),IF(LEN($M808)=2,VLOOKUP(LEFT($M808,1),B802:I809,8,FALSE),""))</f>
        <v>Oscar Brehler</v>
      </c>
      <c r="Q808" s="341" t="s">
        <v>277</v>
      </c>
      <c r="R808" s="146" t="str">
        <f t="shared" si="715"/>
        <v>Y</v>
      </c>
      <c r="S808" s="931" t="s">
        <v>822</v>
      </c>
      <c r="T808" s="927">
        <v>30.5</v>
      </c>
      <c r="U808" s="353" t="str">
        <f>IF(LEN($S808)=1,VLOOKUP(LEFT($S808,1),B802:I809,5,FALSE),IF(LEN($S808)=2,VLOOKUP(LEFT($S808,1),B802:I809,7,FALSE),""))</f>
        <v>YY</v>
      </c>
      <c r="V808" s="373" t="str">
        <f>IF(LEN($S808)=1,VLOOKUP(LEFT($S808,1),B802:I809,6,FALSE),IF(LEN($S808)=2,VLOOKUP(LEFT($S808,1),B802:I809,8,FALSE),""))</f>
        <v>Harry Groves</v>
      </c>
      <c r="W808" s="417">
        <f t="shared" si="722"/>
        <v>2</v>
      </c>
      <c r="Y808" s="417">
        <v>37</v>
      </c>
      <c r="Z808" s="16" t="str">
        <f t="shared" si="716"/>
        <v>Tam</v>
      </c>
      <c r="AA808" s="146" t="str">
        <f t="shared" si="717"/>
        <v>Worc</v>
      </c>
      <c r="AB808" s="32"/>
      <c r="AC808" s="16" t="str">
        <f t="shared" si="718"/>
        <v>F</v>
      </c>
      <c r="AD808" s="419" t="str">
        <f t="shared" si="718"/>
        <v>Tamworth</v>
      </c>
      <c r="AE808" s="419">
        <f>IF(ISNA(MATCH(AC808,N800:N809,0)),0,VLOOKUP(AC808,N800:S809,5,FALSE))</f>
        <v>0</v>
      </c>
      <c r="AF808" s="419" t="str">
        <f>IF(ISNA(MATCH(AC808,T800:T809,0))," ",VLOOKUP(AC808,T800:Y809,5,FALSE))</f>
        <v xml:space="preserve"> </v>
      </c>
      <c r="AG808" s="419">
        <f>IF(ISNA(MATCH(AC808,L802:L809,0)),0,VLOOKUP(AC808,L802:N809,3,FALSE))</f>
        <v>25.8</v>
      </c>
      <c r="AH808" s="419">
        <f>IF(ISNA(MATCH(AC808,R802:R809,0)),0,VLOOKUP(AC808,R802:T809,3,FALSE))</f>
        <v>26.3</v>
      </c>
      <c r="AI808" s="419" t="str">
        <f>IF(ISNA(MATCH(AC808,L802:L809,0)),0,VLOOKUP(AC808,L802:P809,4,FALSE))</f>
        <v>F</v>
      </c>
      <c r="AJ808" s="419" t="str">
        <f>IF(ISNA(MATCH(AC808,R802:R809,0)),0,VLOOKUP(AC808,R802:U809,4,FALSE))</f>
        <v>FF</v>
      </c>
      <c r="AK808" s="32">
        <f t="shared" si="719"/>
        <v>7</v>
      </c>
      <c r="AL808" s="32">
        <f t="shared" si="720"/>
        <v>6</v>
      </c>
      <c r="AM808" s="32">
        <f>IF(ISNA(MATCH(AC808,L802:L809,0)),0,VLOOKUP(AC808,L802:W809,AM$1,FALSE))</f>
        <v>2</v>
      </c>
      <c r="AN808" s="146">
        <f>IF(ISNA(MATCH(AC808,R802:R809,0)),0,VLOOKUP(AC808,R802:W809,AN$1,FALSE))</f>
        <v>3</v>
      </c>
      <c r="AP808" s="931"/>
      <c r="AQ808" s="927"/>
    </row>
    <row r="809" spans="1:47" ht="16.2" thickBot="1" x14ac:dyDescent="0.35">
      <c r="A809" s="418">
        <f t="shared" si="721"/>
        <v>728</v>
      </c>
      <c r="B809" s="365" t="str">
        <f>'Event Details'!D$29</f>
        <v>Y</v>
      </c>
      <c r="C809" s="366" t="str">
        <f>'Event Details'!E$29</f>
        <v>Worcester</v>
      </c>
      <c r="D809" s="361"/>
      <c r="E809" s="370"/>
      <c r="F809" s="367" t="str">
        <f>VLOOKUP($B801,IF($H801="F",TeamSheetFemale,TeamSheetMale),$Y809-1,FALSE)</f>
        <v>Y</v>
      </c>
      <c r="G809" s="368" t="str">
        <f>VLOOKUP($B801,IF($H801="F",TeamSheetFemale,TeamSheetMale),$Y809,FALSE)</f>
        <v>Oscar Farmer</v>
      </c>
      <c r="H809" s="367" t="str">
        <f>VLOOKUP($B801,IF($H801="F",TeamSheetFemale,TeamSheetMale),$Y809+1,FALSE)</f>
        <v>YY</v>
      </c>
      <c r="I809" s="369" t="str">
        <f>VLOOKUP($B801,IF($H801="F",TeamSheetFemale,TeamSheetMale),$Y809+2,FALSE)</f>
        <v>Harry Groves</v>
      </c>
      <c r="K809" s="346" t="s">
        <v>278</v>
      </c>
      <c r="L809" s="25" t="str">
        <f t="shared" si="714"/>
        <v/>
      </c>
      <c r="M809" s="928" t="s">
        <v>148</v>
      </c>
      <c r="N809" s="932"/>
      <c r="O809" s="375" t="str">
        <f>IF(LEN($M809)=1,VLOOKUP(LEFT($M809,1),B802:I809,5,FALSE),IF(LEN($M809)=2,VLOOKUP(LEFT($M809,1),B802:I809,7,FALSE),""))</f>
        <v/>
      </c>
      <c r="P809" s="376" t="str">
        <f>IF(LEN($M809)=1,VLOOKUP(LEFT($M809,1),B802:I809,6,FALSE),IF(LEN($M809)=2,VLOOKUP(LEFT($M809,1),B802:I809,8,FALSE),""))</f>
        <v/>
      </c>
      <c r="Q809" s="346" t="s">
        <v>278</v>
      </c>
      <c r="R809" s="523" t="str">
        <f t="shared" si="715"/>
        <v/>
      </c>
      <c r="S809" s="928" t="s">
        <v>148</v>
      </c>
      <c r="T809" s="932"/>
      <c r="U809" s="375" t="str">
        <f>IF(LEN($S809)=1,VLOOKUP(LEFT($S809,1),B802:I809,5,FALSE),IF(LEN($S809)=2,VLOOKUP(LEFT($S809,1),B802:I809,7,FALSE),""))</f>
        <v/>
      </c>
      <c r="V809" s="376" t="str">
        <f>IF(LEN($S809)=1,VLOOKUP(LEFT($S809,1),B802:I809,6,FALSE),IF(LEN($S809)=2,VLOOKUP(LEFT($S809,1),B802:I809,8,FALSE),""))</f>
        <v/>
      </c>
      <c r="W809" s="418">
        <f t="shared" si="722"/>
        <v>1</v>
      </c>
      <c r="Y809" s="418">
        <v>42</v>
      </c>
      <c r="Z809" s="25">
        <f t="shared" si="716"/>
        <v>0</v>
      </c>
      <c r="AA809" s="523">
        <f t="shared" si="717"/>
        <v>0</v>
      </c>
      <c r="AB809" s="32"/>
      <c r="AC809" s="25" t="str">
        <f t="shared" si="718"/>
        <v>Y</v>
      </c>
      <c r="AD809" s="624" t="str">
        <f t="shared" si="718"/>
        <v>Worcester</v>
      </c>
      <c r="AE809" s="624">
        <f>IF(ISNA(MATCH(AC809,N801:N810,0)),0,VLOOKUP(AC809,N801:S810,5,FALSE))</f>
        <v>0</v>
      </c>
      <c r="AF809" s="624" t="str">
        <f t="shared" ref="AF809" si="723">IF(ISNA(MATCH(AC809,T801:T810,0))," ",VLOOKUP(AC809,T801:Y810,5,FALSE))</f>
        <v xml:space="preserve"> </v>
      </c>
      <c r="AG809" s="624">
        <f>IF(ISNA(MATCH(AC809,L802:L809,0)),0,VLOOKUP(AC809,L802:N809,3,FALSE))</f>
        <v>25.7</v>
      </c>
      <c r="AH809" s="624">
        <f>IF(ISNA(MATCH(AC809,R802:R809,0)),0,VLOOKUP(AC809,R802:T809,3,FALSE))</f>
        <v>30.5</v>
      </c>
      <c r="AI809" s="624" t="str">
        <f>IF(ISNA(MATCH(AC809,L802:L809,0)),0,VLOOKUP(AC809,L802:P809,4,FALSE))</f>
        <v>Y</v>
      </c>
      <c r="AJ809" s="624" t="str">
        <f>IF(ISNA(MATCH(AC809,R802:R809,0)),0,VLOOKUP(AC809,R802:U809,4,FALSE))</f>
        <v>YY</v>
      </c>
      <c r="AK809" s="116">
        <f t="shared" si="719"/>
        <v>6</v>
      </c>
      <c r="AL809" s="116">
        <f t="shared" si="720"/>
        <v>7</v>
      </c>
      <c r="AM809" s="116">
        <f>IF(ISNA(MATCH(AC809,L802:L809,0)),0,VLOOKUP(AC809,L802:W809,AM$1,FALSE))</f>
        <v>3</v>
      </c>
      <c r="AN809" s="523">
        <f>IF(ISNA(MATCH(AC809,R802:R809,0)),0,VLOOKUP(AC809,R802:W809,AN$1,FALSE))</f>
        <v>2</v>
      </c>
      <c r="AP809" s="928" t="s">
        <v>148</v>
      </c>
      <c r="AQ809" s="932"/>
    </row>
    <row r="810" spans="1:47" ht="15" thickBot="1" x14ac:dyDescent="0.35">
      <c r="K810" s="1010"/>
      <c r="L810" s="1011"/>
      <c r="M810" s="276"/>
      <c r="N810" s="307"/>
      <c r="R810" s="1011"/>
      <c r="S810" s="276"/>
      <c r="T810" s="307"/>
      <c r="U810" s="1012"/>
      <c r="AP810" s="276"/>
      <c r="AQ810" s="307"/>
    </row>
    <row r="811" spans="1:47" x14ac:dyDescent="0.3">
      <c r="B811" s="400" t="s">
        <v>258</v>
      </c>
      <c r="C811" s="398"/>
      <c r="D811" s="401" t="s">
        <v>165</v>
      </c>
      <c r="E811" s="398"/>
      <c r="F811" s="398"/>
      <c r="G811" s="402" t="s">
        <v>259</v>
      </c>
      <c r="H811" s="403" t="s">
        <v>249</v>
      </c>
      <c r="I811" s="404" t="s">
        <v>168</v>
      </c>
      <c r="K811" s="360"/>
      <c r="L811" s="661"/>
      <c r="M811" s="387" t="s">
        <v>260</v>
      </c>
      <c r="N811" s="387" t="s">
        <v>261</v>
      </c>
      <c r="O811" s="387" t="s">
        <v>262</v>
      </c>
      <c r="P811" s="388" t="s">
        <v>75</v>
      </c>
      <c r="Q811" s="412"/>
      <c r="R811" s="657"/>
      <c r="S811" s="387" t="s">
        <v>260</v>
      </c>
      <c r="T811" s="387" t="s">
        <v>261</v>
      </c>
      <c r="U811" s="387" t="s">
        <v>262</v>
      </c>
      <c r="V811" s="388" t="s">
        <v>75</v>
      </c>
      <c r="W811" s="672" t="s">
        <v>76</v>
      </c>
      <c r="Y811" s="654" t="s">
        <v>263</v>
      </c>
      <c r="Z811" s="656" t="s">
        <v>74</v>
      </c>
      <c r="AA811" s="657" t="s">
        <v>75</v>
      </c>
      <c r="AC811" s="665" t="s">
        <v>71</v>
      </c>
      <c r="AD811" s="657" t="s">
        <v>86</v>
      </c>
      <c r="AE811" s="661" t="s">
        <v>149</v>
      </c>
      <c r="AF811" s="661" t="s">
        <v>94</v>
      </c>
      <c r="AG811" s="661" t="s">
        <v>149</v>
      </c>
      <c r="AH811" s="661" t="s">
        <v>94</v>
      </c>
      <c r="AI811" s="661" t="s">
        <v>149</v>
      </c>
      <c r="AJ811" s="661" t="s">
        <v>94</v>
      </c>
      <c r="AK811" s="1332" t="s">
        <v>149</v>
      </c>
      <c r="AL811" s="661" t="s">
        <v>94</v>
      </c>
      <c r="AM811" s="1406" t="s">
        <v>76</v>
      </c>
      <c r="AN811" s="1407"/>
      <c r="AP811" s="387" t="s">
        <v>260</v>
      </c>
      <c r="AQ811" s="387" t="s">
        <v>261</v>
      </c>
      <c r="AS811" s="1218" t="s">
        <v>165</v>
      </c>
      <c r="AT811" s="1219" t="s">
        <v>79</v>
      </c>
      <c r="AU811" s="1220" t="s">
        <v>80</v>
      </c>
    </row>
    <row r="812" spans="1:47" ht="15" thickBot="1" x14ac:dyDescent="0.35">
      <c r="B812" s="405">
        <v>73</v>
      </c>
      <c r="C812" s="399"/>
      <c r="D812" s="385" t="str">
        <f>VLOOKUP($B812,EventOrder,6,FALSE)</f>
        <v xml:space="preserve">Shot </v>
      </c>
      <c r="E812" s="399"/>
      <c r="F812" s="385"/>
      <c r="G812" s="386" t="str">
        <f>VLOOKUP($B812,EventOrder,4,FALSE)</f>
        <v>U16 Female</v>
      </c>
      <c r="H812" s="396" t="str">
        <f>IF(MID(G812,5,1)="F","F","M")</f>
        <v>F</v>
      </c>
      <c r="I812" s="397">
        <f>VLOOKUP($B812,EventOrder,2,FALSE)</f>
        <v>4.2</v>
      </c>
      <c r="K812" s="372"/>
      <c r="L812" s="667" t="s">
        <v>149</v>
      </c>
      <c r="M812" s="409" t="s">
        <v>264</v>
      </c>
      <c r="N812" s="409" t="s">
        <v>265</v>
      </c>
      <c r="O812" s="409" t="s">
        <v>266</v>
      </c>
      <c r="P812" s="408"/>
      <c r="Q812" s="413"/>
      <c r="R812" s="659" t="s">
        <v>94</v>
      </c>
      <c r="S812" s="409" t="s">
        <v>264</v>
      </c>
      <c r="T812" s="409" t="s">
        <v>265</v>
      </c>
      <c r="U812" s="409" t="s">
        <v>266</v>
      </c>
      <c r="V812" s="408"/>
      <c r="W812" s="671"/>
      <c r="Y812" s="655" t="s">
        <v>167</v>
      </c>
      <c r="Z812" s="658" t="s">
        <v>149</v>
      </c>
      <c r="AA812" s="659" t="s">
        <v>94</v>
      </c>
      <c r="AC812" s="666"/>
      <c r="AD812" s="668"/>
      <c r="AE812" s="768" t="s">
        <v>75</v>
      </c>
      <c r="AF812" s="768" t="s">
        <v>75</v>
      </c>
      <c r="AG812" s="768" t="s">
        <v>267</v>
      </c>
      <c r="AH812" s="768" t="s">
        <v>267</v>
      </c>
      <c r="AI812" s="768" t="s">
        <v>268</v>
      </c>
      <c r="AJ812" s="768" t="s">
        <v>268</v>
      </c>
      <c r="AK812" s="770" t="s">
        <v>269</v>
      </c>
      <c r="AL812" s="768" t="s">
        <v>269</v>
      </c>
      <c r="AM812" s="667" t="s">
        <v>149</v>
      </c>
      <c r="AN812" s="659" t="s">
        <v>94</v>
      </c>
      <c r="AP812" s="409" t="s">
        <v>264</v>
      </c>
      <c r="AQ812" s="409" t="s">
        <v>265</v>
      </c>
      <c r="AS812" s="1221" t="s">
        <v>270</v>
      </c>
      <c r="AT812" s="1222" t="s">
        <v>270</v>
      </c>
      <c r="AU812" s="1223" t="s">
        <v>270</v>
      </c>
    </row>
    <row r="813" spans="1:47" ht="15.6" x14ac:dyDescent="0.3">
      <c r="A813" s="416">
        <f>(B812*10)+1</f>
        <v>731</v>
      </c>
      <c r="B813" s="362" t="str">
        <f>'Event Details'!D$22</f>
        <v>S</v>
      </c>
      <c r="C813" s="381" t="str">
        <f>'Event Details'!E$22</f>
        <v>BRAT</v>
      </c>
      <c r="D813" s="379"/>
      <c r="E813" s="378"/>
      <c r="F813" s="363" t="str">
        <f>VLOOKUP($B812,IF($H812="F",TeamSheetFemale,TeamSheetMale),$Y813-1,FALSE)</f>
        <v>S</v>
      </c>
      <c r="G813" s="380" t="str">
        <f>VLOOKUP($B812,IF($H812="F",TeamSheetFemale,TeamSheetMale),$Y813,FALSE)</f>
        <v>Palia-Elsie Kalala</v>
      </c>
      <c r="H813" s="363" t="str">
        <f>VLOOKUP($B812,IF($H812="F",TeamSheetFemale,TeamSheetMale),$Y813+1,FALSE)</f>
        <v>SS</v>
      </c>
      <c r="I813" s="364" t="str">
        <f>VLOOKUP($B812,IF($H812="F",TeamSheetFemale,TeamSheetMale),$Y813+2,FALSE)</f>
        <v>Alisia Scarlett-Thomas</v>
      </c>
      <c r="K813" s="393" t="s">
        <v>271</v>
      </c>
      <c r="L813" s="16" t="str">
        <f t="shared" ref="L813:L820" si="724">LEFT(M813,1)</f>
        <v>S</v>
      </c>
      <c r="M813" s="926" t="s">
        <v>100</v>
      </c>
      <c r="N813" s="926">
        <v>8.42</v>
      </c>
      <c r="O813" s="394" t="str">
        <f>IF(LEN($M813)=1,VLOOKUP(LEFT($M813,1),B813:I820,5,FALSE),IF(LEN($M813)=2,VLOOKUP(LEFT($M813,1),B813:I820,7,FALSE),""))</f>
        <v>S</v>
      </c>
      <c r="P813" s="395" t="str">
        <f>IF(LEN($M813)=1,VLOOKUP(LEFT($M813,1),B813:I820,6,FALSE),IF(LEN($M813)=2,VLOOKUP(LEFT($M813,1),B813:I820,8,FALSE),""))</f>
        <v>Palia-Elsie Kalala</v>
      </c>
      <c r="Q813" s="406" t="s">
        <v>271</v>
      </c>
      <c r="R813" s="146" t="str">
        <f t="shared" ref="R813:R820" si="725">LEFT(S813,1)</f>
        <v>R</v>
      </c>
      <c r="S813" s="926" t="s">
        <v>819</v>
      </c>
      <c r="T813" s="926">
        <v>7.27</v>
      </c>
      <c r="U813" s="394" t="str">
        <f>IF(LEN($S813)=1,VLOOKUP(LEFT($S813,1),B813:I820,5,FALSE),IF(LEN($S813)=2,VLOOKUP(LEFT($S813,1),B813:I820,7,FALSE),""))</f>
        <v>RR</v>
      </c>
      <c r="V813" s="395" t="str">
        <f>IF(LEN($S813)=1,VLOOKUP(LEFT($S813,1),B813:I820,6,FALSE),IF(LEN($S813)=2,VLOOKUP(LEFT($S813,1),B813:I820,8,FALSE),""))</f>
        <v>Anya Haresign</v>
      </c>
      <c r="W813" s="417">
        <f>AN$6</f>
        <v>8</v>
      </c>
      <c r="Y813" s="653">
        <v>7</v>
      </c>
      <c r="Z813" s="653" t="str">
        <f t="shared" ref="Z813:Z820" si="726">IF(LEN(M813)&gt;0,VLOOKUP(LEFT(M813,1),ShortName,5,FALSE),0)</f>
        <v>BRAT</v>
      </c>
      <c r="AA813" s="138" t="str">
        <f t="shared" ref="AA813:AA820" si="727">IF(LEN(S813)&gt;0,VLOOKUP(LEFT(S813,1),ShortName,5,FALSE),0)</f>
        <v>Rugby</v>
      </c>
      <c r="AC813" s="16" t="str">
        <f t="shared" ref="AC813:AD820" si="728">B813</f>
        <v>S</v>
      </c>
      <c r="AD813" s="419" t="str">
        <f t="shared" si="728"/>
        <v>BRAT</v>
      </c>
      <c r="AE813" s="635">
        <f>IF(ISNA(MATCH(AC813,N813:N822,0)),0,VLOOKUP(AC813,N813:S822,5,FALSE))</f>
        <v>0</v>
      </c>
      <c r="AF813" s="635" t="str">
        <f>IF(ISNA(MATCH(AC813,T813:T822,0))," ",VLOOKUP(AC813,T813:Y822,5,FALSE))</f>
        <v xml:space="preserve"> </v>
      </c>
      <c r="AG813" s="635">
        <f>IF(ISNA(MATCH(AC813,L813:L820,0)),0,VLOOKUP(AC813,L813:N820,3,FALSE))</f>
        <v>8.42</v>
      </c>
      <c r="AH813" s="635">
        <f>IF(ISNA(MATCH(AC813,R813:R820,0)),0,VLOOKUP(AC813,R813:T820,3,FALSE))</f>
        <v>7.17</v>
      </c>
      <c r="AI813" s="635" t="str">
        <f>IF(ISNA(MATCH(AC813,L813:L820,0)),0,VLOOKUP(AC813,L813:P820,4,FALSE))</f>
        <v>S</v>
      </c>
      <c r="AJ813" s="635" t="str">
        <f>IF(ISNA(MATCH(AC813,R813:R820,0)),0,VLOOKUP(AC813,R813:U820,4,FALSE))</f>
        <v>SS</v>
      </c>
      <c r="AK813" s="49">
        <f t="shared" ref="AK813:AK820" si="729">IF(AM813=0,0,AN$6-(AM813-1))</f>
        <v>1</v>
      </c>
      <c r="AL813" s="49">
        <f t="shared" ref="AL813:AL820" si="730">IF(AN813=0,0,AN$6-(AN813-1))</f>
        <v>2</v>
      </c>
      <c r="AM813" s="49">
        <f>IF(ISNA(MATCH(AC813,L813:L820,0)),0,VLOOKUP(AC813,L813:W820,AM$1,FALSE))</f>
        <v>8</v>
      </c>
      <c r="AN813" s="138">
        <f>IF(ISNA(MATCH(AC813,R813:R820,0)),0,VLOOKUP(AC813,R813:W820,AN$1,FALSE))</f>
        <v>7</v>
      </c>
      <c r="AP813" s="926"/>
      <c r="AQ813" s="926"/>
      <c r="AS813" s="32">
        <f>IF(LEN(N813)&gt;0,1,0)</f>
        <v>1</v>
      </c>
      <c r="AT813" s="32">
        <f>IF(AND(AS813=1,H812="M"),1,0)</f>
        <v>0</v>
      </c>
      <c r="AU813" s="32">
        <f>IF(AND(AS813=1,H812="F"),1,0)</f>
        <v>1</v>
      </c>
    </row>
    <row r="814" spans="1:47" ht="15.6" x14ac:dyDescent="0.3">
      <c r="A814" s="417">
        <f>A813+1</f>
        <v>732</v>
      </c>
      <c r="B814" s="362" t="str">
        <f>'Event Details'!D$23</f>
        <v>U</v>
      </c>
      <c r="C814" s="381" t="str">
        <f>'Event Details'!E$23</f>
        <v>Kidder &amp; Stourport</v>
      </c>
      <c r="D814" s="379"/>
      <c r="E814" s="378"/>
      <c r="F814" s="363">
        <f>VLOOKUP($B812,IF($H812="F",TeamSheetFemale,TeamSheetMale),$Y814-1,FALSE)</f>
        <v>0</v>
      </c>
      <c r="G814" s="380">
        <f>VLOOKUP($B812,IF($H812="F",TeamSheetFemale,TeamSheetMale),$Y814,FALSE)</f>
        <v>0</v>
      </c>
      <c r="H814" s="363">
        <f>VLOOKUP($B812,IF($H812="F",TeamSheetFemale,TeamSheetMale),$Y814+1,FALSE)</f>
        <v>0</v>
      </c>
      <c r="I814" s="364">
        <f>VLOOKUP($B812,IF($H812="F",TeamSheetFemale,TeamSheetMale),$Y814+2,FALSE)</f>
        <v>0</v>
      </c>
      <c r="K814" s="341" t="s">
        <v>272</v>
      </c>
      <c r="L814" s="16" t="str">
        <f t="shared" si="724"/>
        <v>R</v>
      </c>
      <c r="M814" s="927" t="s">
        <v>118</v>
      </c>
      <c r="N814" s="927">
        <v>8.1</v>
      </c>
      <c r="O814" s="354" t="str">
        <f>IF(LEN($M814)=1,VLOOKUP(LEFT($M814,1),B813:I820,5,FALSE),IF(LEN($M814)=2,VLOOKUP(LEFT($M814,1),B813:I820,7,FALSE),""))</f>
        <v>R</v>
      </c>
      <c r="P814" s="410" t="str">
        <f>IF(LEN($M814)=1,VLOOKUP(LEFT($M814,1),B813:I820,6,FALSE),IF(LEN($M814)=2,VLOOKUP(LEFT($M814,1),B813:I820,8,FALSE),""))</f>
        <v>Amelia Rex</v>
      </c>
      <c r="Q814" s="371" t="s">
        <v>272</v>
      </c>
      <c r="R814" s="146" t="str">
        <f t="shared" si="725"/>
        <v>S</v>
      </c>
      <c r="S814" s="927" t="s">
        <v>818</v>
      </c>
      <c r="T814" s="927">
        <v>7.17</v>
      </c>
      <c r="U814" s="354" t="str">
        <f>IF(LEN($S814)=1,VLOOKUP(LEFT($S814,1),B813:I820,5,FALSE),IF(LEN($S814)=2,VLOOKUP(LEFT($S814,1),B813:I820,7,FALSE),""))</f>
        <v>SS</v>
      </c>
      <c r="V814" s="410" t="str">
        <f>IF(LEN($S814)=1,VLOOKUP(LEFT($S814,1),B813:I820,6,FALSE),IF(LEN($S814)=2,VLOOKUP(LEFT($S814,1),B813:I820,8,FALSE),""))</f>
        <v>Alisia Scarlett-Thomas</v>
      </c>
      <c r="W814" s="417">
        <f>W813-1</f>
        <v>7</v>
      </c>
      <c r="Y814" s="16">
        <v>12</v>
      </c>
      <c r="Z814" s="16" t="str">
        <f t="shared" si="726"/>
        <v>Rugby</v>
      </c>
      <c r="AA814" s="146" t="str">
        <f t="shared" si="727"/>
        <v>BRAT</v>
      </c>
      <c r="AC814" s="16" t="str">
        <f t="shared" si="728"/>
        <v>U</v>
      </c>
      <c r="AD814" s="419" t="str">
        <f t="shared" si="728"/>
        <v>Kidder &amp; Stourport</v>
      </c>
      <c r="AE814" s="419">
        <f>IF(ISNA(MATCH(AC814,N813:N822,0)),0,VLOOKUP(AC814,N813:S822,5,FALSE))</f>
        <v>0</v>
      </c>
      <c r="AF814" s="419" t="str">
        <f>IF(ISNA(MATCH(AC814,T813:T822,0))," ",VLOOKUP(AC814,T813:Y822,5,FALSE))</f>
        <v xml:space="preserve"> </v>
      </c>
      <c r="AG814" s="419">
        <f>IF(ISNA(MATCH(AC814,L813:L820,0)),0,VLOOKUP(AC814,L813:N820,3,FALSE))</f>
        <v>0</v>
      </c>
      <c r="AH814" s="419">
        <f>IF(ISNA(MATCH(AC814,R813:R820,0)),0,VLOOKUP(AC814,R813:T820,3,FALSE))</f>
        <v>0</v>
      </c>
      <c r="AI814" s="419">
        <f>IF(ISNA(MATCH(AC814,L813:L820,0)),0,VLOOKUP(AC814,L813:P820,4,FALSE))</f>
        <v>0</v>
      </c>
      <c r="AJ814" s="419">
        <f>IF(ISNA(MATCH(AC814,R813:R820,0)),0,VLOOKUP(AC814,R813:U820,4,FALSE))</f>
        <v>0</v>
      </c>
      <c r="AK814" s="32">
        <f t="shared" si="729"/>
        <v>0</v>
      </c>
      <c r="AL814" s="32">
        <f t="shared" si="730"/>
        <v>0</v>
      </c>
      <c r="AM814" s="32">
        <f>IF(ISNA(MATCH(AC814,L813:L820,0)),0,VLOOKUP(AC814,L813:W820,AM$1,FALSE))</f>
        <v>0</v>
      </c>
      <c r="AN814" s="146">
        <f>IF(ISNA(MATCH(AC814,R813:R820,0)),0,VLOOKUP(AC814,R813:W820,AN$1,FALSE))</f>
        <v>0</v>
      </c>
      <c r="AP814" s="927"/>
      <c r="AQ814" s="927"/>
    </row>
    <row r="815" spans="1:47" ht="15.6" x14ac:dyDescent="0.3">
      <c r="A815" s="417">
        <f t="shared" ref="A815:A820" si="731">A814+1</f>
        <v>733</v>
      </c>
      <c r="B815" s="362" t="str">
        <f>'Event Details'!D$24</f>
        <v>G</v>
      </c>
      <c r="C815" s="381" t="str">
        <f>'Event Details'!E$24</f>
        <v>Royal Sutton</v>
      </c>
      <c r="D815" s="379"/>
      <c r="E815" s="378"/>
      <c r="F815" s="363" t="str">
        <f>VLOOKUP($B812,IF($H812="F",TeamSheetFemale,TeamSheetMale),$Y815-1,FALSE)</f>
        <v>G</v>
      </c>
      <c r="G815" s="380" t="str">
        <f>VLOOKUP($B812,IF($H812="F",TeamSheetFemale,TeamSheetMale),$Y815,FALSE)</f>
        <v>Lucy Denver</v>
      </c>
      <c r="H815" s="363" t="str">
        <f>VLOOKUP($B812,IF($H812="F",TeamSheetFemale,TeamSheetMale),$Y815+1,FALSE)</f>
        <v>GG</v>
      </c>
      <c r="I815" s="364" t="str">
        <f>VLOOKUP($B812,IF($H812="F",TeamSheetFemale,TeamSheetMale),$Y815+2,FALSE)</f>
        <v>Zareen Ulhaq</v>
      </c>
      <c r="K815" s="341" t="s">
        <v>273</v>
      </c>
      <c r="L815" s="16" t="str">
        <f t="shared" si="724"/>
        <v>F</v>
      </c>
      <c r="M815" s="927" t="s">
        <v>142</v>
      </c>
      <c r="N815" s="927">
        <v>7.91</v>
      </c>
      <c r="O815" s="354" t="str">
        <f>IF(LEN($M815)=1,VLOOKUP(LEFT($M815,1),B813:I820,5,FALSE),IF(LEN($M815)=2,VLOOKUP(LEFT($M815,1),B813:I820,7,FALSE),""))</f>
        <v>F</v>
      </c>
      <c r="P815" s="410" t="str">
        <f>IF(LEN($M815)=1,VLOOKUP(LEFT($M815,1),B813:I820,6,FALSE),IF(LEN($M815)=2,VLOOKUP(LEFT($M815,1),B813:I820,8,FALSE),""))</f>
        <v>Tilly Farmer</v>
      </c>
      <c r="Q815" s="371" t="s">
        <v>273</v>
      </c>
      <c r="R815" s="146" t="str">
        <f t="shared" si="725"/>
        <v>F</v>
      </c>
      <c r="S815" s="927" t="s">
        <v>576</v>
      </c>
      <c r="T815" s="927">
        <v>6.96</v>
      </c>
      <c r="U815" s="354" t="str">
        <f>IF(LEN($S815)=1,VLOOKUP(LEFT($S815,1),B813:I820,5,FALSE),IF(LEN($S815)=2,VLOOKUP(LEFT($S815,1),B813:I820,7,FALSE),""))</f>
        <v>FF</v>
      </c>
      <c r="V815" s="410" t="str">
        <f>IF(LEN($S815)=1,VLOOKUP(LEFT($S815,1),B813:I820,6,FALSE),IF(LEN($S815)=2,VLOOKUP(LEFT($S815,1),B813:I820,8,FALSE),""))</f>
        <v>Tiarna Walls</v>
      </c>
      <c r="W815" s="417">
        <f t="shared" ref="W815:W820" si="732">W814-1</f>
        <v>6</v>
      </c>
      <c r="Y815" s="16">
        <v>17</v>
      </c>
      <c r="Z815" s="16" t="str">
        <f t="shared" si="726"/>
        <v>Tam</v>
      </c>
      <c r="AA815" s="146" t="str">
        <f t="shared" si="727"/>
        <v>Tam</v>
      </c>
      <c r="AC815" s="16" t="str">
        <f t="shared" si="728"/>
        <v>G</v>
      </c>
      <c r="AD815" s="419" t="str">
        <f t="shared" si="728"/>
        <v>Royal Sutton</v>
      </c>
      <c r="AE815" s="419">
        <f>IF(ISNA(MATCH(AC815,N813:N822,0)),0,VLOOKUP(AC815,N813:S822,5,FALSE))</f>
        <v>0</v>
      </c>
      <c r="AF815" s="419" t="str">
        <f>IF(ISNA(MATCH(AC815,T813:T822,0))," ",VLOOKUP(AC815,T813:Y822,5,FALSE))</f>
        <v xml:space="preserve"> </v>
      </c>
      <c r="AG815" s="419">
        <f>IF(ISNA(MATCH(AC815,L813:L820,0)),0,VLOOKUP(AC815,L813:N820,3,FALSE))</f>
        <v>6.62</v>
      </c>
      <c r="AH815" s="419">
        <f>IF(ISNA(MATCH(AC815,R813:R820,0)),0,VLOOKUP(AC815,R813:T820,3,FALSE))</f>
        <v>5.0999999999999996</v>
      </c>
      <c r="AI815" s="419" t="str">
        <f>IF(ISNA(MATCH(AC815,L813:L820,0)),0,VLOOKUP(AC815,L813:P820,4,FALSE))</f>
        <v>G</v>
      </c>
      <c r="AJ815" s="419" t="str">
        <f>IF(ISNA(MATCH(AC815,R813:R820,0)),0,VLOOKUP(AC815,R813:U820,4,FALSE))</f>
        <v>GG</v>
      </c>
      <c r="AK815" s="32">
        <f t="shared" si="729"/>
        <v>6</v>
      </c>
      <c r="AL815" s="32">
        <f t="shared" si="730"/>
        <v>6</v>
      </c>
      <c r="AM815" s="32">
        <f>IF(ISNA(MATCH(AC815,L813:L820,0)),0,VLOOKUP(AC815,L813:W820,AM$1,FALSE))</f>
        <v>3</v>
      </c>
      <c r="AN815" s="146">
        <f>IF(ISNA(MATCH(AC815,R813:R820,0)),0,VLOOKUP(AC815,R813:W820,AN$1,FALSE))</f>
        <v>3</v>
      </c>
      <c r="AP815" s="927"/>
      <c r="AQ815" s="927"/>
    </row>
    <row r="816" spans="1:47" ht="15.6" x14ac:dyDescent="0.3">
      <c r="A816" s="417">
        <f t="shared" si="731"/>
        <v>734</v>
      </c>
      <c r="B816" s="362" t="str">
        <f>'Event Details'!D$25</f>
        <v>R</v>
      </c>
      <c r="C816" s="381" t="str">
        <f>'Event Details'!E$25</f>
        <v>Rugby &amp; N'hampton</v>
      </c>
      <c r="D816" s="379"/>
      <c r="E816" s="378"/>
      <c r="F816" s="363" t="str">
        <f>VLOOKUP($B812,IF($H812="F",TeamSheetFemale,TeamSheetMale),$Y816-1,FALSE)</f>
        <v>R</v>
      </c>
      <c r="G816" s="380" t="str">
        <f>VLOOKUP($B812,IF($H812="F",TeamSheetFemale,TeamSheetMale),$Y816,FALSE)</f>
        <v>Amelia Rex</v>
      </c>
      <c r="H816" s="363" t="str">
        <f>VLOOKUP($B812,IF($H812="F",TeamSheetFemale,TeamSheetMale),$Y816+1,FALSE)</f>
        <v>RR</v>
      </c>
      <c r="I816" s="364" t="str">
        <f>VLOOKUP($B812,IF($H812="F",TeamSheetFemale,TeamSheetMale),$Y816+2,FALSE)</f>
        <v>Anya Haresign</v>
      </c>
      <c r="K816" s="341" t="s">
        <v>274</v>
      </c>
      <c r="L816" s="16" t="str">
        <f t="shared" si="724"/>
        <v>M</v>
      </c>
      <c r="M816" s="927" t="s">
        <v>821</v>
      </c>
      <c r="N816" s="927">
        <v>7.3</v>
      </c>
      <c r="O816" s="354" t="str">
        <f>IF(LEN($M816)=1,VLOOKUP(LEFT($M816,1),B813:I820,5,FALSE),IF(LEN($M816)=2,VLOOKUP(LEFT($M816,1),B813:I820,7,FALSE),""))</f>
        <v>MM</v>
      </c>
      <c r="P816" s="410" t="str">
        <f>IF(LEN($M816)=1,VLOOKUP(LEFT($M816,1),B813:I820,6,FALSE),IF(LEN($M816)=2,VLOOKUP(LEFT($M816,1),B813:I820,8,FALSE),""))</f>
        <v>Gabrielle Blake</v>
      </c>
      <c r="Q816" s="371" t="s">
        <v>274</v>
      </c>
      <c r="R816" s="146" t="str">
        <f t="shared" si="725"/>
        <v>M</v>
      </c>
      <c r="S816" s="927" t="s">
        <v>127</v>
      </c>
      <c r="T816" s="927">
        <v>6.81</v>
      </c>
      <c r="U816" s="354" t="str">
        <f>IF(LEN($S816)=1,VLOOKUP(LEFT($S816,1),B813:I820,5,FALSE),IF(LEN($S816)=2,VLOOKUP(LEFT($S816,1),B813:I820,7,FALSE),""))</f>
        <v>M</v>
      </c>
      <c r="V816" s="410" t="str">
        <f>IF(LEN($S816)=1,VLOOKUP(LEFT($S816,1),B813:I820,6,FALSE),IF(LEN($S816)=2,VLOOKUP(LEFT($S816,1),B813:I820,8,FALSE),""))</f>
        <v>Alexa Richards</v>
      </c>
      <c r="W816" s="417">
        <f t="shared" si="732"/>
        <v>5</v>
      </c>
      <c r="Y816" s="16">
        <v>22</v>
      </c>
      <c r="Z816" s="16" t="str">
        <f t="shared" si="726"/>
        <v>Sol</v>
      </c>
      <c r="AA816" s="146" t="str">
        <f t="shared" si="727"/>
        <v>Sol</v>
      </c>
      <c r="AC816" s="16" t="str">
        <f t="shared" si="728"/>
        <v>R</v>
      </c>
      <c r="AD816" s="419" t="str">
        <f t="shared" si="728"/>
        <v>Rugby &amp; N'hampton</v>
      </c>
      <c r="AE816" s="419">
        <f>IF(ISNA(MATCH(AC816,N813:N822,0)),0,VLOOKUP(AC816,N813:S822,5,FALSE))</f>
        <v>0</v>
      </c>
      <c r="AF816" s="419" t="str">
        <f>IF(ISNA(MATCH(AC816,T813:T822,0))," ",VLOOKUP(AC816,T813:Y822,5,FALSE))</f>
        <v xml:space="preserve"> </v>
      </c>
      <c r="AG816" s="419">
        <f>IF(ISNA(MATCH(AC816,L813:L820,0)),0,VLOOKUP(AC816,L813:N820,3,FALSE))</f>
        <v>8.1</v>
      </c>
      <c r="AH816" s="419">
        <f>IF(ISNA(MATCH(AC816,R813:R820,0)),0,VLOOKUP(AC816,R813:T820,3,FALSE))</f>
        <v>7.27</v>
      </c>
      <c r="AI816" s="419" t="str">
        <f>IF(ISNA(MATCH(AC816,L813:L820,0)),0,VLOOKUP(AC816,L813:P820,4,FALSE))</f>
        <v>R</v>
      </c>
      <c r="AJ816" s="419" t="str">
        <f>IF(ISNA(MATCH(AC816,R813:R820,0)),0,VLOOKUP(AC816,R813:U820,4,FALSE))</f>
        <v>RR</v>
      </c>
      <c r="AK816" s="32">
        <f t="shared" si="729"/>
        <v>2</v>
      </c>
      <c r="AL816" s="32">
        <f t="shared" si="730"/>
        <v>1</v>
      </c>
      <c r="AM816" s="32">
        <f>IF(ISNA(MATCH(AC816,L813:L820,0)),0,VLOOKUP(AC816,L813:W820,AM$1,FALSE))</f>
        <v>7</v>
      </c>
      <c r="AN816" s="146">
        <f>IF(ISNA(MATCH(AC816,R813:R820,0)),0,VLOOKUP(AC816,R813:W820,AN$1,FALSE))</f>
        <v>8</v>
      </c>
      <c r="AP816" s="927"/>
      <c r="AQ816" s="927"/>
    </row>
    <row r="817" spans="1:47" ht="15.6" x14ac:dyDescent="0.3">
      <c r="A817" s="417">
        <f t="shared" si="731"/>
        <v>735</v>
      </c>
      <c r="B817" s="362" t="str">
        <f>'Event Details'!D$26</f>
        <v>M</v>
      </c>
      <c r="C817" s="381" t="str">
        <f>'Event Details'!E$26</f>
        <v>Solihull &amp; S.Heath</v>
      </c>
      <c r="D817" s="379"/>
      <c r="E817" s="378"/>
      <c r="F817" s="363" t="str">
        <f>VLOOKUP($B812,IF($H812="F",TeamSheetFemale,TeamSheetMale),$Y817-1,FALSE)</f>
        <v>M</v>
      </c>
      <c r="G817" s="380" t="str">
        <f>VLOOKUP($B812,IF($H812="F",TeamSheetFemale,TeamSheetMale),$Y817,FALSE)</f>
        <v>Alexa Richards</v>
      </c>
      <c r="H817" s="363" t="str">
        <f>VLOOKUP($B812,IF($H812="F",TeamSheetFemale,TeamSheetMale),$Y817+1,FALSE)</f>
        <v>MM</v>
      </c>
      <c r="I817" s="364" t="str">
        <f>VLOOKUP($B812,IF($H812="F",TeamSheetFemale,TeamSheetMale),$Y817+2,FALSE)</f>
        <v>Gabrielle Blake</v>
      </c>
      <c r="K817" s="341" t="s">
        <v>275</v>
      </c>
      <c r="L817" s="16" t="str">
        <f t="shared" si="724"/>
        <v>D</v>
      </c>
      <c r="M817" s="927" t="s">
        <v>136</v>
      </c>
      <c r="N817" s="927">
        <v>7.13</v>
      </c>
      <c r="O817" s="354" t="str">
        <f>IF(LEN($M817)=1,VLOOKUP(LEFT($M817,1),B813:I820,5,FALSE),IF(LEN($M817)=2,VLOOKUP(LEFT($M817,1),B813:I820,7,FALSE),""))</f>
        <v>D</v>
      </c>
      <c r="P817" s="410" t="str">
        <f>IF(LEN($M817)=1,VLOOKUP(LEFT($M817,1),B813:I820,6,FALSE),IF(LEN($M817)=2,VLOOKUP(LEFT($M817,1),B813:I820,8,FALSE),""))</f>
        <v>Isabella Marriot</v>
      </c>
      <c r="Q817" s="371" t="s">
        <v>275</v>
      </c>
      <c r="R817" s="146" t="str">
        <f t="shared" si="725"/>
        <v>D</v>
      </c>
      <c r="S817" s="927" t="s">
        <v>513</v>
      </c>
      <c r="T817" s="927">
        <v>5.92</v>
      </c>
      <c r="U817" s="354" t="str">
        <f>IF(LEN($S817)=1,VLOOKUP(LEFT($S817,1),B813:I820,5,FALSE),IF(LEN($S817)=2,VLOOKUP(LEFT($S817,1),B813:I820,7,FALSE),""))</f>
        <v>DD</v>
      </c>
      <c r="V817" s="410" t="str">
        <f>IF(LEN($S817)=1,VLOOKUP(LEFT($S817,1),B813:I820,6,FALSE),IF(LEN($S817)=2,VLOOKUP(LEFT($S817,1),B813:I820,8,FALSE),""))</f>
        <v>Lucia Ogilvie-Putt</v>
      </c>
      <c r="W817" s="417">
        <f t="shared" si="732"/>
        <v>4</v>
      </c>
      <c r="Y817" s="16">
        <v>27</v>
      </c>
      <c r="Z817" s="16" t="str">
        <f t="shared" si="726"/>
        <v>Strat</v>
      </c>
      <c r="AA817" s="146" t="str">
        <f t="shared" si="727"/>
        <v>Strat</v>
      </c>
      <c r="AC817" s="16" t="str">
        <f t="shared" si="728"/>
        <v>M</v>
      </c>
      <c r="AD817" s="419" t="str">
        <f t="shared" si="728"/>
        <v>Solihull &amp; S.Heath</v>
      </c>
      <c r="AE817" s="419">
        <f>IF(ISNA(MATCH(AC817,N813:N822,0)),0,VLOOKUP(AC817,N813:S822,5,FALSE))</f>
        <v>0</v>
      </c>
      <c r="AF817" s="419" t="str">
        <f>IF(ISNA(MATCH(AC817,T813:T822,0))," ",VLOOKUP(AC817,T813:Y822,5,FALSE))</f>
        <v xml:space="preserve"> </v>
      </c>
      <c r="AG817" s="419">
        <f>IF(ISNA(MATCH(AC817,L813:L820,0)),0,VLOOKUP(AC817,L813:N820,3,FALSE))</f>
        <v>7.3</v>
      </c>
      <c r="AH817" s="419">
        <f>IF(ISNA(MATCH(AC817,R813:R820,0)),0,VLOOKUP(AC817,R813:T820,3,FALSE))</f>
        <v>6.81</v>
      </c>
      <c r="AI817" s="419" t="str">
        <f>IF(ISNA(MATCH(AC817,L813:L820,0)),0,VLOOKUP(AC817,L813:P820,4,FALSE))</f>
        <v>MM</v>
      </c>
      <c r="AJ817" s="419" t="str">
        <f>IF(ISNA(MATCH(AC817,R813:R820,0)),0,VLOOKUP(AC817,R813:U820,4,FALSE))</f>
        <v>M</v>
      </c>
      <c r="AK817" s="32">
        <f t="shared" si="729"/>
        <v>4</v>
      </c>
      <c r="AL817" s="32">
        <f t="shared" si="730"/>
        <v>4</v>
      </c>
      <c r="AM817" s="32">
        <f>IF(ISNA(MATCH(AC817,L813:L820,0)),0,VLOOKUP(AC817,L813:W820,AM$1,FALSE))</f>
        <v>5</v>
      </c>
      <c r="AN817" s="146">
        <f>IF(ISNA(MATCH(AC817,R813:R820,0)),0,VLOOKUP(AC817,R813:W820,AN$1,FALSE))</f>
        <v>5</v>
      </c>
      <c r="AP817" s="927"/>
      <c r="AQ817" s="927"/>
    </row>
    <row r="818" spans="1:47" ht="15.6" x14ac:dyDescent="0.3">
      <c r="A818" s="417">
        <f t="shared" si="731"/>
        <v>736</v>
      </c>
      <c r="B818" s="362" t="str">
        <f>'Event Details'!D$27</f>
        <v>D</v>
      </c>
      <c r="C818" s="381" t="str">
        <f>'Event Details'!E$27</f>
        <v>Stratford</v>
      </c>
      <c r="D818" s="379"/>
      <c r="E818" s="378"/>
      <c r="F818" s="363" t="str">
        <f>VLOOKUP($B812,IF($H812="F",TeamSheetFemale,TeamSheetMale),$Y818-1,FALSE)</f>
        <v>D</v>
      </c>
      <c r="G818" s="380" t="str">
        <f>VLOOKUP($B812,IF($H812="F",TeamSheetFemale,TeamSheetMale),$Y818,FALSE)</f>
        <v>Isabella Marriot</v>
      </c>
      <c r="H818" s="363" t="str">
        <f>VLOOKUP($B812,IF($H812="F",TeamSheetFemale,TeamSheetMale),$Y818+1,FALSE)</f>
        <v>DD</v>
      </c>
      <c r="I818" s="364" t="str">
        <f>VLOOKUP($B812,IF($H812="F",TeamSheetFemale,TeamSheetMale),$Y818+2,FALSE)</f>
        <v>Lucia Ogilvie-Putt</v>
      </c>
      <c r="K818" s="341" t="s">
        <v>276</v>
      </c>
      <c r="L818" s="16" t="str">
        <f t="shared" si="724"/>
        <v>G</v>
      </c>
      <c r="M818" s="927" t="s">
        <v>110</v>
      </c>
      <c r="N818" s="927">
        <v>6.62</v>
      </c>
      <c r="O818" s="354" t="str">
        <f>IF(LEN($M818)=1,VLOOKUP(LEFT($M818,1),B813:I820,5,FALSE),IF(LEN($M818)=2,VLOOKUP(LEFT($M818,1),B813:I820,7,FALSE),""))</f>
        <v>G</v>
      </c>
      <c r="P818" s="410" t="str">
        <f>IF(LEN($M818)=1,VLOOKUP(LEFT($M818,1),B813:I820,6,FALSE),IF(LEN($M818)=2,VLOOKUP(LEFT($M818,1),B813:I820,8,FALSE),""))</f>
        <v>Lucy Denver</v>
      </c>
      <c r="Q818" s="371" t="s">
        <v>276</v>
      </c>
      <c r="R818" s="146" t="str">
        <f t="shared" si="725"/>
        <v>G</v>
      </c>
      <c r="S818" s="927" t="s">
        <v>820</v>
      </c>
      <c r="T818" s="927">
        <v>5.0999999999999996</v>
      </c>
      <c r="U818" s="354" t="str">
        <f>IF(LEN($S818)=1,VLOOKUP(LEFT($S818,1),B813:I820,5,FALSE),IF(LEN($S818)=2,VLOOKUP(LEFT($S818,1),B813:I820,7,FALSE),""))</f>
        <v>GG</v>
      </c>
      <c r="V818" s="410" t="str">
        <f>IF(LEN($S818)=1,VLOOKUP(LEFT($S818,1),B813:I820,6,FALSE),IF(LEN($S818)=2,VLOOKUP(LEFT($S818,1),B813:I820,8,FALSE),""))</f>
        <v>Zareen Ulhaq</v>
      </c>
      <c r="W818" s="417">
        <f t="shared" si="732"/>
        <v>3</v>
      </c>
      <c r="Y818" s="16">
        <v>32</v>
      </c>
      <c r="Z818" s="16" t="str">
        <f t="shared" si="726"/>
        <v>Royal</v>
      </c>
      <c r="AA818" s="146" t="str">
        <f t="shared" si="727"/>
        <v>Royal</v>
      </c>
      <c r="AC818" s="16" t="str">
        <f t="shared" si="728"/>
        <v>D</v>
      </c>
      <c r="AD818" s="419" t="str">
        <f t="shared" si="728"/>
        <v>Stratford</v>
      </c>
      <c r="AE818" s="419">
        <f>IF(ISNA(MATCH(AC818,N813:N822,0)),0,VLOOKUP(AC818,N813:S822,5,FALSE))</f>
        <v>0</v>
      </c>
      <c r="AF818" s="419" t="str">
        <f>IF(ISNA(MATCH(AC818,T813:T822,0))," ",VLOOKUP(AC818,T813:Y822,5,FALSE))</f>
        <v xml:space="preserve"> </v>
      </c>
      <c r="AG818" s="419">
        <f>IF(ISNA(MATCH(AC818,L813:L820,0)),0,VLOOKUP(AC818,L813:N820,3,FALSE))</f>
        <v>7.13</v>
      </c>
      <c r="AH818" s="419">
        <f>IF(ISNA(MATCH(AC818,R813:R820,0)),0,VLOOKUP(AC818,R813:T820,3,FALSE))</f>
        <v>5.92</v>
      </c>
      <c r="AI818" s="419" t="str">
        <f>IF(ISNA(MATCH(AC818,L813:L820,0)),0,VLOOKUP(AC818,L813:P820,4,FALSE))</f>
        <v>D</v>
      </c>
      <c r="AJ818" s="419" t="str">
        <f>IF(ISNA(MATCH(AC818,R813:R820,0)),0,VLOOKUP(AC818,R813:U820,4,FALSE))</f>
        <v>DD</v>
      </c>
      <c r="AK818" s="32">
        <f t="shared" si="729"/>
        <v>5</v>
      </c>
      <c r="AL818" s="32">
        <f t="shared" si="730"/>
        <v>5</v>
      </c>
      <c r="AM818" s="32">
        <f>IF(ISNA(MATCH(AC818,L813:L820,0)),0,VLOOKUP(AC818,L813:W820,AM$1,FALSE))</f>
        <v>4</v>
      </c>
      <c r="AN818" s="146">
        <f>IF(ISNA(MATCH(AC818,R813:R820,0)),0,VLOOKUP(AC818,R813:W820,AN$1,FALSE))</f>
        <v>4</v>
      </c>
      <c r="AP818" s="927"/>
      <c r="AQ818" s="927"/>
    </row>
    <row r="819" spans="1:47" ht="15.6" x14ac:dyDescent="0.3">
      <c r="A819" s="417">
        <f t="shared" si="731"/>
        <v>737</v>
      </c>
      <c r="B819" s="362" t="str">
        <f>'Event Details'!D$28</f>
        <v>F</v>
      </c>
      <c r="C819" s="381" t="str">
        <f>'Event Details'!E$28</f>
        <v>Tamworth</v>
      </c>
      <c r="D819" s="379"/>
      <c r="E819" s="378"/>
      <c r="F819" s="363" t="str">
        <f>VLOOKUP($B812,IF($H812="F",TeamSheetFemale,TeamSheetMale),$Y819-1,FALSE)</f>
        <v>F</v>
      </c>
      <c r="G819" s="380" t="str">
        <f>VLOOKUP($B812,IF($H812="F",TeamSheetFemale,TeamSheetMale),$Y819,FALSE)</f>
        <v>Tilly Farmer</v>
      </c>
      <c r="H819" s="363" t="str">
        <f>VLOOKUP($B812,IF($H812="F",TeamSheetFemale,TeamSheetMale),$Y819+1,FALSE)</f>
        <v>FF</v>
      </c>
      <c r="I819" s="364" t="str">
        <f>VLOOKUP($B812,IF($H812="F",TeamSheetFemale,TeamSheetMale),$Y819+2,FALSE)</f>
        <v>Tiarna Walls</v>
      </c>
      <c r="K819" s="341" t="s">
        <v>277</v>
      </c>
      <c r="L819" s="16" t="str">
        <f t="shared" si="724"/>
        <v>Y</v>
      </c>
      <c r="M819" s="931" t="s">
        <v>151</v>
      </c>
      <c r="N819" s="927">
        <v>5.76</v>
      </c>
      <c r="O819" s="354" t="str">
        <f>IF(LEN($M819)=1,VLOOKUP(LEFT($M819,1),B813:I820,5,FALSE),IF(LEN($M819)=2,VLOOKUP(LEFT($M819,1),B813:I820,7,FALSE),""))</f>
        <v>Y</v>
      </c>
      <c r="P819" s="410" t="str">
        <f>IF(LEN($M819)=1,VLOOKUP(LEFT($M819,1),B813:I820,6,FALSE),IF(LEN($M819)=2,VLOOKUP(LEFT($M819,1),B813:I820,8,FALSE),""))</f>
        <v>Felicity Moore</v>
      </c>
      <c r="Q819" s="371" t="s">
        <v>277</v>
      </c>
      <c r="R819" s="146" t="str">
        <f t="shared" si="725"/>
        <v>Y</v>
      </c>
      <c r="S819" s="931" t="s">
        <v>822</v>
      </c>
      <c r="T819" s="927">
        <v>4.79</v>
      </c>
      <c r="U819" s="354" t="str">
        <f>IF(LEN($S819)=1,VLOOKUP(LEFT($S819,1),B813:I820,5,FALSE),IF(LEN($S819)=2,VLOOKUP(LEFT($S819,1),B813:I820,7,FALSE),""))</f>
        <v>YY</v>
      </c>
      <c r="V819" s="410" t="str">
        <f>IF(LEN($S819)=1,VLOOKUP(LEFT($S819,1),B813:I820,6,FALSE),IF(LEN($S819)=2,VLOOKUP(LEFT($S819,1),B813:I820,8,FALSE),""))</f>
        <v>Seren Kerry</v>
      </c>
      <c r="W819" s="417">
        <f t="shared" si="732"/>
        <v>2</v>
      </c>
      <c r="Y819" s="16">
        <v>37</v>
      </c>
      <c r="Z819" s="16" t="str">
        <f t="shared" si="726"/>
        <v>Worc</v>
      </c>
      <c r="AA819" s="146" t="str">
        <f t="shared" si="727"/>
        <v>Worc</v>
      </c>
      <c r="AC819" s="16" t="str">
        <f t="shared" si="728"/>
        <v>F</v>
      </c>
      <c r="AD819" s="419" t="str">
        <f t="shared" si="728"/>
        <v>Tamworth</v>
      </c>
      <c r="AE819" s="419">
        <f>IF(ISNA(MATCH(AC819,N811:N820,0)),0,VLOOKUP(AC819,N811:S820,5,FALSE))</f>
        <v>0</v>
      </c>
      <c r="AF819" s="419" t="str">
        <f>IF(ISNA(MATCH(AC819,T811:T820,0))," ",VLOOKUP(AC819,T811:Y820,5,FALSE))</f>
        <v xml:space="preserve"> </v>
      </c>
      <c r="AG819" s="419">
        <f>IF(ISNA(MATCH(AC819,L813:L820,0)),0,VLOOKUP(AC819,L813:N820,3,FALSE))</f>
        <v>7.91</v>
      </c>
      <c r="AH819" s="419">
        <f>IF(ISNA(MATCH(AC819,R813:R820,0)),0,VLOOKUP(AC819,R813:T820,3,FALSE))</f>
        <v>6.96</v>
      </c>
      <c r="AI819" s="419" t="str">
        <f>IF(ISNA(MATCH(AC819,L813:L820,0)),0,VLOOKUP(AC819,L813:P820,4,FALSE))</f>
        <v>F</v>
      </c>
      <c r="AJ819" s="419" t="str">
        <f>IF(ISNA(MATCH(AC819,R813:R820,0)),0,VLOOKUP(AC819,R813:U820,4,FALSE))</f>
        <v>FF</v>
      </c>
      <c r="AK819" s="32">
        <f t="shared" si="729"/>
        <v>3</v>
      </c>
      <c r="AL819" s="32">
        <f t="shared" si="730"/>
        <v>3</v>
      </c>
      <c r="AM819" s="32">
        <f>IF(ISNA(MATCH(AC819,L813:L820,0)),0,VLOOKUP(AC819,L813:W820,AM$1,FALSE))</f>
        <v>6</v>
      </c>
      <c r="AN819" s="146">
        <f>IF(ISNA(MATCH(AC819,R813:R820,0)),0,VLOOKUP(AC819,R813:W820,AN$1,FALSE))</f>
        <v>6</v>
      </c>
      <c r="AP819" s="931"/>
      <c r="AQ819" s="927"/>
    </row>
    <row r="820" spans="1:47" ht="16.2" thickBot="1" x14ac:dyDescent="0.35">
      <c r="A820" s="418">
        <f t="shared" si="731"/>
        <v>738</v>
      </c>
      <c r="B820" s="365" t="str">
        <f>'Event Details'!D$29</f>
        <v>Y</v>
      </c>
      <c r="C820" s="366" t="str">
        <f>'Event Details'!E$29</f>
        <v>Worcester</v>
      </c>
      <c r="D820" s="361"/>
      <c r="E820" s="370"/>
      <c r="F820" s="367" t="str">
        <f>VLOOKUP($B812,IF($H812="F",TeamSheetFemale,TeamSheetMale),$Y820-1,FALSE)</f>
        <v>Y</v>
      </c>
      <c r="G820" s="368" t="str">
        <f>VLOOKUP($B812,IF($H812="F",TeamSheetFemale,TeamSheetMale),$Y820,FALSE)</f>
        <v>Felicity Moore</v>
      </c>
      <c r="H820" s="367" t="str">
        <f>VLOOKUP($B812,IF($H812="F",TeamSheetFemale,TeamSheetMale),$Y820+1,FALSE)</f>
        <v>YY</v>
      </c>
      <c r="I820" s="369" t="str">
        <f>VLOOKUP($B812,IF($H812="F",TeamSheetFemale,TeamSheetMale),$Y820+2,FALSE)</f>
        <v>Seren Kerry</v>
      </c>
      <c r="K820" s="346" t="s">
        <v>278</v>
      </c>
      <c r="L820" s="25" t="str">
        <f t="shared" si="724"/>
        <v/>
      </c>
      <c r="M820" s="928"/>
      <c r="N820" s="932"/>
      <c r="O820" s="374" t="str">
        <f>IF(LEN($M820)=1,VLOOKUP(LEFT($M820,1),B813:I820,5,FALSE),IF(LEN($M820)=2,VLOOKUP(LEFT($M820,1),B813:I820,7,FALSE),""))</f>
        <v/>
      </c>
      <c r="P820" s="411" t="str">
        <f>IF(LEN($M820)=1,VLOOKUP(LEFT($M820,1),B813:I820,6,FALSE),IF(LEN($M820)=2,VLOOKUP(LEFT($M820,1),B813:I820,8,FALSE),""))</f>
        <v/>
      </c>
      <c r="Q820" s="407" t="s">
        <v>278</v>
      </c>
      <c r="R820" s="523" t="str">
        <f t="shared" si="725"/>
        <v/>
      </c>
      <c r="S820" s="928"/>
      <c r="T820" s="932"/>
      <c r="U820" s="374" t="str">
        <f>IF(LEN($S820)=1,VLOOKUP(LEFT($S820,1),B813:I820,5,FALSE),IF(LEN($S820)=2,VLOOKUP(LEFT($S820,1),B813:I820,7,FALSE),""))</f>
        <v/>
      </c>
      <c r="V820" s="411" t="str">
        <f>IF(LEN($S820)=1,VLOOKUP(LEFT($S820,1),B813:I820,6,FALSE),IF(LEN($S820)=2,VLOOKUP(LEFT($S820,1),B813:I820,8,FALSE),""))</f>
        <v/>
      </c>
      <c r="W820" s="418">
        <f t="shared" si="732"/>
        <v>1</v>
      </c>
      <c r="Y820" s="25">
        <v>42</v>
      </c>
      <c r="Z820" s="25">
        <f t="shared" si="726"/>
        <v>0</v>
      </c>
      <c r="AA820" s="523">
        <f t="shared" si="727"/>
        <v>0</v>
      </c>
      <c r="AC820" s="25" t="str">
        <f t="shared" si="728"/>
        <v>Y</v>
      </c>
      <c r="AD820" s="624" t="str">
        <f t="shared" si="728"/>
        <v>Worcester</v>
      </c>
      <c r="AE820" s="624">
        <f>IF(ISNA(MATCH(AC820,N812:N821,0)),0,VLOOKUP(AC820,N812:S821,5,FALSE))</f>
        <v>0</v>
      </c>
      <c r="AF820" s="624" t="str">
        <f t="shared" ref="AF820" si="733">IF(ISNA(MATCH(AC820,T812:T821,0))," ",VLOOKUP(AC820,T812:Y821,5,FALSE))</f>
        <v xml:space="preserve"> </v>
      </c>
      <c r="AG820" s="624">
        <f>IF(ISNA(MATCH(AC820,L813:L820,0)),0,VLOOKUP(AC820,L813:N820,3,FALSE))</f>
        <v>5.76</v>
      </c>
      <c r="AH820" s="624">
        <f>IF(ISNA(MATCH(AC820,R813:R820,0)),0,VLOOKUP(AC820,R813:T820,3,FALSE))</f>
        <v>4.79</v>
      </c>
      <c r="AI820" s="624" t="str">
        <f>IF(ISNA(MATCH(AC820,L813:L820,0)),0,VLOOKUP(AC820,L813:P820,4,FALSE))</f>
        <v>Y</v>
      </c>
      <c r="AJ820" s="624" t="str">
        <f>IF(ISNA(MATCH(AC820,R813:R820,0)),0,VLOOKUP(AC820,R813:U820,4,FALSE))</f>
        <v>YY</v>
      </c>
      <c r="AK820" s="116">
        <f t="shared" si="729"/>
        <v>7</v>
      </c>
      <c r="AL820" s="116">
        <f t="shared" si="730"/>
        <v>7</v>
      </c>
      <c r="AM820" s="116">
        <f>IF(ISNA(MATCH(AC820,L813:L820,0)),0,VLOOKUP(AC820,L813:W820,AM$1,FALSE))</f>
        <v>2</v>
      </c>
      <c r="AN820" s="523">
        <f>IF(ISNA(MATCH(AC820,R813:R820,0)),0,VLOOKUP(AC820,R813:W820,AN$1,FALSE))</f>
        <v>2</v>
      </c>
      <c r="AP820" s="928"/>
      <c r="AQ820" s="932"/>
    </row>
    <row r="821" spans="1:47" ht="15" thickBot="1" x14ac:dyDescent="0.35">
      <c r="M821" s="276"/>
      <c r="N821" s="307"/>
      <c r="S821" s="276"/>
      <c r="T821" s="307"/>
      <c r="AP821" s="276"/>
      <c r="AQ821" s="307"/>
    </row>
    <row r="822" spans="1:47" x14ac:dyDescent="0.3">
      <c r="B822" s="400" t="s">
        <v>258</v>
      </c>
      <c r="C822" s="398"/>
      <c r="D822" s="401" t="s">
        <v>165</v>
      </c>
      <c r="E822" s="398"/>
      <c r="F822" s="398"/>
      <c r="G822" s="402" t="s">
        <v>259</v>
      </c>
      <c r="H822" s="403" t="s">
        <v>249</v>
      </c>
      <c r="I822" s="404" t="s">
        <v>168</v>
      </c>
      <c r="K822" s="360"/>
      <c r="L822" s="661"/>
      <c r="M822" s="387" t="s">
        <v>260</v>
      </c>
      <c r="N822" s="387" t="s">
        <v>261</v>
      </c>
      <c r="O822" s="387" t="s">
        <v>262</v>
      </c>
      <c r="P822" s="388" t="s">
        <v>75</v>
      </c>
      <c r="Q822" s="389"/>
      <c r="R822" s="657"/>
      <c r="S822" s="387" t="s">
        <v>260</v>
      </c>
      <c r="T822" s="387" t="s">
        <v>261</v>
      </c>
      <c r="U822" s="387" t="s">
        <v>262</v>
      </c>
      <c r="V822" s="388" t="s">
        <v>75</v>
      </c>
      <c r="W822" s="672" t="s">
        <v>76</v>
      </c>
      <c r="Y822" s="414" t="s">
        <v>263</v>
      </c>
      <c r="Z822" s="656" t="s">
        <v>74</v>
      </c>
      <c r="AA822" s="657" t="s">
        <v>75</v>
      </c>
      <c r="AC822" s="665" t="s">
        <v>71</v>
      </c>
      <c r="AD822" s="657" t="s">
        <v>86</v>
      </c>
      <c r="AE822" s="661" t="s">
        <v>149</v>
      </c>
      <c r="AF822" s="661" t="s">
        <v>94</v>
      </c>
      <c r="AG822" s="661" t="s">
        <v>149</v>
      </c>
      <c r="AH822" s="661" t="s">
        <v>94</v>
      </c>
      <c r="AI822" s="661" t="s">
        <v>149</v>
      </c>
      <c r="AJ822" s="661" t="s">
        <v>94</v>
      </c>
      <c r="AK822" s="1332" t="s">
        <v>149</v>
      </c>
      <c r="AL822" s="661" t="s">
        <v>94</v>
      </c>
      <c r="AM822" s="1406" t="s">
        <v>76</v>
      </c>
      <c r="AN822" s="1407"/>
      <c r="AP822" s="387" t="s">
        <v>260</v>
      </c>
      <c r="AQ822" s="387" t="s">
        <v>261</v>
      </c>
      <c r="AS822" s="1218" t="s">
        <v>165</v>
      </c>
      <c r="AT822" s="1219" t="s">
        <v>79</v>
      </c>
      <c r="AU822" s="1220" t="s">
        <v>80</v>
      </c>
    </row>
    <row r="823" spans="1:47" ht="15" thickBot="1" x14ac:dyDescent="0.35">
      <c r="B823" s="405">
        <v>74</v>
      </c>
      <c r="C823" s="399"/>
      <c r="D823" s="385" t="str">
        <f>VLOOKUP($B823,EventOrder,6,FALSE)</f>
        <v>Discus Match 2</v>
      </c>
      <c r="E823" s="399"/>
      <c r="F823" s="385"/>
      <c r="G823" s="386" t="str">
        <f>VLOOKUP($B823,EventOrder,4,FALSE)</f>
        <v>U14 Male</v>
      </c>
      <c r="H823" s="396" t="str">
        <f>IF(MID(G823,5,1)="F","F","M")</f>
        <v>M</v>
      </c>
      <c r="I823" s="397">
        <f>VLOOKUP($B823,EventOrder,2,FALSE)</f>
        <v>4.2</v>
      </c>
      <c r="K823" s="377"/>
      <c r="L823" s="667" t="s">
        <v>149</v>
      </c>
      <c r="M823" s="409" t="s">
        <v>264</v>
      </c>
      <c r="N823" s="409" t="s">
        <v>265</v>
      </c>
      <c r="O823" s="390" t="s">
        <v>266</v>
      </c>
      <c r="P823" s="391"/>
      <c r="Q823" s="392"/>
      <c r="R823" s="659" t="s">
        <v>94</v>
      </c>
      <c r="S823" s="409" t="s">
        <v>264</v>
      </c>
      <c r="T823" s="409" t="s">
        <v>265</v>
      </c>
      <c r="U823" s="390" t="s">
        <v>266</v>
      </c>
      <c r="V823" s="391"/>
      <c r="W823" s="671"/>
      <c r="Y823" s="415" t="s">
        <v>167</v>
      </c>
      <c r="Z823" s="658" t="s">
        <v>149</v>
      </c>
      <c r="AA823" s="659" t="s">
        <v>94</v>
      </c>
      <c r="AC823" s="666"/>
      <c r="AD823" s="668"/>
      <c r="AE823" s="768" t="s">
        <v>75</v>
      </c>
      <c r="AF823" s="768" t="s">
        <v>75</v>
      </c>
      <c r="AG823" s="768" t="s">
        <v>267</v>
      </c>
      <c r="AH823" s="768" t="s">
        <v>267</v>
      </c>
      <c r="AI823" s="768" t="s">
        <v>268</v>
      </c>
      <c r="AJ823" s="768" t="s">
        <v>268</v>
      </c>
      <c r="AK823" s="770" t="s">
        <v>269</v>
      </c>
      <c r="AL823" s="768" t="s">
        <v>269</v>
      </c>
      <c r="AM823" s="667" t="s">
        <v>149</v>
      </c>
      <c r="AN823" s="659" t="s">
        <v>94</v>
      </c>
      <c r="AP823" s="409" t="s">
        <v>264</v>
      </c>
      <c r="AQ823" s="409" t="s">
        <v>265</v>
      </c>
      <c r="AS823" s="1221" t="s">
        <v>270</v>
      </c>
      <c r="AT823" s="1222" t="s">
        <v>270</v>
      </c>
      <c r="AU823" s="1223" t="s">
        <v>270</v>
      </c>
    </row>
    <row r="824" spans="1:47" ht="15.6" x14ac:dyDescent="0.3">
      <c r="A824" s="416">
        <f>(B823*10)+1</f>
        <v>741</v>
      </c>
      <c r="B824" s="362" t="str">
        <f>'Event Details'!D$22</f>
        <v>S</v>
      </c>
      <c r="C824" s="381" t="str">
        <f>'Event Details'!E$22</f>
        <v>BRAT</v>
      </c>
      <c r="D824" s="379"/>
      <c r="E824" s="378"/>
      <c r="F824" s="363">
        <f>VLOOKUP($B823,IF($H823="F",TeamSheetFemale,TeamSheetMale),$Y824-1,FALSE)</f>
        <v>0</v>
      </c>
      <c r="G824" s="380">
        <f>VLOOKUP($B823,IF($H823="F",TeamSheetFemale,TeamSheetMale),$Y824,FALSE)</f>
        <v>0</v>
      </c>
      <c r="H824" s="363">
        <f>VLOOKUP($B823,IF($H823="F",TeamSheetFemale,TeamSheetMale),$Y824+1,FALSE)</f>
        <v>0</v>
      </c>
      <c r="I824" s="364">
        <f>VLOOKUP($B823,IF($H823="F",TeamSheetFemale,TeamSheetMale),$Y824+2,FALSE)</f>
        <v>0</v>
      </c>
      <c r="K824" s="393" t="s">
        <v>271</v>
      </c>
      <c r="L824" s="16" t="str">
        <f t="shared" ref="L824:L831" si="734">LEFT(M824,1)</f>
        <v/>
      </c>
      <c r="M824" s="926"/>
      <c r="N824" s="926"/>
      <c r="O824" s="394" t="str">
        <f>IF(LEN($M824)=1,VLOOKUP(LEFT($M824,1),B824:I831,5,FALSE),IF(LEN($M824)=2,VLOOKUP(LEFT($M824,1),B824:I831,7,FALSE),""))</f>
        <v/>
      </c>
      <c r="P824" s="395" t="str">
        <f>IF(LEN($M824)=1,VLOOKUP(LEFT($M824,1),B824:I831,6,FALSE),IF(LEN($M824)=2,VLOOKUP(LEFT($M824,1),B824:I831,8,FALSE),""))</f>
        <v/>
      </c>
      <c r="Q824" s="393" t="s">
        <v>271</v>
      </c>
      <c r="R824" s="146" t="str">
        <f t="shared" ref="R824:R831" si="735">LEFT(S824,1)</f>
        <v/>
      </c>
      <c r="S824" s="926"/>
      <c r="T824" s="926"/>
      <c r="U824" s="394" t="str">
        <f>IF(LEN($S824)=1,VLOOKUP(LEFT($S824,1),B824:I831,5,FALSE),IF(LEN($S824)=2,VLOOKUP(LEFT($S824,1),B824:I831,7,FALSE),""))</f>
        <v/>
      </c>
      <c r="V824" s="395" t="str">
        <f>IF(LEN($S824)=1,VLOOKUP(LEFT($S824,1),B824:I831,6,FALSE),IF(LEN($S824)=2,VLOOKUP(LEFT($S824,1),B824:I831,8,FALSE),""))</f>
        <v/>
      </c>
      <c r="W824" s="417">
        <f>AN$6</f>
        <v>8</v>
      </c>
      <c r="Y824" s="416">
        <v>7</v>
      </c>
      <c r="Z824" s="653">
        <f t="shared" ref="Z824:Z831" si="736">IF(LEN(M824)&gt;0,VLOOKUP(LEFT(M824,1),ShortName,5,FALSE),0)</f>
        <v>0</v>
      </c>
      <c r="AA824" s="138">
        <f t="shared" ref="AA824:AA831" si="737">IF(LEN(S824)&gt;0,VLOOKUP(LEFT(S824,1),ShortName,5,FALSE),0)</f>
        <v>0</v>
      </c>
      <c r="AC824" s="16" t="str">
        <f t="shared" ref="AC824:AD831" si="738">B824</f>
        <v>S</v>
      </c>
      <c r="AD824" s="419" t="str">
        <f t="shared" si="738"/>
        <v>BRAT</v>
      </c>
      <c r="AE824" s="635">
        <f>IF(ISNA(MATCH(AC824,N824:N833,0)),0,VLOOKUP(AC824,N824:S833,5,FALSE))</f>
        <v>0</v>
      </c>
      <c r="AF824" s="635" t="str">
        <f>IF(ISNA(MATCH(AC824,T824:T833,0))," ",VLOOKUP(AC824,T824:Y833,5,FALSE))</f>
        <v xml:space="preserve"> </v>
      </c>
      <c r="AG824" s="635">
        <f>IF(ISNA(MATCH(AC824,L824:L831,0)),0,VLOOKUP(AC824,L824:N831,3,FALSE))</f>
        <v>0</v>
      </c>
      <c r="AH824" s="635">
        <f>IF(ISNA(MATCH(AC824,R824:R831,0)),0,VLOOKUP(AC824,R824:T831,3,FALSE))</f>
        <v>0</v>
      </c>
      <c r="AI824" s="635">
        <f>IF(ISNA(MATCH(AC824,L824:L831,0)),0,VLOOKUP(AC824,L824:P831,4,FALSE))</f>
        <v>0</v>
      </c>
      <c r="AJ824" s="635">
        <f>IF(ISNA(MATCH(AC824,R824:R831,0)),0,VLOOKUP(AC824,R824:U831,4,FALSE))</f>
        <v>0</v>
      </c>
      <c r="AK824" s="49">
        <f t="shared" ref="AK824:AK831" si="739">IF(AM824=0,0,AN$6-(AM824-1))</f>
        <v>0</v>
      </c>
      <c r="AL824" s="49">
        <f t="shared" ref="AL824:AL831" si="740">IF(AN824=0,0,AN$6-(AN824-1))</f>
        <v>0</v>
      </c>
      <c r="AM824" s="49">
        <f>IF(ISNA(MATCH(AC824,L824:L831,0)),0,VLOOKUP(AC824,L824:W831,AM$1,FALSE))</f>
        <v>0</v>
      </c>
      <c r="AN824" s="138">
        <f>IF(ISNA(MATCH(AC824,R824:R831,0)),0,VLOOKUP(AC824,R824:W831,AN$1,FALSE))</f>
        <v>0</v>
      </c>
      <c r="AP824" s="926"/>
      <c r="AQ824" s="926"/>
      <c r="AS824" s="32">
        <f>IF(LEN(N824)&gt;0,1,0)</f>
        <v>0</v>
      </c>
      <c r="AT824" s="32">
        <f>IF(AND(AS824=1,H823="M"),1,0)</f>
        <v>0</v>
      </c>
      <c r="AU824" s="32">
        <f>IF(AND(AS824=1,H823="F"),1,0)</f>
        <v>0</v>
      </c>
    </row>
    <row r="825" spans="1:47" ht="15.6" x14ac:dyDescent="0.3">
      <c r="A825" s="417">
        <f>A824+1</f>
        <v>742</v>
      </c>
      <c r="B825" s="362" t="str">
        <f>'Event Details'!D$23</f>
        <v>U</v>
      </c>
      <c r="C825" s="381" t="str">
        <f>'Event Details'!E$23</f>
        <v>Kidder &amp; Stourport</v>
      </c>
      <c r="D825" s="379"/>
      <c r="E825" s="378"/>
      <c r="F825" s="363">
        <f>VLOOKUP($B823,IF($H823="F",TeamSheetFemale,TeamSheetMale),$Y825-1,FALSE)</f>
        <v>0</v>
      </c>
      <c r="G825" s="380">
        <f>VLOOKUP($B823,IF($H823="F",TeamSheetFemale,TeamSheetMale),$Y825,FALSE)</f>
        <v>0</v>
      </c>
      <c r="H825" s="363">
        <f>VLOOKUP($B823,IF($H823="F",TeamSheetFemale,TeamSheetMale),$Y825+1,FALSE)</f>
        <v>0</v>
      </c>
      <c r="I825" s="364">
        <f>VLOOKUP($B823,IF($H823="F",TeamSheetFemale,TeamSheetMale),$Y825+2,FALSE)</f>
        <v>0</v>
      </c>
      <c r="K825" s="341" t="s">
        <v>272</v>
      </c>
      <c r="L825" s="16" t="str">
        <f t="shared" si="734"/>
        <v/>
      </c>
      <c r="M825" s="927"/>
      <c r="N825" s="927"/>
      <c r="O825" s="353" t="str">
        <f>IF(LEN($M825)=1,VLOOKUP(LEFT($M825,1),B824:I831,5,FALSE),IF(LEN($M825)=2,VLOOKUP(LEFT($M825,1),B824:I831,7,FALSE),""))</f>
        <v/>
      </c>
      <c r="P825" s="373" t="str">
        <f>IF(LEN($M825)=1,VLOOKUP(LEFT($M825,1),B824:I831,6,FALSE),IF(LEN($M825)=2,VLOOKUP(LEFT($M825,1),B824:I831,8,FALSE),""))</f>
        <v/>
      </c>
      <c r="Q825" s="341" t="s">
        <v>272</v>
      </c>
      <c r="R825" s="146" t="str">
        <f t="shared" si="735"/>
        <v/>
      </c>
      <c r="S825" s="927"/>
      <c r="T825" s="927"/>
      <c r="U825" s="353" t="str">
        <f>IF(LEN($S825)=1,VLOOKUP(LEFT($S825,1),B824:I831,5,FALSE),IF(LEN($S825)=2,VLOOKUP(LEFT($S825,1),B824:I831,7,FALSE),""))</f>
        <v/>
      </c>
      <c r="V825" s="373" t="str">
        <f>IF(LEN($S825)=1,VLOOKUP(LEFT($S825,1),B824:I831,6,FALSE),IF(LEN($S825)=2,VLOOKUP(LEFT($S825,1),B824:I831,8,FALSE),""))</f>
        <v/>
      </c>
      <c r="W825" s="417">
        <f>W824-1</f>
        <v>7</v>
      </c>
      <c r="Y825" s="417">
        <v>12</v>
      </c>
      <c r="Z825" s="16">
        <f t="shared" si="736"/>
        <v>0</v>
      </c>
      <c r="AA825" s="146">
        <f t="shared" si="737"/>
        <v>0</v>
      </c>
      <c r="AC825" s="16" t="str">
        <f t="shared" si="738"/>
        <v>U</v>
      </c>
      <c r="AD825" s="419" t="str">
        <f t="shared" si="738"/>
        <v>Kidder &amp; Stourport</v>
      </c>
      <c r="AE825" s="419">
        <f>IF(ISNA(MATCH(AC825,N824:N833,0)),0,VLOOKUP(AC825,N824:S833,5,FALSE))</f>
        <v>0</v>
      </c>
      <c r="AF825" s="419" t="str">
        <f>IF(ISNA(MATCH(AC825,T824:T833,0))," ",VLOOKUP(AC825,T824:Y833,5,FALSE))</f>
        <v xml:space="preserve"> </v>
      </c>
      <c r="AG825" s="419">
        <f>IF(ISNA(MATCH(AC825,L824:L831,0)),0,VLOOKUP(AC825,L824:N831,3,FALSE))</f>
        <v>0</v>
      </c>
      <c r="AH825" s="419">
        <f>IF(ISNA(MATCH(AC825,R824:R831,0)),0,VLOOKUP(AC825,R824:T831,3,FALSE))</f>
        <v>0</v>
      </c>
      <c r="AI825" s="419">
        <f>IF(ISNA(MATCH(AC825,L824:L831,0)),0,VLOOKUP(AC825,L824:P831,4,FALSE))</f>
        <v>0</v>
      </c>
      <c r="AJ825" s="419">
        <f>IF(ISNA(MATCH(AC825,R824:R831,0)),0,VLOOKUP(AC825,R824:U831,4,FALSE))</f>
        <v>0</v>
      </c>
      <c r="AK825" s="32">
        <f t="shared" si="739"/>
        <v>0</v>
      </c>
      <c r="AL825" s="32">
        <f t="shared" si="740"/>
        <v>0</v>
      </c>
      <c r="AM825" s="32">
        <f>IF(ISNA(MATCH(AC825,L824:L831,0)),0,VLOOKUP(AC825,L824:W831,AM$1,FALSE))</f>
        <v>0</v>
      </c>
      <c r="AN825" s="146">
        <f>IF(ISNA(MATCH(AC825,R824:R831,0)),0,VLOOKUP(AC825,R824:W831,AN$1,FALSE))</f>
        <v>0</v>
      </c>
      <c r="AP825" s="927"/>
      <c r="AQ825" s="927"/>
    </row>
    <row r="826" spans="1:47" ht="15.6" x14ac:dyDescent="0.3">
      <c r="A826" s="417">
        <f t="shared" ref="A826:A831" si="741">A825+1</f>
        <v>743</v>
      </c>
      <c r="B826" s="362" t="str">
        <f>'Event Details'!D$24</f>
        <v>G</v>
      </c>
      <c r="C826" s="381" t="str">
        <f>'Event Details'!E$24</f>
        <v>Royal Sutton</v>
      </c>
      <c r="D826" s="379"/>
      <c r="E826" s="378"/>
      <c r="F826" s="363" t="str">
        <f>VLOOKUP($B823,IF($H823="F",TeamSheetFemale,TeamSheetMale),$Y826-1,FALSE)</f>
        <v>G</v>
      </c>
      <c r="G826" s="380">
        <f>VLOOKUP($B823,IF($H823="F",TeamSheetFemale,TeamSheetMale),$Y826,FALSE)</f>
        <v>0</v>
      </c>
      <c r="H826" s="363" t="str">
        <f>VLOOKUP($B823,IF($H823="F",TeamSheetFemale,TeamSheetMale),$Y826+1,FALSE)</f>
        <v>GG</v>
      </c>
      <c r="I826" s="364">
        <f>VLOOKUP($B823,IF($H823="F",TeamSheetFemale,TeamSheetMale),$Y826+2,FALSE)</f>
        <v>0</v>
      </c>
      <c r="K826" s="341" t="s">
        <v>273</v>
      </c>
      <c r="L826" s="16" t="str">
        <f t="shared" si="734"/>
        <v/>
      </c>
      <c r="M826" s="927"/>
      <c r="N826" s="927"/>
      <c r="O826" s="353" t="str">
        <f>IF(LEN($M826)=1,VLOOKUP(LEFT($M826,1),B824:I831,5,FALSE),IF(LEN($M826)=2,VLOOKUP(LEFT($M826,1),B824:I831,7,FALSE),""))</f>
        <v/>
      </c>
      <c r="P826" s="373" t="str">
        <f>IF(LEN($M826)=1,VLOOKUP(LEFT($M826,1),B824:I831,6,FALSE),IF(LEN($M826)=2,VLOOKUP(LEFT($M826,1),B824:I831,8,FALSE),""))</f>
        <v/>
      </c>
      <c r="Q826" s="341" t="s">
        <v>273</v>
      </c>
      <c r="R826" s="146" t="str">
        <f t="shared" si="735"/>
        <v/>
      </c>
      <c r="S826" s="927"/>
      <c r="T826" s="927"/>
      <c r="U826" s="353" t="str">
        <f>IF(LEN($S826)=1,VLOOKUP(LEFT($S826,1),B824:I831,5,FALSE),IF(LEN($S826)=2,VLOOKUP(LEFT($S826,1),B824:I831,7,FALSE),""))</f>
        <v/>
      </c>
      <c r="V826" s="373" t="str">
        <f>IF(LEN($S826)=1,VLOOKUP(LEFT($S826,1),B824:I831,6,FALSE),IF(LEN($S826)=2,VLOOKUP(LEFT($S826,1),B824:I831,8,FALSE),""))</f>
        <v/>
      </c>
      <c r="W826" s="417">
        <f t="shared" ref="W826:W831" si="742">W825-1</f>
        <v>6</v>
      </c>
      <c r="Y826" s="417">
        <v>17</v>
      </c>
      <c r="Z826" s="16">
        <f t="shared" si="736"/>
        <v>0</v>
      </c>
      <c r="AA826" s="146">
        <f t="shared" si="737"/>
        <v>0</v>
      </c>
      <c r="AB826" s="32"/>
      <c r="AC826" s="16" t="str">
        <f t="shared" si="738"/>
        <v>G</v>
      </c>
      <c r="AD826" s="419" t="str">
        <f t="shared" si="738"/>
        <v>Royal Sutton</v>
      </c>
      <c r="AE826" s="419">
        <f>IF(ISNA(MATCH(AC826,N824:N833,0)),0,VLOOKUP(AC826,N824:S833,5,FALSE))</f>
        <v>0</v>
      </c>
      <c r="AF826" s="419" t="str">
        <f>IF(ISNA(MATCH(AC826,T824:T833,0))," ",VLOOKUP(AC826,T824:Y833,5,FALSE))</f>
        <v xml:space="preserve"> </v>
      </c>
      <c r="AG826" s="419">
        <f>IF(ISNA(MATCH(AC826,L824:L831,0)),0,VLOOKUP(AC826,L824:N831,3,FALSE))</f>
        <v>0</v>
      </c>
      <c r="AH826" s="419">
        <f>IF(ISNA(MATCH(AC826,R824:R831,0)),0,VLOOKUP(AC826,R824:T831,3,FALSE))</f>
        <v>0</v>
      </c>
      <c r="AI826" s="419">
        <f>IF(ISNA(MATCH(AC826,L824:L831,0)),0,VLOOKUP(AC826,L824:P831,4,FALSE))</f>
        <v>0</v>
      </c>
      <c r="AJ826" s="419">
        <f>IF(ISNA(MATCH(AC826,R824:R831,0)),0,VLOOKUP(AC826,R824:U831,4,FALSE))</f>
        <v>0</v>
      </c>
      <c r="AK826" s="32">
        <f t="shared" si="739"/>
        <v>0</v>
      </c>
      <c r="AL826" s="32">
        <f t="shared" si="740"/>
        <v>0</v>
      </c>
      <c r="AM826" s="32">
        <f>IF(ISNA(MATCH(AC826,L824:L831,0)),0,VLOOKUP(AC826,L824:W831,AM$1,FALSE))</f>
        <v>0</v>
      </c>
      <c r="AN826" s="146">
        <f>IF(ISNA(MATCH(AC826,R824:R831,0)),0,VLOOKUP(AC826,R824:W831,AN$1,FALSE))</f>
        <v>0</v>
      </c>
      <c r="AP826" s="927"/>
      <c r="AQ826" s="927"/>
    </row>
    <row r="827" spans="1:47" ht="15.6" x14ac:dyDescent="0.3">
      <c r="A827" s="417">
        <f t="shared" si="741"/>
        <v>744</v>
      </c>
      <c r="B827" s="362" t="str">
        <f>'Event Details'!D$25</f>
        <v>R</v>
      </c>
      <c r="C827" s="381" t="str">
        <f>'Event Details'!E$25</f>
        <v>Rugby &amp; N'hampton</v>
      </c>
      <c r="D827" s="379"/>
      <c r="E827" s="378"/>
      <c r="F827" s="363">
        <f>VLOOKUP($B823,IF($H823="F",TeamSheetFemale,TeamSheetMale),$Y827-1,FALSE)</f>
        <v>0</v>
      </c>
      <c r="G827" s="380">
        <f>VLOOKUP($B823,IF($H823="F",TeamSheetFemale,TeamSheetMale),$Y827,FALSE)</f>
        <v>0</v>
      </c>
      <c r="H827" s="363">
        <f>VLOOKUP($B823,IF($H823="F",TeamSheetFemale,TeamSheetMale),$Y827+1,FALSE)</f>
        <v>0</v>
      </c>
      <c r="I827" s="364">
        <f>VLOOKUP($B823,IF($H823="F",TeamSheetFemale,TeamSheetMale),$Y827+2,FALSE)</f>
        <v>0</v>
      </c>
      <c r="K827" s="341" t="s">
        <v>274</v>
      </c>
      <c r="L827" s="16" t="str">
        <f t="shared" si="734"/>
        <v/>
      </c>
      <c r="M827" s="927"/>
      <c r="N827" s="927"/>
      <c r="O827" s="353" t="str">
        <f>IF(LEN($M827)=1,VLOOKUP(LEFT($M827,1),B824:I831,5,FALSE),IF(LEN($M827)=2,VLOOKUP(LEFT($M827,1),B824:I831,7,FALSE),""))</f>
        <v/>
      </c>
      <c r="P827" s="373" t="str">
        <f>IF(LEN($M827)=1,VLOOKUP(LEFT($M827,1),B824:I831,6,FALSE),IF(LEN($M827)=2,VLOOKUP(LEFT($M827,1),B824:I831,8,FALSE),""))</f>
        <v/>
      </c>
      <c r="Q827" s="341" t="s">
        <v>274</v>
      </c>
      <c r="R827" s="146" t="str">
        <f t="shared" si="735"/>
        <v/>
      </c>
      <c r="S827" s="927"/>
      <c r="T827" s="927"/>
      <c r="U827" s="353" t="str">
        <f>IF(LEN($S827)=1,VLOOKUP(LEFT($S827,1),B824:I831,5,FALSE),IF(LEN($S827)=2,VLOOKUP(LEFT($S827,1),B824:I831,7,FALSE),""))</f>
        <v/>
      </c>
      <c r="V827" s="373" t="str">
        <f>IF(LEN($S827)=1,VLOOKUP(LEFT($S827,1),B824:I831,6,FALSE),IF(LEN($S827)=2,VLOOKUP(LEFT($S827,1),B824:I831,8,FALSE),""))</f>
        <v/>
      </c>
      <c r="W827" s="417">
        <f t="shared" si="742"/>
        <v>5</v>
      </c>
      <c r="Y827" s="417">
        <v>22</v>
      </c>
      <c r="Z827" s="16">
        <f t="shared" si="736"/>
        <v>0</v>
      </c>
      <c r="AA827" s="146">
        <f t="shared" si="737"/>
        <v>0</v>
      </c>
      <c r="AB827" s="32"/>
      <c r="AC827" s="16" t="str">
        <f t="shared" si="738"/>
        <v>R</v>
      </c>
      <c r="AD827" s="419" t="str">
        <f t="shared" si="738"/>
        <v>Rugby &amp; N'hampton</v>
      </c>
      <c r="AE827" s="419">
        <f>IF(ISNA(MATCH(AC827,N824:N833,0)),0,VLOOKUP(AC827,N824:S833,5,FALSE))</f>
        <v>0</v>
      </c>
      <c r="AF827" s="419" t="str">
        <f>IF(ISNA(MATCH(AC827,T824:T833,0))," ",VLOOKUP(AC827,T824:Y833,5,FALSE))</f>
        <v xml:space="preserve"> </v>
      </c>
      <c r="AG827" s="419">
        <f>IF(ISNA(MATCH(AC827,L824:L831,0)),0,VLOOKUP(AC827,L824:N831,3,FALSE))</f>
        <v>0</v>
      </c>
      <c r="AH827" s="419">
        <f>IF(ISNA(MATCH(AC827,R824:R831,0)),0,VLOOKUP(AC827,R824:T831,3,FALSE))</f>
        <v>0</v>
      </c>
      <c r="AI827" s="419">
        <f>IF(ISNA(MATCH(AC827,L824:L831,0)),0,VLOOKUP(AC827,L824:P831,4,FALSE))</f>
        <v>0</v>
      </c>
      <c r="AJ827" s="419">
        <f>IF(ISNA(MATCH(AC827,R824:R831,0)),0,VLOOKUP(AC827,R824:U831,4,FALSE))</f>
        <v>0</v>
      </c>
      <c r="AK827" s="32">
        <f t="shared" si="739"/>
        <v>0</v>
      </c>
      <c r="AL827" s="32">
        <f t="shared" si="740"/>
        <v>0</v>
      </c>
      <c r="AM827" s="32">
        <f>IF(ISNA(MATCH(AC827,L824:L831,0)),0,VLOOKUP(AC827,L824:W831,AM$1,FALSE))</f>
        <v>0</v>
      </c>
      <c r="AN827" s="146">
        <f>IF(ISNA(MATCH(AC827,R824:R831,0)),0,VLOOKUP(AC827,R824:W831,AN$1,FALSE))</f>
        <v>0</v>
      </c>
      <c r="AP827" s="927"/>
      <c r="AQ827" s="927"/>
    </row>
    <row r="828" spans="1:47" ht="15.6" x14ac:dyDescent="0.3">
      <c r="A828" s="417">
        <f t="shared" si="741"/>
        <v>745</v>
      </c>
      <c r="B828" s="362" t="str">
        <f>'Event Details'!D$26</f>
        <v>M</v>
      </c>
      <c r="C828" s="381" t="str">
        <f>'Event Details'!E$26</f>
        <v>Solihull &amp; S.Heath</v>
      </c>
      <c r="D828" s="379"/>
      <c r="E828" s="378"/>
      <c r="F828" s="363">
        <f>VLOOKUP($B823,IF($H823="F",TeamSheetFemale,TeamSheetMale),$Y828-1,FALSE)</f>
        <v>0</v>
      </c>
      <c r="G828" s="380">
        <f>VLOOKUP($B823,IF($H823="F",TeamSheetFemale,TeamSheetMale),$Y828,FALSE)</f>
        <v>0</v>
      </c>
      <c r="H828" s="363">
        <f>VLOOKUP($B823,IF($H823="F",TeamSheetFemale,TeamSheetMale),$Y828+1,FALSE)</f>
        <v>0</v>
      </c>
      <c r="I828" s="364">
        <f>VLOOKUP($B823,IF($H823="F",TeamSheetFemale,TeamSheetMale),$Y828+2,FALSE)</f>
        <v>0</v>
      </c>
      <c r="K828" s="341" t="s">
        <v>275</v>
      </c>
      <c r="L828" s="16" t="str">
        <f t="shared" si="734"/>
        <v/>
      </c>
      <c r="M828" s="927"/>
      <c r="N828" s="927"/>
      <c r="O828" s="353" t="str">
        <f>IF(LEN($M828)=1,VLOOKUP(LEFT($M828,1),B824:I831,5,FALSE),IF(LEN($M828)=2,VLOOKUP(LEFT($M828,1),B824:I831,7,FALSE),""))</f>
        <v/>
      </c>
      <c r="P828" s="373" t="str">
        <f>IF(LEN($M828)=1,VLOOKUP(LEFT($M828,1),B824:I831,6,FALSE),IF(LEN($M828)=2,VLOOKUP(LEFT($M828,1),B824:I831,8,FALSE),""))</f>
        <v/>
      </c>
      <c r="Q828" s="341" t="s">
        <v>275</v>
      </c>
      <c r="R828" s="146" t="str">
        <f t="shared" si="735"/>
        <v/>
      </c>
      <c r="S828" s="927"/>
      <c r="T828" s="927"/>
      <c r="U828" s="353" t="str">
        <f>IF(LEN($S828)=1,VLOOKUP(LEFT($S828,1),B824:I831,5,FALSE),IF(LEN($S828)=2,VLOOKUP(LEFT($S828,1),B824:I831,7,FALSE),""))</f>
        <v/>
      </c>
      <c r="V828" s="373" t="str">
        <f>IF(LEN($S828)=1,VLOOKUP(LEFT($S828,1),B824:I831,6,FALSE),IF(LEN($S828)=2,VLOOKUP(LEFT($S828,1),B824:I831,8,FALSE),""))</f>
        <v/>
      </c>
      <c r="W828" s="417">
        <f t="shared" si="742"/>
        <v>4</v>
      </c>
      <c r="Y828" s="417">
        <v>27</v>
      </c>
      <c r="Z828" s="16">
        <f t="shared" si="736"/>
        <v>0</v>
      </c>
      <c r="AA828" s="146">
        <f t="shared" si="737"/>
        <v>0</v>
      </c>
      <c r="AB828" s="32"/>
      <c r="AC828" s="16" t="str">
        <f t="shared" si="738"/>
        <v>M</v>
      </c>
      <c r="AD828" s="419" t="str">
        <f t="shared" si="738"/>
        <v>Solihull &amp; S.Heath</v>
      </c>
      <c r="AE828" s="419">
        <f>IF(ISNA(MATCH(AC828,N824:N833,0)),0,VLOOKUP(AC828,N824:S833,5,FALSE))</f>
        <v>0</v>
      </c>
      <c r="AF828" s="419" t="str">
        <f>IF(ISNA(MATCH(AC828,T824:T833,0))," ",VLOOKUP(AC828,T824:Y833,5,FALSE))</f>
        <v xml:space="preserve"> </v>
      </c>
      <c r="AG828" s="419">
        <f>IF(ISNA(MATCH(AC828,L824:L831,0)),0,VLOOKUP(AC828,L824:N831,3,FALSE))</f>
        <v>0</v>
      </c>
      <c r="AH828" s="419">
        <f>IF(ISNA(MATCH(AC828,R824:R831,0)),0,VLOOKUP(AC828,R824:T831,3,FALSE))</f>
        <v>0</v>
      </c>
      <c r="AI828" s="419">
        <f>IF(ISNA(MATCH(AC828,L824:L831,0)),0,VLOOKUP(AC828,L824:P831,4,FALSE))</f>
        <v>0</v>
      </c>
      <c r="AJ828" s="419">
        <f>IF(ISNA(MATCH(AC828,R824:R831,0)),0,VLOOKUP(AC828,R824:U831,4,FALSE))</f>
        <v>0</v>
      </c>
      <c r="AK828" s="32">
        <f t="shared" si="739"/>
        <v>0</v>
      </c>
      <c r="AL828" s="32">
        <f t="shared" si="740"/>
        <v>0</v>
      </c>
      <c r="AM828" s="32">
        <f>IF(ISNA(MATCH(AC828,L824:L831,0)),0,VLOOKUP(AC828,L824:W831,AM$1,FALSE))</f>
        <v>0</v>
      </c>
      <c r="AN828" s="146">
        <f>IF(ISNA(MATCH(AC828,R824:R831,0)),0,VLOOKUP(AC828,R824:W831,AN$1,FALSE))</f>
        <v>0</v>
      </c>
      <c r="AP828" s="927"/>
      <c r="AQ828" s="927"/>
    </row>
    <row r="829" spans="1:47" ht="15.6" x14ac:dyDescent="0.3">
      <c r="A829" s="417">
        <f t="shared" si="741"/>
        <v>746</v>
      </c>
      <c r="B829" s="362" t="str">
        <f>'Event Details'!D$27</f>
        <v>D</v>
      </c>
      <c r="C829" s="381" t="str">
        <f>'Event Details'!E$27</f>
        <v>Stratford</v>
      </c>
      <c r="D829" s="379"/>
      <c r="E829" s="378"/>
      <c r="F829" s="363">
        <f>VLOOKUP($B823,IF($H823="F",TeamSheetFemale,TeamSheetMale),$Y829-1,FALSE)</f>
        <v>0</v>
      </c>
      <c r="G829" s="380">
        <f>VLOOKUP($B823,IF($H823="F",TeamSheetFemale,TeamSheetMale),$Y829,FALSE)</f>
        <v>0</v>
      </c>
      <c r="H829" s="363">
        <f>VLOOKUP($B823,IF($H823="F",TeamSheetFemale,TeamSheetMale),$Y829+1,FALSE)</f>
        <v>0</v>
      </c>
      <c r="I829" s="364">
        <f>VLOOKUP($B823,IF($H823="F",TeamSheetFemale,TeamSheetMale),$Y829+2,FALSE)</f>
        <v>0</v>
      </c>
      <c r="K829" s="341" t="s">
        <v>276</v>
      </c>
      <c r="L829" s="16" t="str">
        <f t="shared" si="734"/>
        <v/>
      </c>
      <c r="M829" s="927"/>
      <c r="N829" s="927"/>
      <c r="O829" s="353" t="str">
        <f>IF(LEN($M829)=1,VLOOKUP(LEFT($M829,1),B824:I831,5,FALSE),IF(LEN($M829)=2,VLOOKUP(LEFT($M829,1),B824:I831,7,FALSE),""))</f>
        <v/>
      </c>
      <c r="P829" s="373" t="str">
        <f>IF(LEN($M829)=1,VLOOKUP(LEFT($M829,1),B824:I831,6,FALSE),IF(LEN($M829)=2,VLOOKUP(LEFT($M829,1),B824:I831,8,FALSE),""))</f>
        <v/>
      </c>
      <c r="Q829" s="341" t="s">
        <v>276</v>
      </c>
      <c r="R829" s="146" t="str">
        <f t="shared" si="735"/>
        <v/>
      </c>
      <c r="S829" s="927"/>
      <c r="T829" s="927"/>
      <c r="U829" s="353" t="str">
        <f>IF(LEN($S829)=1,VLOOKUP(LEFT($S829,1),B824:I831,5,FALSE),IF(LEN($S829)=2,VLOOKUP(LEFT($S829,1),B824:I831,7,FALSE),""))</f>
        <v/>
      </c>
      <c r="V829" s="373" t="str">
        <f>IF(LEN($S829)=1,VLOOKUP(LEFT($S829,1),B824:I831,6,FALSE),IF(LEN($S829)=2,VLOOKUP(LEFT($S829,1),B824:I831,8,FALSE),""))</f>
        <v/>
      </c>
      <c r="W829" s="417">
        <f t="shared" si="742"/>
        <v>3</v>
      </c>
      <c r="Y829" s="417">
        <v>32</v>
      </c>
      <c r="Z829" s="16">
        <f t="shared" si="736"/>
        <v>0</v>
      </c>
      <c r="AA829" s="146">
        <f t="shared" si="737"/>
        <v>0</v>
      </c>
      <c r="AB829" s="32"/>
      <c r="AC829" s="16" t="str">
        <f t="shared" si="738"/>
        <v>D</v>
      </c>
      <c r="AD829" s="419" t="str">
        <f t="shared" si="738"/>
        <v>Stratford</v>
      </c>
      <c r="AE829" s="419">
        <f>IF(ISNA(MATCH(AC829,N824:N833,0)),0,VLOOKUP(AC829,N824:S833,5,FALSE))</f>
        <v>0</v>
      </c>
      <c r="AF829" s="419" t="str">
        <f>IF(ISNA(MATCH(AC829,T824:T833,0))," ",VLOOKUP(AC829,T824:Y833,5,FALSE))</f>
        <v xml:space="preserve"> </v>
      </c>
      <c r="AG829" s="419">
        <f>IF(ISNA(MATCH(AC829,L824:L831,0)),0,VLOOKUP(AC829,L824:N831,3,FALSE))</f>
        <v>0</v>
      </c>
      <c r="AH829" s="419">
        <f>IF(ISNA(MATCH(AC829,R824:R831,0)),0,VLOOKUP(AC829,R824:T831,3,FALSE))</f>
        <v>0</v>
      </c>
      <c r="AI829" s="419">
        <f>IF(ISNA(MATCH(AC829,L824:L831,0)),0,VLOOKUP(AC829,L824:P831,4,FALSE))</f>
        <v>0</v>
      </c>
      <c r="AJ829" s="419">
        <f>IF(ISNA(MATCH(AC829,R824:R831,0)),0,VLOOKUP(AC829,R824:U831,4,FALSE))</f>
        <v>0</v>
      </c>
      <c r="AK829" s="32">
        <f t="shared" si="739"/>
        <v>0</v>
      </c>
      <c r="AL829" s="32">
        <f t="shared" si="740"/>
        <v>0</v>
      </c>
      <c r="AM829" s="32">
        <f>IF(ISNA(MATCH(AC829,L824:L831,0)),0,VLOOKUP(AC829,L824:W831,AM$1,FALSE))</f>
        <v>0</v>
      </c>
      <c r="AN829" s="146">
        <f>IF(ISNA(MATCH(AC829,R824:R831,0)),0,VLOOKUP(AC829,R824:W831,AN$1,FALSE))</f>
        <v>0</v>
      </c>
      <c r="AP829" s="927"/>
      <c r="AQ829" s="927"/>
    </row>
    <row r="830" spans="1:47" ht="15.6" x14ac:dyDescent="0.3">
      <c r="A830" s="417">
        <f t="shared" si="741"/>
        <v>747</v>
      </c>
      <c r="B830" s="362" t="str">
        <f>'Event Details'!D$28</f>
        <v>F</v>
      </c>
      <c r="C830" s="381" t="str">
        <f>'Event Details'!E$28</f>
        <v>Tamworth</v>
      </c>
      <c r="D830" s="379"/>
      <c r="E830" s="378"/>
      <c r="F830" s="363">
        <f>VLOOKUP($B823,IF($H823="F",TeamSheetFemale,TeamSheetMale),$Y830-1,FALSE)</f>
        <v>0</v>
      </c>
      <c r="G830" s="380">
        <f>VLOOKUP($B823,IF($H823="F",TeamSheetFemale,TeamSheetMale),$Y830,FALSE)</f>
        <v>0</v>
      </c>
      <c r="H830" s="363">
        <f>VLOOKUP($B823,IF($H823="F",TeamSheetFemale,TeamSheetMale),$Y830+1,FALSE)</f>
        <v>0</v>
      </c>
      <c r="I830" s="364">
        <f>VLOOKUP($B823,IF($H823="F",TeamSheetFemale,TeamSheetMale),$Y830+2,FALSE)</f>
        <v>0</v>
      </c>
      <c r="K830" s="341" t="s">
        <v>277</v>
      </c>
      <c r="L830" s="16" t="str">
        <f t="shared" si="734"/>
        <v/>
      </c>
      <c r="M830" s="927"/>
      <c r="N830" s="927"/>
      <c r="O830" s="353" t="str">
        <f>IF(LEN($M830)=1,VLOOKUP(LEFT($M830,1),B824:I831,5,FALSE),IF(LEN($M830)=2,VLOOKUP(LEFT($M830,1),B824:I831,7,FALSE),""))</f>
        <v/>
      </c>
      <c r="P830" s="373" t="str">
        <f>IF(LEN($M830)=1,VLOOKUP(LEFT($M830,1),B824:I831,6,FALSE),IF(LEN($M830)=2,VLOOKUP(LEFT($M830,1),B824:I831,8,FALSE),""))</f>
        <v/>
      </c>
      <c r="Q830" s="341" t="s">
        <v>277</v>
      </c>
      <c r="R830" s="146" t="str">
        <f t="shared" si="735"/>
        <v/>
      </c>
      <c r="S830" s="927"/>
      <c r="T830" s="927"/>
      <c r="U830" s="353" t="str">
        <f>IF(LEN($S830)=1,VLOOKUP(LEFT($S830,1),B824:I831,5,FALSE),IF(LEN($S830)=2,VLOOKUP(LEFT($S830,1),B824:I831,7,FALSE),""))</f>
        <v/>
      </c>
      <c r="V830" s="373" t="str">
        <f>IF(LEN($S830)=1,VLOOKUP(LEFT($S830,1),B824:I831,6,FALSE),IF(LEN($S830)=2,VLOOKUP(LEFT($S830,1),B824:I831,8,FALSE),""))</f>
        <v/>
      </c>
      <c r="W830" s="417">
        <f t="shared" si="742"/>
        <v>2</v>
      </c>
      <c r="Y830" s="417">
        <v>37</v>
      </c>
      <c r="Z830" s="16">
        <f t="shared" si="736"/>
        <v>0</v>
      </c>
      <c r="AA830" s="146">
        <f t="shared" si="737"/>
        <v>0</v>
      </c>
      <c r="AB830" s="32"/>
      <c r="AC830" s="16" t="str">
        <f t="shared" si="738"/>
        <v>F</v>
      </c>
      <c r="AD830" s="419" t="str">
        <f t="shared" si="738"/>
        <v>Tamworth</v>
      </c>
      <c r="AE830" s="419">
        <f>IF(ISNA(MATCH(AC830,N822:N831,0)),0,VLOOKUP(AC830,N822:S831,5,FALSE))</f>
        <v>0</v>
      </c>
      <c r="AF830" s="419" t="str">
        <f>IF(ISNA(MATCH(AC830,T822:T831,0))," ",VLOOKUP(AC830,T822:Y831,5,FALSE))</f>
        <v xml:space="preserve"> </v>
      </c>
      <c r="AG830" s="419">
        <f>IF(ISNA(MATCH(AC830,L824:L831,0)),0,VLOOKUP(AC830,L824:N831,3,FALSE))</f>
        <v>0</v>
      </c>
      <c r="AH830" s="419">
        <f>IF(ISNA(MATCH(AC830,R824:R831,0)),0,VLOOKUP(AC830,R824:T831,3,FALSE))</f>
        <v>0</v>
      </c>
      <c r="AI830" s="419">
        <f>IF(ISNA(MATCH(AC830,L824:L831,0)),0,VLOOKUP(AC830,L824:P831,4,FALSE))</f>
        <v>0</v>
      </c>
      <c r="AJ830" s="419">
        <f>IF(ISNA(MATCH(AC830,R824:R831,0)),0,VLOOKUP(AC830,R824:U831,4,FALSE))</f>
        <v>0</v>
      </c>
      <c r="AK830" s="32">
        <f t="shared" si="739"/>
        <v>0</v>
      </c>
      <c r="AL830" s="32">
        <f t="shared" si="740"/>
        <v>0</v>
      </c>
      <c r="AM830" s="32">
        <f>IF(ISNA(MATCH(AC830,L824:L831,0)),0,VLOOKUP(AC830,L824:W831,AM$1,FALSE))</f>
        <v>0</v>
      </c>
      <c r="AN830" s="146">
        <f>IF(ISNA(MATCH(AC830,R824:R831,0)),0,VLOOKUP(AC830,R824:W831,AN$1,FALSE))</f>
        <v>0</v>
      </c>
      <c r="AP830" s="927"/>
      <c r="AQ830" s="927"/>
    </row>
    <row r="831" spans="1:47" ht="16.2" thickBot="1" x14ac:dyDescent="0.35">
      <c r="A831" s="418">
        <f t="shared" si="741"/>
        <v>748</v>
      </c>
      <c r="B831" s="365" t="str">
        <f>'Event Details'!D$29</f>
        <v>Y</v>
      </c>
      <c r="C831" s="366" t="str">
        <f>'Event Details'!E$29</f>
        <v>Worcester</v>
      </c>
      <c r="D831" s="361"/>
      <c r="E831" s="370"/>
      <c r="F831" s="367">
        <f>VLOOKUP($B823,IF($H823="F",TeamSheetFemale,TeamSheetMale),$Y831-1,FALSE)</f>
        <v>0</v>
      </c>
      <c r="G831" s="368">
        <f>VLOOKUP($B823,IF($H823="F",TeamSheetFemale,TeamSheetMale),$Y831,FALSE)</f>
        <v>0</v>
      </c>
      <c r="H831" s="367">
        <f>VLOOKUP($B823,IF($H823="F",TeamSheetFemale,TeamSheetMale),$Y831+1,FALSE)</f>
        <v>0</v>
      </c>
      <c r="I831" s="369">
        <f>VLOOKUP($B823,IF($H823="F",TeamSheetFemale,TeamSheetMale),$Y831+2,FALSE)</f>
        <v>0</v>
      </c>
      <c r="K831" s="346" t="s">
        <v>278</v>
      </c>
      <c r="L831" s="25" t="str">
        <f t="shared" si="734"/>
        <v/>
      </c>
      <c r="M831" s="932"/>
      <c r="N831" s="932"/>
      <c r="O831" s="375" t="str">
        <f>IF(LEN($M831)=1,VLOOKUP(LEFT($M831,1),B824:I831,5,FALSE),IF(LEN($M831)=2,VLOOKUP(LEFT($M831,1),B824:I831,7,FALSE),""))</f>
        <v/>
      </c>
      <c r="P831" s="376" t="str">
        <f>IF(LEN($M831)=1,VLOOKUP(LEFT($M831,1),B824:I831,6,FALSE),IF(LEN($M831)=2,VLOOKUP(LEFT($M831,1),B824:I831,8,FALSE),""))</f>
        <v/>
      </c>
      <c r="Q831" s="346" t="s">
        <v>278</v>
      </c>
      <c r="R831" s="523" t="str">
        <f t="shared" si="735"/>
        <v/>
      </c>
      <c r="S831" s="932"/>
      <c r="T831" s="932"/>
      <c r="U831" s="375" t="str">
        <f>IF(LEN($S831)=1,VLOOKUP(LEFT($S831,1),B824:I831,5,FALSE),IF(LEN($S831)=2,VLOOKUP(LEFT($S831,1),B824:I831,7,FALSE),""))</f>
        <v/>
      </c>
      <c r="V831" s="376" t="str">
        <f>IF(LEN($S831)=1,VLOOKUP(LEFT($S831,1),B824:I831,6,FALSE),IF(LEN($S831)=2,VLOOKUP(LEFT($S831,1),B824:I831,8,FALSE),""))</f>
        <v/>
      </c>
      <c r="W831" s="418">
        <f t="shared" si="742"/>
        <v>1</v>
      </c>
      <c r="Y831" s="418">
        <v>42</v>
      </c>
      <c r="Z831" s="25">
        <f t="shared" si="736"/>
        <v>0</v>
      </c>
      <c r="AA831" s="523">
        <f t="shared" si="737"/>
        <v>0</v>
      </c>
      <c r="AB831" s="32"/>
      <c r="AC831" s="25" t="str">
        <f t="shared" si="738"/>
        <v>Y</v>
      </c>
      <c r="AD831" s="624" t="str">
        <f t="shared" si="738"/>
        <v>Worcester</v>
      </c>
      <c r="AE831" s="624">
        <f>IF(ISNA(MATCH(AC831,N823:N832,0)),0,VLOOKUP(AC831,N823:S832,5,FALSE))</f>
        <v>0</v>
      </c>
      <c r="AF831" s="624" t="str">
        <f t="shared" ref="AF831" si="743">IF(ISNA(MATCH(AC831,T823:T832,0))," ",VLOOKUP(AC831,T823:Y832,5,FALSE))</f>
        <v xml:space="preserve"> </v>
      </c>
      <c r="AG831" s="624">
        <f>IF(ISNA(MATCH(AC831,L824:L831,0)),0,VLOOKUP(AC831,L824:N831,3,FALSE))</f>
        <v>0</v>
      </c>
      <c r="AH831" s="624">
        <f>IF(ISNA(MATCH(AC831,R824:R831,0)),0,VLOOKUP(AC831,R824:T831,3,FALSE))</f>
        <v>0</v>
      </c>
      <c r="AI831" s="624">
        <f>IF(ISNA(MATCH(AC831,L824:L831,0)),0,VLOOKUP(AC831,L824:P831,4,FALSE))</f>
        <v>0</v>
      </c>
      <c r="AJ831" s="624">
        <f>IF(ISNA(MATCH(AC831,R824:R831,0)),0,VLOOKUP(AC831,R824:U831,4,FALSE))</f>
        <v>0</v>
      </c>
      <c r="AK831" s="116">
        <f t="shared" si="739"/>
        <v>0</v>
      </c>
      <c r="AL831" s="116">
        <f t="shared" si="740"/>
        <v>0</v>
      </c>
      <c r="AM831" s="116">
        <f>IF(ISNA(MATCH(AC831,L824:L831,0)),0,VLOOKUP(AC831,L824:W831,AM$1,FALSE))</f>
        <v>0</v>
      </c>
      <c r="AN831" s="523">
        <f>IF(ISNA(MATCH(AC831,R824:R831,0)),0,VLOOKUP(AC831,R824:W831,AN$1,FALSE))</f>
        <v>0</v>
      </c>
      <c r="AP831" s="932"/>
      <c r="AQ831" s="932"/>
    </row>
    <row r="832" spans="1:47" ht="15" thickBot="1" x14ac:dyDescent="0.35">
      <c r="M832" s="276"/>
      <c r="N832" s="307"/>
      <c r="S832" s="276"/>
      <c r="T832" s="307"/>
      <c r="AP832" s="276"/>
      <c r="AQ832" s="307"/>
    </row>
    <row r="833" spans="1:47" x14ac:dyDescent="0.3">
      <c r="B833" s="400" t="s">
        <v>258</v>
      </c>
      <c r="C833" s="398"/>
      <c r="D833" s="401" t="s">
        <v>165</v>
      </c>
      <c r="E833" s="398"/>
      <c r="F833" s="398"/>
      <c r="G833" s="402" t="s">
        <v>259</v>
      </c>
      <c r="H833" s="403" t="s">
        <v>249</v>
      </c>
      <c r="I833" s="404" t="s">
        <v>168</v>
      </c>
      <c r="K833" s="360"/>
      <c r="L833" s="661"/>
      <c r="M833" s="387" t="s">
        <v>260</v>
      </c>
      <c r="N833" s="387" t="s">
        <v>261</v>
      </c>
      <c r="O833" s="387" t="s">
        <v>262</v>
      </c>
      <c r="P833" s="388" t="s">
        <v>75</v>
      </c>
      <c r="Q833" s="412"/>
      <c r="R833" s="657"/>
      <c r="S833" s="387" t="s">
        <v>260</v>
      </c>
      <c r="T833" s="387" t="s">
        <v>261</v>
      </c>
      <c r="U833" s="387" t="s">
        <v>262</v>
      </c>
      <c r="V833" s="388" t="s">
        <v>75</v>
      </c>
      <c r="W833" s="672" t="s">
        <v>76</v>
      </c>
      <c r="Y833" s="654" t="s">
        <v>263</v>
      </c>
      <c r="Z833" s="656" t="s">
        <v>74</v>
      </c>
      <c r="AA833" s="657" t="s">
        <v>75</v>
      </c>
      <c r="AC833" s="665" t="s">
        <v>71</v>
      </c>
      <c r="AD833" s="657" t="s">
        <v>86</v>
      </c>
      <c r="AE833" s="661" t="s">
        <v>149</v>
      </c>
      <c r="AF833" s="661" t="s">
        <v>94</v>
      </c>
      <c r="AG833" s="661" t="s">
        <v>149</v>
      </c>
      <c r="AH833" s="661" t="s">
        <v>94</v>
      </c>
      <c r="AI833" s="661" t="s">
        <v>149</v>
      </c>
      <c r="AJ833" s="661" t="s">
        <v>94</v>
      </c>
      <c r="AK833" s="1332" t="s">
        <v>149</v>
      </c>
      <c r="AL833" s="661" t="s">
        <v>94</v>
      </c>
      <c r="AM833" s="1406" t="s">
        <v>76</v>
      </c>
      <c r="AN833" s="1407"/>
      <c r="AP833" s="387" t="s">
        <v>260</v>
      </c>
      <c r="AQ833" s="387" t="s">
        <v>261</v>
      </c>
      <c r="AS833" s="1218" t="s">
        <v>165</v>
      </c>
      <c r="AT833" s="1219" t="s">
        <v>79</v>
      </c>
      <c r="AU833" s="1220" t="s">
        <v>80</v>
      </c>
    </row>
    <row r="834" spans="1:47" ht="15" thickBot="1" x14ac:dyDescent="0.35">
      <c r="B834" s="405">
        <v>75</v>
      </c>
      <c r="C834" s="399"/>
      <c r="D834" s="385" t="str">
        <f>VLOOKUP($B834,EventOrder,6,FALSE)</f>
        <v>Javelin Match 1 &amp; 3</v>
      </c>
      <c r="E834" s="399"/>
      <c r="F834" s="385"/>
      <c r="G834" s="386" t="str">
        <f>VLOOKUP($B834,EventOrder,4,FALSE)</f>
        <v>U14 Female</v>
      </c>
      <c r="H834" s="396" t="str">
        <f>IF(MID(G834,5,1)="F","F","M")</f>
        <v>F</v>
      </c>
      <c r="I834" s="397">
        <f>VLOOKUP($B834,EventOrder,2,FALSE)</f>
        <v>4.2</v>
      </c>
      <c r="K834" s="372"/>
      <c r="L834" s="667" t="s">
        <v>149</v>
      </c>
      <c r="M834" s="409" t="s">
        <v>264</v>
      </c>
      <c r="N834" s="409" t="s">
        <v>265</v>
      </c>
      <c r="O834" s="409" t="s">
        <v>266</v>
      </c>
      <c r="P834" s="408"/>
      <c r="Q834" s="413"/>
      <c r="R834" s="659" t="s">
        <v>94</v>
      </c>
      <c r="S834" s="409" t="s">
        <v>264</v>
      </c>
      <c r="T834" s="409" t="s">
        <v>265</v>
      </c>
      <c r="U834" s="409" t="s">
        <v>266</v>
      </c>
      <c r="V834" s="408"/>
      <c r="W834" s="671"/>
      <c r="Y834" s="655" t="s">
        <v>167</v>
      </c>
      <c r="Z834" s="658" t="s">
        <v>149</v>
      </c>
      <c r="AA834" s="659" t="s">
        <v>94</v>
      </c>
      <c r="AC834" s="666"/>
      <c r="AD834" s="668"/>
      <c r="AE834" s="768" t="s">
        <v>75</v>
      </c>
      <c r="AF834" s="768" t="s">
        <v>75</v>
      </c>
      <c r="AG834" s="768" t="s">
        <v>267</v>
      </c>
      <c r="AH834" s="768" t="s">
        <v>267</v>
      </c>
      <c r="AI834" s="768" t="s">
        <v>268</v>
      </c>
      <c r="AJ834" s="768" t="s">
        <v>268</v>
      </c>
      <c r="AK834" s="770" t="s">
        <v>269</v>
      </c>
      <c r="AL834" s="768" t="s">
        <v>269</v>
      </c>
      <c r="AM834" s="667" t="s">
        <v>149</v>
      </c>
      <c r="AN834" s="659" t="s">
        <v>94</v>
      </c>
      <c r="AP834" s="409" t="s">
        <v>264</v>
      </c>
      <c r="AQ834" s="409" t="s">
        <v>265</v>
      </c>
      <c r="AS834" s="1221" t="s">
        <v>270</v>
      </c>
      <c r="AT834" s="1222" t="s">
        <v>270</v>
      </c>
      <c r="AU834" s="1223" t="s">
        <v>270</v>
      </c>
    </row>
    <row r="835" spans="1:47" ht="15.6" x14ac:dyDescent="0.3">
      <c r="A835" s="416">
        <f>(B834*10)+1</f>
        <v>751</v>
      </c>
      <c r="B835" s="362" t="str">
        <f>'Event Details'!D$22</f>
        <v>S</v>
      </c>
      <c r="C835" s="381" t="str">
        <f>'Event Details'!E$22</f>
        <v>BRAT</v>
      </c>
      <c r="D835" s="379"/>
      <c r="E835" s="378"/>
      <c r="F835" s="363" t="str">
        <f>VLOOKUP($B834,IF($H834="F",TeamSheetFemale,TeamSheetMale),$Y835-1,FALSE)</f>
        <v>S</v>
      </c>
      <c r="G835" s="380" t="str">
        <f>VLOOKUP($B834,IF($H834="F",TeamSheetFemale,TeamSheetMale),$Y835,FALSE)</f>
        <v>Darcy mcdaid</v>
      </c>
      <c r="H835" s="363" t="str">
        <f>VLOOKUP($B834,IF($H834="F",TeamSheetFemale,TeamSheetMale),$Y835+1,FALSE)</f>
        <v>SS</v>
      </c>
      <c r="I835" s="364" t="str">
        <f>VLOOKUP($B834,IF($H834="F",TeamSheetFemale,TeamSheetMale),$Y835+2,FALSE)</f>
        <v>Hiba Bailey</v>
      </c>
      <c r="K835" s="393" t="s">
        <v>271</v>
      </c>
      <c r="L835" s="16" t="str">
        <f t="shared" ref="L835:L842" si="744">LEFT(M835,1)</f>
        <v>D</v>
      </c>
      <c r="M835" s="926" t="s">
        <v>136</v>
      </c>
      <c r="N835" s="926">
        <v>30.95</v>
      </c>
      <c r="O835" s="394" t="str">
        <f>IF(LEN($M835)=1,VLOOKUP(LEFT($M835,1),B835:I842,5,FALSE),IF(LEN($M835)=2,VLOOKUP(LEFT($M835,1),B835:I842,7,FALSE),""))</f>
        <v>D</v>
      </c>
      <c r="P835" s="395" t="str">
        <f>IF(LEN($M835)=1,VLOOKUP(LEFT($M835,1),B835:I842,6,FALSE),IF(LEN($M835)=2,VLOOKUP(LEFT($M835,1),B835:I842,8,FALSE),""))</f>
        <v>Alice McIntosh</v>
      </c>
      <c r="Q835" s="406" t="s">
        <v>271</v>
      </c>
      <c r="R835" s="146" t="str">
        <f t="shared" ref="R835:R842" si="745">LEFT(S835,1)</f>
        <v>R</v>
      </c>
      <c r="S835" s="926" t="s">
        <v>819</v>
      </c>
      <c r="T835" s="926">
        <v>17.53</v>
      </c>
      <c r="U835" s="394" t="str">
        <f>IF(LEN($S835)=1,VLOOKUP(LEFT($S835,1),B835:I842,5,FALSE),IF(LEN($S835)=2,VLOOKUP(LEFT($S835,1),B835:I842,7,FALSE),""))</f>
        <v>RR</v>
      </c>
      <c r="V835" s="395" t="str">
        <f>IF(LEN($S835)=1,VLOOKUP(LEFT($S835,1),B835:I842,6,FALSE),IF(LEN($S835)=2,VLOOKUP(LEFT($S835,1),B835:I842,8,FALSE),""))</f>
        <v>Reese Ridgway</v>
      </c>
      <c r="W835" s="417">
        <f>AN$6</f>
        <v>8</v>
      </c>
      <c r="Y835" s="653">
        <v>7</v>
      </c>
      <c r="Z835" s="653" t="str">
        <f t="shared" ref="Z835:Z842" si="746">IF(LEN(M835)&gt;0,VLOOKUP(LEFT(M835,1),ShortName,5,FALSE),0)</f>
        <v>Strat</v>
      </c>
      <c r="AA835" s="138" t="str">
        <f t="shared" ref="AA835:AA842" si="747">IF(LEN(S835)&gt;0,VLOOKUP(LEFT(S835,1),ShortName,5,FALSE),0)</f>
        <v>Rugby</v>
      </c>
      <c r="AC835" s="16" t="str">
        <f t="shared" ref="AC835:AD842" si="748">B835</f>
        <v>S</v>
      </c>
      <c r="AD835" s="419" t="str">
        <f t="shared" si="748"/>
        <v>BRAT</v>
      </c>
      <c r="AE835" s="635">
        <f>IF(ISNA(MATCH(AC835,N835:N844,0)),0,VLOOKUP(AC835,N835:S844,5,FALSE))</f>
        <v>0</v>
      </c>
      <c r="AF835" s="635" t="str">
        <f>IF(ISNA(MATCH(AC835,T835:T844,0))," ",VLOOKUP(AC835,T835:Y844,5,FALSE))</f>
        <v xml:space="preserve"> </v>
      </c>
      <c r="AG835" s="635">
        <f>IF(ISNA(MATCH(AC835,L835:L842,0)),0,VLOOKUP(AC835,L835:N842,3,FALSE))</f>
        <v>23.03</v>
      </c>
      <c r="AH835" s="635">
        <f>IF(ISNA(MATCH(AC835,R835:R842,0)),0,VLOOKUP(AC835,R835:T842,3,FALSE))</f>
        <v>17.399999999999999</v>
      </c>
      <c r="AI835" s="635" t="str">
        <f>IF(ISNA(MATCH(AC835,L835:L842,0)),0,VLOOKUP(AC835,L835:P842,4,FALSE))</f>
        <v>S</v>
      </c>
      <c r="AJ835" s="635" t="str">
        <f>IF(ISNA(MATCH(AC835,R835:R842,0)),0,VLOOKUP(AC835,R835:U842,4,FALSE))</f>
        <v>SS</v>
      </c>
      <c r="AK835" s="49">
        <f t="shared" ref="AK835:AK842" si="749">IF(AM835=0,0,AN$6-(AM835-1))</f>
        <v>3</v>
      </c>
      <c r="AL835" s="49">
        <f t="shared" ref="AL835:AL842" si="750">IF(AN835=0,0,AN$6-(AN835-1))</f>
        <v>2</v>
      </c>
      <c r="AM835" s="49">
        <f>IF(ISNA(MATCH(AC835,L835:L842,0)),0,VLOOKUP(AC835,L835:W842,AM$1,FALSE))</f>
        <v>6</v>
      </c>
      <c r="AN835" s="138">
        <f>IF(ISNA(MATCH(AC835,R835:R842,0)),0,VLOOKUP(AC835,R835:W842,AN$1,FALSE))</f>
        <v>7</v>
      </c>
      <c r="AP835" s="926"/>
      <c r="AQ835" s="926"/>
      <c r="AS835" s="32">
        <f>IF(LEN(N835)&gt;0,1,0)</f>
        <v>1</v>
      </c>
      <c r="AT835" s="32">
        <f>IF(AND(AS835=1,H834="M"),1,0)</f>
        <v>0</v>
      </c>
      <c r="AU835" s="32">
        <f>IF(AND(AS835=1,H834="F"),1,0)</f>
        <v>1</v>
      </c>
    </row>
    <row r="836" spans="1:47" ht="15.6" x14ac:dyDescent="0.3">
      <c r="A836" s="417">
        <f>A835+1</f>
        <v>752</v>
      </c>
      <c r="B836" s="362" t="str">
        <f>'Event Details'!D$23</f>
        <v>U</v>
      </c>
      <c r="C836" s="381" t="str">
        <f>'Event Details'!E$23</f>
        <v>Kidder &amp; Stourport</v>
      </c>
      <c r="D836" s="379"/>
      <c r="E836" s="378"/>
      <c r="F836" s="363" t="str">
        <f>VLOOKUP($B834,IF($H834="F",TeamSheetFemale,TeamSheetMale),$Y836-1,FALSE)</f>
        <v>U</v>
      </c>
      <c r="G836" s="380" t="str">
        <f>VLOOKUP($B834,IF($H834="F",TeamSheetFemale,TeamSheetMale),$Y836,FALSE)</f>
        <v>Amelie Davis-Beard</v>
      </c>
      <c r="H836" s="363" t="str">
        <f>VLOOKUP($B834,IF($H834="F",TeamSheetFemale,TeamSheetMale),$Y836+1,FALSE)</f>
        <v>UU</v>
      </c>
      <c r="I836" s="364" t="str">
        <f>VLOOKUP($B834,IF($H834="F",TeamSheetFemale,TeamSheetMale),$Y836+2,FALSE)</f>
        <v>Imogen McCann</v>
      </c>
      <c r="K836" s="341" t="s">
        <v>272</v>
      </c>
      <c r="L836" s="16" t="str">
        <f t="shared" si="744"/>
        <v>M</v>
      </c>
      <c r="M836" s="927" t="s">
        <v>127</v>
      </c>
      <c r="N836" s="927">
        <v>27</v>
      </c>
      <c r="O836" s="354" t="str">
        <f>IF(LEN($M836)=1,VLOOKUP(LEFT($M836,1),B835:I842,5,FALSE),IF(LEN($M836)=2,VLOOKUP(LEFT($M836,1),B835:I842,7,FALSE),""))</f>
        <v>M</v>
      </c>
      <c r="P836" s="410" t="str">
        <f>IF(LEN($M836)=1,VLOOKUP(LEFT($M836,1),B835:I842,6,FALSE),IF(LEN($M836)=2,VLOOKUP(LEFT($M836,1),B835:I842,8,FALSE),""))</f>
        <v>Edith Masson</v>
      </c>
      <c r="Q836" s="371" t="s">
        <v>272</v>
      </c>
      <c r="R836" s="146" t="str">
        <f t="shared" si="745"/>
        <v>S</v>
      </c>
      <c r="S836" s="927" t="s">
        <v>818</v>
      </c>
      <c r="T836" s="927">
        <v>17.399999999999999</v>
      </c>
      <c r="U836" s="354" t="str">
        <f>IF(LEN($S836)=1,VLOOKUP(LEFT($S836,1),B835:I842,5,FALSE),IF(LEN($S836)=2,VLOOKUP(LEFT($S836,1),B835:I842,7,FALSE),""))</f>
        <v>SS</v>
      </c>
      <c r="V836" s="410" t="str">
        <f>IF(LEN($S836)=1,VLOOKUP(LEFT($S836,1),B835:I842,6,FALSE),IF(LEN($S836)=2,VLOOKUP(LEFT($S836,1),B835:I842,8,FALSE),""))</f>
        <v>Hiba Bailey</v>
      </c>
      <c r="W836" s="417">
        <f>W835-1</f>
        <v>7</v>
      </c>
      <c r="Y836" s="16">
        <v>12</v>
      </c>
      <c r="Z836" s="16" t="str">
        <f t="shared" si="746"/>
        <v>Sol</v>
      </c>
      <c r="AA836" s="146" t="str">
        <f t="shared" si="747"/>
        <v>BRAT</v>
      </c>
      <c r="AC836" s="16" t="str">
        <f t="shared" si="748"/>
        <v>U</v>
      </c>
      <c r="AD836" s="419" t="str">
        <f t="shared" si="748"/>
        <v>Kidder &amp; Stourport</v>
      </c>
      <c r="AE836" s="419">
        <f>IF(ISNA(MATCH(AC836,N835:N844,0)),0,VLOOKUP(AC836,N835:S844,5,FALSE))</f>
        <v>0</v>
      </c>
      <c r="AF836" s="419" t="str">
        <f>IF(ISNA(MATCH(AC836,T835:T844,0))," ",VLOOKUP(AC836,T835:Y844,5,FALSE))</f>
        <v xml:space="preserve"> </v>
      </c>
      <c r="AG836" s="419">
        <f>IF(ISNA(MATCH(AC836,L835:L842,0)),0,VLOOKUP(AC836,L835:N842,3,FALSE))</f>
        <v>20.11</v>
      </c>
      <c r="AH836" s="419">
        <f>IF(ISNA(MATCH(AC836,R835:R842,0)),0,VLOOKUP(AC836,R835:T842,3,FALSE))</f>
        <v>16.54</v>
      </c>
      <c r="AI836" s="419" t="str">
        <f>IF(ISNA(MATCH(AC836,L835:L842,0)),0,VLOOKUP(AC836,L835:P842,4,FALSE))</f>
        <v>U</v>
      </c>
      <c r="AJ836" s="419" t="str">
        <f>IF(ISNA(MATCH(AC836,R835:R842,0)),0,VLOOKUP(AC836,R835:U842,4,FALSE))</f>
        <v>UU</v>
      </c>
      <c r="AK836" s="32">
        <f t="shared" si="749"/>
        <v>5</v>
      </c>
      <c r="AL836" s="32">
        <f t="shared" si="750"/>
        <v>3</v>
      </c>
      <c r="AM836" s="32">
        <f>IF(ISNA(MATCH(AC836,L835:L842,0)),0,VLOOKUP(AC836,L835:W842,AM$1,FALSE))</f>
        <v>4</v>
      </c>
      <c r="AN836" s="146">
        <f>IF(ISNA(MATCH(AC836,R835:R842,0)),0,VLOOKUP(AC836,R835:W842,AN$1,FALSE))</f>
        <v>6</v>
      </c>
      <c r="AP836" s="927"/>
      <c r="AQ836" s="927"/>
    </row>
    <row r="837" spans="1:47" ht="15.6" x14ac:dyDescent="0.3">
      <c r="A837" s="417">
        <f t="shared" ref="A837:A842" si="751">A836+1</f>
        <v>753</v>
      </c>
      <c r="B837" s="362" t="str">
        <f>'Event Details'!D$24</f>
        <v>G</v>
      </c>
      <c r="C837" s="381" t="str">
        <f>'Event Details'!E$24</f>
        <v>Royal Sutton</v>
      </c>
      <c r="D837" s="379"/>
      <c r="E837" s="378"/>
      <c r="F837" s="363" t="str">
        <f>VLOOKUP($B834,IF($H834="F",TeamSheetFemale,TeamSheetMale),$Y837-1,FALSE)</f>
        <v>G</v>
      </c>
      <c r="G837" s="380" t="str">
        <f>VLOOKUP($B834,IF($H834="F",TeamSheetFemale,TeamSheetMale),$Y837,FALSE)</f>
        <v>Annabelle Pattinson</v>
      </c>
      <c r="H837" s="363" t="str">
        <f>VLOOKUP($B834,IF($H834="F",TeamSheetFemale,TeamSheetMale),$Y837+1,FALSE)</f>
        <v>GG</v>
      </c>
      <c r="I837" s="364" t="str">
        <f>VLOOKUP($B834,IF($H834="F",TeamSheetFemale,TeamSheetMale),$Y837+2,FALSE)</f>
        <v>Mabel Edgerton</v>
      </c>
      <c r="K837" s="341" t="s">
        <v>273</v>
      </c>
      <c r="L837" s="16" t="str">
        <f t="shared" si="744"/>
        <v>S</v>
      </c>
      <c r="M837" s="927" t="s">
        <v>100</v>
      </c>
      <c r="N837" s="927">
        <v>23.03</v>
      </c>
      <c r="O837" s="354" t="str">
        <f>IF(LEN($M837)=1,VLOOKUP(LEFT($M837,1),B835:I842,5,FALSE),IF(LEN($M837)=2,VLOOKUP(LEFT($M837,1),B835:I842,7,FALSE),""))</f>
        <v>S</v>
      </c>
      <c r="P837" s="410" t="str">
        <f>IF(LEN($M837)=1,VLOOKUP(LEFT($M837,1),B835:I842,6,FALSE),IF(LEN($M837)=2,VLOOKUP(LEFT($M837,1),B835:I842,8,FALSE),""))</f>
        <v>Darcy mcdaid</v>
      </c>
      <c r="Q837" s="371" t="s">
        <v>273</v>
      </c>
      <c r="R837" s="146" t="str">
        <f t="shared" si="745"/>
        <v>U</v>
      </c>
      <c r="S837" s="927" t="s">
        <v>726</v>
      </c>
      <c r="T837" s="927">
        <v>16.54</v>
      </c>
      <c r="U837" s="354" t="str">
        <f>IF(LEN($S837)=1,VLOOKUP(LEFT($S837,1),B835:I842,5,FALSE),IF(LEN($S837)=2,VLOOKUP(LEFT($S837,1),B835:I842,7,FALSE),""))</f>
        <v>UU</v>
      </c>
      <c r="V837" s="410" t="str">
        <f>IF(LEN($S837)=1,VLOOKUP(LEFT($S837,1),B835:I842,6,FALSE),IF(LEN($S837)=2,VLOOKUP(LEFT($S837,1),B835:I842,8,FALSE),""))</f>
        <v>Imogen McCann</v>
      </c>
      <c r="W837" s="417">
        <f t="shared" ref="W837:W842" si="752">W836-1</f>
        <v>6</v>
      </c>
      <c r="Y837" s="16">
        <v>17</v>
      </c>
      <c r="Z837" s="16" t="str">
        <f t="shared" si="746"/>
        <v>BRAT</v>
      </c>
      <c r="AA837" s="146" t="str">
        <f t="shared" si="747"/>
        <v>K&amp;S</v>
      </c>
      <c r="AC837" s="16" t="str">
        <f t="shared" si="748"/>
        <v>G</v>
      </c>
      <c r="AD837" s="419" t="str">
        <f t="shared" si="748"/>
        <v>Royal Sutton</v>
      </c>
      <c r="AE837" s="419">
        <f>IF(ISNA(MATCH(AC837,N835:N844,0)),0,VLOOKUP(AC837,N835:S844,5,FALSE))</f>
        <v>0</v>
      </c>
      <c r="AF837" s="419" t="str">
        <f>IF(ISNA(MATCH(AC837,T835:T844,0))," ",VLOOKUP(AC837,T835:Y844,5,FALSE))</f>
        <v xml:space="preserve"> </v>
      </c>
      <c r="AG837" s="419">
        <f>IF(ISNA(MATCH(AC837,L835:L842,0)),0,VLOOKUP(AC837,L835:N842,3,FALSE))</f>
        <v>19.670000000000002</v>
      </c>
      <c r="AH837" s="419">
        <f>IF(ISNA(MATCH(AC837,R835:R842,0)),0,VLOOKUP(AC837,R835:T842,3,FALSE))</f>
        <v>10.42</v>
      </c>
      <c r="AI837" s="419" t="str">
        <f>IF(ISNA(MATCH(AC837,L835:L842,0)),0,VLOOKUP(AC837,L835:P842,4,FALSE))</f>
        <v>G</v>
      </c>
      <c r="AJ837" s="419" t="str">
        <f>IF(ISNA(MATCH(AC837,R835:R842,0)),0,VLOOKUP(AC837,R835:U842,4,FALSE))</f>
        <v>GG</v>
      </c>
      <c r="AK837" s="32">
        <f t="shared" si="749"/>
        <v>6</v>
      </c>
      <c r="AL837" s="32">
        <f t="shared" si="750"/>
        <v>5</v>
      </c>
      <c r="AM837" s="32">
        <f>IF(ISNA(MATCH(AC837,L835:L842,0)),0,VLOOKUP(AC837,L835:W842,AM$1,FALSE))</f>
        <v>3</v>
      </c>
      <c r="AN837" s="146">
        <f>IF(ISNA(MATCH(AC837,R835:R842,0)),0,VLOOKUP(AC837,R835:W842,AN$1,FALSE))</f>
        <v>4</v>
      </c>
      <c r="AP837" s="927"/>
      <c r="AQ837" s="927"/>
    </row>
    <row r="838" spans="1:47" ht="15.6" x14ac:dyDescent="0.3">
      <c r="A838" s="417">
        <f t="shared" si="751"/>
        <v>754</v>
      </c>
      <c r="B838" s="362" t="str">
        <f>'Event Details'!D$25</f>
        <v>R</v>
      </c>
      <c r="C838" s="381" t="str">
        <f>'Event Details'!E$25</f>
        <v>Rugby &amp; N'hampton</v>
      </c>
      <c r="D838" s="379"/>
      <c r="E838" s="378"/>
      <c r="F838" s="363" t="str">
        <f>VLOOKUP($B834,IF($H834="F",TeamSheetFemale,TeamSheetMale),$Y838-1,FALSE)</f>
        <v>R</v>
      </c>
      <c r="G838" s="380" t="str">
        <f>VLOOKUP($B834,IF($H834="F",TeamSheetFemale,TeamSheetMale),$Y838,FALSE)</f>
        <v>Taya Young</v>
      </c>
      <c r="H838" s="363" t="str">
        <f>VLOOKUP($B834,IF($H834="F",TeamSheetFemale,TeamSheetMale),$Y838+1,FALSE)</f>
        <v>RR</v>
      </c>
      <c r="I838" s="364" t="str">
        <f>VLOOKUP($B834,IF($H834="F",TeamSheetFemale,TeamSheetMale),$Y838+2,FALSE)</f>
        <v>Reese Ridgway</v>
      </c>
      <c r="K838" s="341" t="s">
        <v>274</v>
      </c>
      <c r="L838" s="16" t="str">
        <f t="shared" si="744"/>
        <v>R</v>
      </c>
      <c r="M838" s="927" t="s">
        <v>118</v>
      </c>
      <c r="N838" s="927">
        <v>21.53</v>
      </c>
      <c r="O838" s="354" t="str">
        <f>IF(LEN($M838)=1,VLOOKUP(LEFT($M838,1),B835:I842,5,FALSE),IF(LEN($M838)=2,VLOOKUP(LEFT($M838,1),B835:I842,7,FALSE),""))</f>
        <v>R</v>
      </c>
      <c r="P838" s="410" t="str">
        <f>IF(LEN($M838)=1,VLOOKUP(LEFT($M838,1),B835:I842,6,FALSE),IF(LEN($M838)=2,VLOOKUP(LEFT($M838,1),B835:I842,8,FALSE),""))</f>
        <v>Taya Young</v>
      </c>
      <c r="Q838" s="371" t="s">
        <v>274</v>
      </c>
      <c r="R838" s="146" t="str">
        <f t="shared" si="745"/>
        <v>D</v>
      </c>
      <c r="S838" s="927" t="s">
        <v>513</v>
      </c>
      <c r="T838" s="927">
        <v>11.31</v>
      </c>
      <c r="U838" s="354" t="str">
        <f>IF(LEN($S838)=1,VLOOKUP(LEFT($S838,1),B835:I842,5,FALSE),IF(LEN($S838)=2,VLOOKUP(LEFT($S838,1),B835:I842,7,FALSE),""))</f>
        <v>DD</v>
      </c>
      <c r="V838" s="410" t="str">
        <f>IF(LEN($S838)=1,VLOOKUP(LEFT($S838,1),B835:I842,6,FALSE),IF(LEN($S838)=2,VLOOKUP(LEFT($S838,1),B835:I842,8,FALSE),""))</f>
        <v>Martha Edwards</v>
      </c>
      <c r="W838" s="417">
        <f t="shared" si="752"/>
        <v>5</v>
      </c>
      <c r="Y838" s="16">
        <v>22</v>
      </c>
      <c r="Z838" s="16" t="str">
        <f t="shared" si="746"/>
        <v>Rugby</v>
      </c>
      <c r="AA838" s="146" t="str">
        <f t="shared" si="747"/>
        <v>Strat</v>
      </c>
      <c r="AC838" s="16" t="str">
        <f t="shared" si="748"/>
        <v>R</v>
      </c>
      <c r="AD838" s="419" t="str">
        <f t="shared" si="748"/>
        <v>Rugby &amp; N'hampton</v>
      </c>
      <c r="AE838" s="419">
        <f>IF(ISNA(MATCH(AC838,N835:N844,0)),0,VLOOKUP(AC838,N835:S844,5,FALSE))</f>
        <v>0</v>
      </c>
      <c r="AF838" s="419" t="str">
        <f>IF(ISNA(MATCH(AC838,T835:T844,0))," ",VLOOKUP(AC838,T835:Y844,5,FALSE))</f>
        <v xml:space="preserve"> </v>
      </c>
      <c r="AG838" s="419">
        <f>IF(ISNA(MATCH(AC838,L835:L842,0)),0,VLOOKUP(AC838,L835:N842,3,FALSE))</f>
        <v>21.53</v>
      </c>
      <c r="AH838" s="419">
        <f>IF(ISNA(MATCH(AC838,R835:R842,0)),0,VLOOKUP(AC838,R835:T842,3,FALSE))</f>
        <v>17.53</v>
      </c>
      <c r="AI838" s="419" t="str">
        <f>IF(ISNA(MATCH(AC838,L835:L842,0)),0,VLOOKUP(AC838,L835:P842,4,FALSE))</f>
        <v>R</v>
      </c>
      <c r="AJ838" s="419" t="str">
        <f>IF(ISNA(MATCH(AC838,R835:R842,0)),0,VLOOKUP(AC838,R835:U842,4,FALSE))</f>
        <v>RR</v>
      </c>
      <c r="AK838" s="32">
        <f t="shared" si="749"/>
        <v>4</v>
      </c>
      <c r="AL838" s="32">
        <f t="shared" si="750"/>
        <v>1</v>
      </c>
      <c r="AM838" s="32">
        <f>IF(ISNA(MATCH(AC838,L835:L842,0)),0,VLOOKUP(AC838,L835:W842,AM$1,FALSE))</f>
        <v>5</v>
      </c>
      <c r="AN838" s="146">
        <f>IF(ISNA(MATCH(AC838,R835:R842,0)),0,VLOOKUP(AC838,R835:W842,AN$1,FALSE))</f>
        <v>8</v>
      </c>
      <c r="AP838" s="927"/>
      <c r="AQ838" s="927"/>
    </row>
    <row r="839" spans="1:47" ht="15.6" x14ac:dyDescent="0.3">
      <c r="A839" s="417">
        <f t="shared" si="751"/>
        <v>755</v>
      </c>
      <c r="B839" s="362" t="str">
        <f>'Event Details'!D$26</f>
        <v>M</v>
      </c>
      <c r="C839" s="381" t="str">
        <f>'Event Details'!E$26</f>
        <v>Solihull &amp; S.Heath</v>
      </c>
      <c r="D839" s="379"/>
      <c r="E839" s="378"/>
      <c r="F839" s="363" t="str">
        <f>VLOOKUP($B834,IF($H834="F",TeamSheetFemale,TeamSheetMale),$Y839-1,FALSE)</f>
        <v>M</v>
      </c>
      <c r="G839" s="380" t="str">
        <f>VLOOKUP($B834,IF($H834="F",TeamSheetFemale,TeamSheetMale),$Y839,FALSE)</f>
        <v>Edith Masson</v>
      </c>
      <c r="H839" s="363" t="str">
        <f>VLOOKUP($B834,IF($H834="F",TeamSheetFemale,TeamSheetMale),$Y839+1,FALSE)</f>
        <v>MM</v>
      </c>
      <c r="I839" s="364" t="str">
        <f>VLOOKUP($B834,IF($H834="F",TeamSheetFemale,TeamSheetMale),$Y839+2,FALSE)</f>
        <v>Betsy Gilmore</v>
      </c>
      <c r="K839" s="341" t="s">
        <v>275</v>
      </c>
      <c r="L839" s="16" t="str">
        <f t="shared" si="744"/>
        <v>U</v>
      </c>
      <c r="M839" s="927" t="s">
        <v>130</v>
      </c>
      <c r="N839" s="927">
        <v>20.11</v>
      </c>
      <c r="O839" s="354" t="str">
        <f>IF(LEN($M839)=1,VLOOKUP(LEFT($M839,1),B835:I842,5,FALSE),IF(LEN($M839)=2,VLOOKUP(LEFT($M839,1),B835:I842,7,FALSE),""))</f>
        <v>U</v>
      </c>
      <c r="P839" s="410" t="str">
        <f>IF(LEN($M839)=1,VLOOKUP(LEFT($M839,1),B835:I842,6,FALSE),IF(LEN($M839)=2,VLOOKUP(LEFT($M839,1),B835:I842,8,FALSE),""))</f>
        <v>Amelie Davis-Beard</v>
      </c>
      <c r="Q839" s="371" t="s">
        <v>275</v>
      </c>
      <c r="R839" s="146" t="str">
        <f t="shared" si="745"/>
        <v>G</v>
      </c>
      <c r="S839" s="927" t="s">
        <v>820</v>
      </c>
      <c r="T839" s="927">
        <v>10.42</v>
      </c>
      <c r="U839" s="354" t="str">
        <f>IF(LEN($S839)=1,VLOOKUP(LEFT($S839,1),B835:I842,5,FALSE),IF(LEN($S839)=2,VLOOKUP(LEFT($S839,1),B835:I842,7,FALSE),""))</f>
        <v>GG</v>
      </c>
      <c r="V839" s="410" t="str">
        <f>IF(LEN($S839)=1,VLOOKUP(LEFT($S839,1),B835:I842,6,FALSE),IF(LEN($S839)=2,VLOOKUP(LEFT($S839,1),B835:I842,8,FALSE),""))</f>
        <v>Mabel Edgerton</v>
      </c>
      <c r="W839" s="417">
        <f t="shared" si="752"/>
        <v>4</v>
      </c>
      <c r="Y839" s="16">
        <v>27</v>
      </c>
      <c r="Z839" s="16" t="str">
        <f t="shared" si="746"/>
        <v>K&amp;S</v>
      </c>
      <c r="AA839" s="146" t="str">
        <f t="shared" si="747"/>
        <v>Royal</v>
      </c>
      <c r="AC839" s="16" t="str">
        <f t="shared" si="748"/>
        <v>M</v>
      </c>
      <c r="AD839" s="419" t="str">
        <f t="shared" si="748"/>
        <v>Solihull &amp; S.Heath</v>
      </c>
      <c r="AE839" s="419">
        <f>IF(ISNA(MATCH(AC839,N835:N844,0)),0,VLOOKUP(AC839,N835:S844,5,FALSE))</f>
        <v>0</v>
      </c>
      <c r="AF839" s="419" t="str">
        <f>IF(ISNA(MATCH(AC839,T835:T844,0))," ",VLOOKUP(AC839,T835:Y844,5,FALSE))</f>
        <v xml:space="preserve"> </v>
      </c>
      <c r="AG839" s="419">
        <f>IF(ISNA(MATCH(AC839,L835:L842,0)),0,VLOOKUP(AC839,L835:N842,3,FALSE))</f>
        <v>27</v>
      </c>
      <c r="AH839" s="419">
        <f>IF(ISNA(MATCH(AC839,R835:R842,0)),0,VLOOKUP(AC839,R835:T842,3,FALSE))</f>
        <v>0</v>
      </c>
      <c r="AI839" s="419" t="str">
        <f>IF(ISNA(MATCH(AC839,L835:L842,0)),0,VLOOKUP(AC839,L835:P842,4,FALSE))</f>
        <v>M</v>
      </c>
      <c r="AJ839" s="419">
        <f>IF(ISNA(MATCH(AC839,R835:R842,0)),0,VLOOKUP(AC839,R835:U842,4,FALSE))</f>
        <v>0</v>
      </c>
      <c r="AK839" s="32">
        <f t="shared" si="749"/>
        <v>2</v>
      </c>
      <c r="AL839" s="32">
        <f t="shared" si="750"/>
        <v>0</v>
      </c>
      <c r="AM839" s="32">
        <f>IF(ISNA(MATCH(AC839,L835:L842,0)),0,VLOOKUP(AC839,L835:W842,AM$1,FALSE))</f>
        <v>7</v>
      </c>
      <c r="AN839" s="146">
        <f>IF(ISNA(MATCH(AC839,R835:R842,0)),0,VLOOKUP(AC839,R835:W842,AN$1,FALSE))</f>
        <v>0</v>
      </c>
      <c r="AP839" s="927"/>
      <c r="AQ839" s="927"/>
    </row>
    <row r="840" spans="1:47" ht="15.6" x14ac:dyDescent="0.3">
      <c r="A840" s="417">
        <f t="shared" si="751"/>
        <v>756</v>
      </c>
      <c r="B840" s="362" t="str">
        <f>'Event Details'!D$27</f>
        <v>D</v>
      </c>
      <c r="C840" s="381" t="str">
        <f>'Event Details'!E$27</f>
        <v>Stratford</v>
      </c>
      <c r="D840" s="379"/>
      <c r="E840" s="378"/>
      <c r="F840" s="363" t="str">
        <f>VLOOKUP($B834,IF($H834="F",TeamSheetFemale,TeamSheetMale),$Y840-1,FALSE)</f>
        <v>D</v>
      </c>
      <c r="G840" s="380" t="str">
        <f>VLOOKUP($B834,IF($H834="F",TeamSheetFemale,TeamSheetMale),$Y840,FALSE)</f>
        <v>Alice McIntosh</v>
      </c>
      <c r="H840" s="363" t="str">
        <f>VLOOKUP($B834,IF($H834="F",TeamSheetFemale,TeamSheetMale),$Y840+1,FALSE)</f>
        <v>DD</v>
      </c>
      <c r="I840" s="364" t="str">
        <f>VLOOKUP($B834,IF($H834="F",TeamSheetFemale,TeamSheetMale),$Y840+2,FALSE)</f>
        <v>Martha Edwards</v>
      </c>
      <c r="K840" s="341" t="s">
        <v>276</v>
      </c>
      <c r="L840" s="16" t="str">
        <f t="shared" si="744"/>
        <v>G</v>
      </c>
      <c r="M840" s="927" t="s">
        <v>110</v>
      </c>
      <c r="N840" s="927">
        <v>19.670000000000002</v>
      </c>
      <c r="O840" s="354" t="str">
        <f>IF(LEN($M840)=1,VLOOKUP(LEFT($M840,1),B835:I842,5,FALSE),IF(LEN($M840)=2,VLOOKUP(LEFT($M840,1),B835:I842,7,FALSE),""))</f>
        <v>G</v>
      </c>
      <c r="P840" s="410" t="str">
        <f>IF(LEN($M840)=1,VLOOKUP(LEFT($M840,1),B835:I842,6,FALSE),IF(LEN($M840)=2,VLOOKUP(LEFT($M840,1),B835:I842,8,FALSE),""))</f>
        <v>Annabelle Pattinson</v>
      </c>
      <c r="Q840" s="371" t="s">
        <v>276</v>
      </c>
      <c r="R840" s="146" t="str">
        <f t="shared" si="745"/>
        <v>Y</v>
      </c>
      <c r="S840" s="927" t="s">
        <v>822</v>
      </c>
      <c r="T840" s="927">
        <v>4.41</v>
      </c>
      <c r="U840" s="354" t="str">
        <f>IF(LEN($S840)=1,VLOOKUP(LEFT($S840,1),B835:I842,5,FALSE),IF(LEN($S840)=2,VLOOKUP(LEFT($S840,1),B835:I842,7,FALSE),""))</f>
        <v>YY</v>
      </c>
      <c r="V840" s="410" t="str">
        <f>IF(LEN($S840)=1,VLOOKUP(LEFT($S840,1),B835:I842,6,FALSE),IF(LEN($S840)=2,VLOOKUP(LEFT($S840,1),B835:I842,8,FALSE),""))</f>
        <v>Anastasia Constantinou</v>
      </c>
      <c r="W840" s="417">
        <f t="shared" si="752"/>
        <v>3</v>
      </c>
      <c r="Y840" s="16">
        <v>32</v>
      </c>
      <c r="Z840" s="16" t="str">
        <f t="shared" si="746"/>
        <v>Royal</v>
      </c>
      <c r="AA840" s="146" t="str">
        <f t="shared" si="747"/>
        <v>Worc</v>
      </c>
      <c r="AC840" s="16" t="str">
        <f t="shared" si="748"/>
        <v>D</v>
      </c>
      <c r="AD840" s="419" t="str">
        <f t="shared" si="748"/>
        <v>Stratford</v>
      </c>
      <c r="AE840" s="419">
        <f>IF(ISNA(MATCH(AC840,N835:N844,0)),0,VLOOKUP(AC840,N835:S844,5,FALSE))</f>
        <v>0</v>
      </c>
      <c r="AF840" s="419" t="str">
        <f>IF(ISNA(MATCH(AC840,T835:T844,0))," ",VLOOKUP(AC840,T835:Y844,5,FALSE))</f>
        <v xml:space="preserve"> </v>
      </c>
      <c r="AG840" s="419">
        <f>IF(ISNA(MATCH(AC840,L835:L842,0)),0,VLOOKUP(AC840,L835:N842,3,FALSE))</f>
        <v>30.95</v>
      </c>
      <c r="AH840" s="419">
        <f>IF(ISNA(MATCH(AC840,R835:R842,0)),0,VLOOKUP(AC840,R835:T842,3,FALSE))</f>
        <v>11.31</v>
      </c>
      <c r="AI840" s="419" t="str">
        <f>IF(ISNA(MATCH(AC840,L835:L842,0)),0,VLOOKUP(AC840,L835:P842,4,FALSE))</f>
        <v>D</v>
      </c>
      <c r="AJ840" s="419" t="str">
        <f>IF(ISNA(MATCH(AC840,R835:R842,0)),0,VLOOKUP(AC840,R835:U842,4,FALSE))</f>
        <v>DD</v>
      </c>
      <c r="AK840" s="32">
        <f t="shared" si="749"/>
        <v>1</v>
      </c>
      <c r="AL840" s="32">
        <f t="shared" si="750"/>
        <v>4</v>
      </c>
      <c r="AM840" s="32">
        <f>IF(ISNA(MATCH(AC840,L835:L842,0)),0,VLOOKUP(AC840,L835:W842,AM$1,FALSE))</f>
        <v>8</v>
      </c>
      <c r="AN840" s="146">
        <f>IF(ISNA(MATCH(AC840,R835:R842,0)),0,VLOOKUP(AC840,R835:W842,AN$1,FALSE))</f>
        <v>5</v>
      </c>
      <c r="AP840" s="927"/>
      <c r="AQ840" s="927"/>
    </row>
    <row r="841" spans="1:47" ht="15.6" x14ac:dyDescent="0.3">
      <c r="A841" s="417">
        <f t="shared" si="751"/>
        <v>757</v>
      </c>
      <c r="B841" s="362" t="str">
        <f>'Event Details'!D$28</f>
        <v>F</v>
      </c>
      <c r="C841" s="381" t="str">
        <f>'Event Details'!E$28</f>
        <v>Tamworth</v>
      </c>
      <c r="D841" s="379"/>
      <c r="E841" s="378"/>
      <c r="F841" s="363" t="str">
        <f>VLOOKUP($B834,IF($H834="F",TeamSheetFemale,TeamSheetMale),$Y841-1,FALSE)</f>
        <v>F</v>
      </c>
      <c r="G841" s="380" t="str">
        <f>VLOOKUP($B834,IF($H834="F",TeamSheetFemale,TeamSheetMale),$Y841,FALSE)</f>
        <v>Eva Christophorou</v>
      </c>
      <c r="H841" s="363" t="str">
        <f>VLOOKUP($B834,IF($H834="F",TeamSheetFemale,TeamSheetMale),$Y841+1,FALSE)</f>
        <v>FF</v>
      </c>
      <c r="I841" s="364" t="str">
        <f>VLOOKUP($B834,IF($H834="F",TeamSheetFemale,TeamSheetMale),$Y841+2,FALSE)</f>
        <v>Charlotte Brian</v>
      </c>
      <c r="K841" s="341" t="s">
        <v>277</v>
      </c>
      <c r="L841" s="16" t="str">
        <f t="shared" si="744"/>
        <v>Y</v>
      </c>
      <c r="M841" s="927" t="s">
        <v>151</v>
      </c>
      <c r="N841" s="927">
        <v>14.45</v>
      </c>
      <c r="O841" s="354" t="str">
        <f>IF(LEN($M841)=1,VLOOKUP(LEFT($M841,1),B835:I842,5,FALSE),IF(LEN($M841)=2,VLOOKUP(LEFT($M841,1),B835:I842,7,FALSE),""))</f>
        <v>Y</v>
      </c>
      <c r="P841" s="410" t="str">
        <f>IF(LEN($M841)=1,VLOOKUP(LEFT($M841,1),B835:I842,6,FALSE),IF(LEN($M841)=2,VLOOKUP(LEFT($M841,1),B835:I842,8,FALSE),""))</f>
        <v>Rosie Groves</v>
      </c>
      <c r="Q841" s="371" t="s">
        <v>277</v>
      </c>
      <c r="R841" s="146" t="str">
        <f t="shared" si="745"/>
        <v/>
      </c>
      <c r="S841" s="927"/>
      <c r="T841" s="927"/>
      <c r="U841" s="354" t="str">
        <f>IF(LEN($S841)=1,VLOOKUP(LEFT($S841,1),B835:I842,5,FALSE),IF(LEN($S841)=2,VLOOKUP(LEFT($S841,1),B835:I842,7,FALSE),""))</f>
        <v/>
      </c>
      <c r="V841" s="410" t="str">
        <f>IF(LEN($S841)=1,VLOOKUP(LEFT($S841,1),B835:I842,6,FALSE),IF(LEN($S841)=2,VLOOKUP(LEFT($S841,1),B835:I842,8,FALSE),""))</f>
        <v/>
      </c>
      <c r="W841" s="417">
        <f t="shared" si="752"/>
        <v>2</v>
      </c>
      <c r="Y841" s="16">
        <v>37</v>
      </c>
      <c r="Z841" s="16" t="str">
        <f t="shared" si="746"/>
        <v>Worc</v>
      </c>
      <c r="AA841" s="146">
        <f t="shared" si="747"/>
        <v>0</v>
      </c>
      <c r="AC841" s="16" t="str">
        <f t="shared" si="748"/>
        <v>F</v>
      </c>
      <c r="AD841" s="419" t="str">
        <f t="shared" si="748"/>
        <v>Tamworth</v>
      </c>
      <c r="AE841" s="419">
        <f>IF(ISNA(MATCH(AC841,N833:N842,0)),0,VLOOKUP(AC841,N833:S842,5,FALSE))</f>
        <v>0</v>
      </c>
      <c r="AF841" s="419" t="str">
        <f>IF(ISNA(MATCH(AC841,T833:T842,0))," ",VLOOKUP(AC841,T833:Y842,5,FALSE))</f>
        <v xml:space="preserve"> </v>
      </c>
      <c r="AG841" s="419">
        <f>IF(ISNA(MATCH(AC841,L835:L842,0)),0,VLOOKUP(AC841,L835:N842,3,FALSE))</f>
        <v>11.29</v>
      </c>
      <c r="AH841" s="419">
        <f>IF(ISNA(MATCH(AC841,R835:R842,0)),0,VLOOKUP(AC841,R835:T842,3,FALSE))</f>
        <v>0</v>
      </c>
      <c r="AI841" s="419" t="str">
        <f>IF(ISNA(MATCH(AC841,L835:L842,0)),0,VLOOKUP(AC841,L835:P842,4,FALSE))</f>
        <v>F</v>
      </c>
      <c r="AJ841" s="419">
        <f>IF(ISNA(MATCH(AC841,R835:R842,0)),0,VLOOKUP(AC841,R835:U842,4,FALSE))</f>
        <v>0</v>
      </c>
      <c r="AK841" s="32">
        <f t="shared" si="749"/>
        <v>8</v>
      </c>
      <c r="AL841" s="32">
        <f t="shared" si="750"/>
        <v>0</v>
      </c>
      <c r="AM841" s="32">
        <f>IF(ISNA(MATCH(AC841,L835:L842,0)),0,VLOOKUP(AC841,L835:W842,AM$1,FALSE))</f>
        <v>1</v>
      </c>
      <c r="AN841" s="146">
        <f>IF(ISNA(MATCH(AC841,R835:R842,0)),0,VLOOKUP(AC841,R835:W842,AN$1,FALSE))</f>
        <v>0</v>
      </c>
      <c r="AP841" s="927"/>
      <c r="AQ841" s="927"/>
    </row>
    <row r="842" spans="1:47" ht="16.2" thickBot="1" x14ac:dyDescent="0.35">
      <c r="A842" s="418">
        <f t="shared" si="751"/>
        <v>758</v>
      </c>
      <c r="B842" s="365" t="str">
        <f>'Event Details'!D$29</f>
        <v>Y</v>
      </c>
      <c r="C842" s="366" t="str">
        <f>'Event Details'!E$29</f>
        <v>Worcester</v>
      </c>
      <c r="D842" s="361"/>
      <c r="E842" s="370"/>
      <c r="F842" s="367" t="str">
        <f>VLOOKUP($B834,IF($H834="F",TeamSheetFemale,TeamSheetMale),$Y842-1,FALSE)</f>
        <v>Y</v>
      </c>
      <c r="G842" s="368" t="str">
        <f>VLOOKUP($B834,IF($H834="F",TeamSheetFemale,TeamSheetMale),$Y842,FALSE)</f>
        <v>Rosie Groves</v>
      </c>
      <c r="H842" s="367" t="str">
        <f>VLOOKUP($B834,IF($H834="F",TeamSheetFemale,TeamSheetMale),$Y842+1,FALSE)</f>
        <v>YY</v>
      </c>
      <c r="I842" s="369" t="str">
        <f>VLOOKUP($B834,IF($H834="F",TeamSheetFemale,TeamSheetMale),$Y842+2,FALSE)</f>
        <v>Anastasia Constantinou</v>
      </c>
      <c r="K842" s="346" t="s">
        <v>278</v>
      </c>
      <c r="L842" s="25" t="str">
        <f t="shared" si="744"/>
        <v>F</v>
      </c>
      <c r="M842" s="932" t="s">
        <v>142</v>
      </c>
      <c r="N842" s="932">
        <v>11.29</v>
      </c>
      <c r="O842" s="374" t="str">
        <f>IF(LEN($M842)=1,VLOOKUP(LEFT($M842,1),B835:I842,5,FALSE),IF(LEN($M842)=2,VLOOKUP(LEFT($M842,1),B835:I842,7,FALSE),""))</f>
        <v>F</v>
      </c>
      <c r="P842" s="411" t="str">
        <f>IF(LEN($M842)=1,VLOOKUP(LEFT($M842,1),B835:I842,6,FALSE),IF(LEN($M842)=2,VLOOKUP(LEFT($M842,1),B835:I842,8,FALSE),""))</f>
        <v>Eva Christophorou</v>
      </c>
      <c r="Q842" s="407" t="s">
        <v>278</v>
      </c>
      <c r="R842" s="523" t="str">
        <f t="shared" si="745"/>
        <v/>
      </c>
      <c r="S842" s="932"/>
      <c r="T842" s="932"/>
      <c r="U842" s="374" t="str">
        <f>IF(LEN($S842)=1,VLOOKUP(LEFT($S842,1),B835:I842,5,FALSE),IF(LEN($S842)=2,VLOOKUP(LEFT($S842,1),B835:I842,7,FALSE),""))</f>
        <v/>
      </c>
      <c r="V842" s="411" t="str">
        <f>IF(LEN($S842)=1,VLOOKUP(LEFT($S842,1),B835:I842,6,FALSE),IF(LEN($S842)=2,VLOOKUP(LEFT($S842,1),B835:I842,8,FALSE),""))</f>
        <v/>
      </c>
      <c r="W842" s="418">
        <f t="shared" si="752"/>
        <v>1</v>
      </c>
      <c r="Y842" s="25">
        <v>42</v>
      </c>
      <c r="Z842" s="25" t="str">
        <f t="shared" si="746"/>
        <v>Tam</v>
      </c>
      <c r="AA842" s="523">
        <f t="shared" si="747"/>
        <v>0</v>
      </c>
      <c r="AC842" s="25" t="str">
        <f t="shared" si="748"/>
        <v>Y</v>
      </c>
      <c r="AD842" s="624" t="str">
        <f t="shared" si="748"/>
        <v>Worcester</v>
      </c>
      <c r="AE842" s="624">
        <f>IF(ISNA(MATCH(AC842,N834:N843,0)),0,VLOOKUP(AC842,N834:S843,5,FALSE))</f>
        <v>0</v>
      </c>
      <c r="AF842" s="624" t="str">
        <f t="shared" ref="AF842" si="753">IF(ISNA(MATCH(AC842,T834:T843,0))," ",VLOOKUP(AC842,T834:Y843,5,FALSE))</f>
        <v xml:space="preserve"> </v>
      </c>
      <c r="AG842" s="624">
        <f>IF(ISNA(MATCH(AC842,L835:L842,0)),0,VLOOKUP(AC842,L835:N842,3,FALSE))</f>
        <v>14.45</v>
      </c>
      <c r="AH842" s="624">
        <f>IF(ISNA(MATCH(AC842,R835:R842,0)),0,VLOOKUP(AC842,R835:T842,3,FALSE))</f>
        <v>4.41</v>
      </c>
      <c r="AI842" s="624" t="str">
        <f>IF(ISNA(MATCH(AC842,L835:L842,0)),0,VLOOKUP(AC842,L835:P842,4,FALSE))</f>
        <v>Y</v>
      </c>
      <c r="AJ842" s="624" t="str">
        <f>IF(ISNA(MATCH(AC842,R835:R842,0)),0,VLOOKUP(AC842,R835:U842,4,FALSE))</f>
        <v>YY</v>
      </c>
      <c r="AK842" s="116">
        <f t="shared" si="749"/>
        <v>7</v>
      </c>
      <c r="AL842" s="116">
        <f t="shared" si="750"/>
        <v>6</v>
      </c>
      <c r="AM842" s="116">
        <f>IF(ISNA(MATCH(AC842,L835:L842,0)),0,VLOOKUP(AC842,L835:W842,AM$1,FALSE))</f>
        <v>2</v>
      </c>
      <c r="AN842" s="523">
        <f>IF(ISNA(MATCH(AC842,R835:R842,0)),0,VLOOKUP(AC842,R835:W842,AN$1,FALSE))</f>
        <v>3</v>
      </c>
      <c r="AP842" s="932"/>
      <c r="AQ842" s="932"/>
    </row>
    <row r="843" spans="1:47" ht="15" thickBot="1" x14ac:dyDescent="0.35">
      <c r="K843" s="1208"/>
      <c r="M843" s="276"/>
      <c r="N843" s="276"/>
      <c r="S843" s="276"/>
      <c r="T843" s="276"/>
      <c r="AP843" s="276"/>
      <c r="AQ843" s="276"/>
    </row>
    <row r="844" spans="1:47" x14ac:dyDescent="0.3">
      <c r="B844" s="400" t="s">
        <v>258</v>
      </c>
      <c r="C844" s="398"/>
      <c r="D844" s="401" t="s">
        <v>165</v>
      </c>
      <c r="E844" s="398"/>
      <c r="F844" s="398"/>
      <c r="G844" s="402" t="s">
        <v>259</v>
      </c>
      <c r="H844" s="403" t="s">
        <v>249</v>
      </c>
      <c r="I844" s="404" t="s">
        <v>168</v>
      </c>
      <c r="K844" s="360"/>
      <c r="L844" s="661"/>
      <c r="M844" s="387" t="s">
        <v>260</v>
      </c>
      <c r="N844" s="387" t="s">
        <v>261</v>
      </c>
      <c r="O844" s="387" t="s">
        <v>262</v>
      </c>
      <c r="P844" s="388" t="s">
        <v>75</v>
      </c>
      <c r="Q844" s="389"/>
      <c r="R844" s="657"/>
      <c r="S844" s="387" t="s">
        <v>260</v>
      </c>
      <c r="T844" s="387" t="s">
        <v>261</v>
      </c>
      <c r="U844" s="387" t="s">
        <v>262</v>
      </c>
      <c r="V844" s="388" t="s">
        <v>75</v>
      </c>
      <c r="W844" s="672" t="s">
        <v>76</v>
      </c>
      <c r="Y844" s="414" t="s">
        <v>263</v>
      </c>
      <c r="Z844" s="656" t="s">
        <v>74</v>
      </c>
      <c r="AA844" s="657" t="s">
        <v>75</v>
      </c>
      <c r="AC844" s="665" t="s">
        <v>71</v>
      </c>
      <c r="AD844" s="657" t="s">
        <v>86</v>
      </c>
      <c r="AE844" s="661" t="s">
        <v>149</v>
      </c>
      <c r="AF844" s="661" t="s">
        <v>94</v>
      </c>
      <c r="AG844" s="661" t="s">
        <v>149</v>
      </c>
      <c r="AH844" s="661" t="s">
        <v>94</v>
      </c>
      <c r="AI844" s="661" t="s">
        <v>149</v>
      </c>
      <c r="AJ844" s="661" t="s">
        <v>94</v>
      </c>
      <c r="AK844" s="1332" t="s">
        <v>149</v>
      </c>
      <c r="AL844" s="661" t="s">
        <v>94</v>
      </c>
      <c r="AM844" s="1406" t="s">
        <v>76</v>
      </c>
      <c r="AN844" s="1407"/>
      <c r="AP844" s="387" t="s">
        <v>260</v>
      </c>
      <c r="AQ844" s="387" t="s">
        <v>261</v>
      </c>
      <c r="AS844" s="1218" t="s">
        <v>165</v>
      </c>
      <c r="AT844" s="1219" t="s">
        <v>79</v>
      </c>
      <c r="AU844" s="1220" t="s">
        <v>80</v>
      </c>
    </row>
    <row r="845" spans="1:47" ht="15" thickBot="1" x14ac:dyDescent="0.35">
      <c r="B845" s="405">
        <v>76</v>
      </c>
      <c r="C845" s="399"/>
      <c r="D845" s="385" t="str">
        <f>VLOOKUP($B845,EventOrder,6,FALSE)</f>
        <v xml:space="preserve">200m (U18/U20) </v>
      </c>
      <c r="E845" s="399"/>
      <c r="F845" s="385"/>
      <c r="G845" s="386" t="str">
        <f>VLOOKUP($B845,EventOrder,4,FALSE)</f>
        <v>U18 Men</v>
      </c>
      <c r="H845" s="396" t="str">
        <f>IF(MID(G845,5,1)="F","F","M")</f>
        <v>M</v>
      </c>
      <c r="I845" s="397">
        <f>VLOOKUP($B845,EventOrder,2,FALSE)</f>
        <v>4.3</v>
      </c>
      <c r="K845" s="377"/>
      <c r="L845" s="667" t="s">
        <v>149</v>
      </c>
      <c r="M845" s="409" t="s">
        <v>264</v>
      </c>
      <c r="N845" s="409" t="s">
        <v>265</v>
      </c>
      <c r="O845" s="390" t="s">
        <v>266</v>
      </c>
      <c r="P845" s="391"/>
      <c r="Q845" s="392"/>
      <c r="R845" s="659" t="s">
        <v>94</v>
      </c>
      <c r="S845" s="409" t="s">
        <v>264</v>
      </c>
      <c r="T845" s="409" t="s">
        <v>265</v>
      </c>
      <c r="U845" s="390" t="s">
        <v>266</v>
      </c>
      <c r="V845" s="391"/>
      <c r="W845" s="671"/>
      <c r="Y845" s="415" t="s">
        <v>167</v>
      </c>
      <c r="Z845" s="658" t="s">
        <v>149</v>
      </c>
      <c r="AA845" s="659" t="s">
        <v>94</v>
      </c>
      <c r="AC845" s="666"/>
      <c r="AD845" s="668"/>
      <c r="AE845" s="768" t="s">
        <v>75</v>
      </c>
      <c r="AF845" s="768" t="s">
        <v>75</v>
      </c>
      <c r="AG845" s="768" t="s">
        <v>267</v>
      </c>
      <c r="AH845" s="768" t="s">
        <v>267</v>
      </c>
      <c r="AI845" s="768" t="s">
        <v>268</v>
      </c>
      <c r="AJ845" s="768" t="s">
        <v>268</v>
      </c>
      <c r="AK845" s="770" t="s">
        <v>269</v>
      </c>
      <c r="AL845" s="768" t="s">
        <v>269</v>
      </c>
      <c r="AM845" s="667" t="s">
        <v>149</v>
      </c>
      <c r="AN845" s="659" t="s">
        <v>94</v>
      </c>
      <c r="AP845" s="409" t="s">
        <v>264</v>
      </c>
      <c r="AQ845" s="409" t="s">
        <v>265</v>
      </c>
      <c r="AS845" s="1221" t="s">
        <v>270</v>
      </c>
      <c r="AT845" s="1222" t="s">
        <v>270</v>
      </c>
      <c r="AU845" s="1223" t="s">
        <v>270</v>
      </c>
    </row>
    <row r="846" spans="1:47" ht="15.6" x14ac:dyDescent="0.3">
      <c r="A846" s="416">
        <f>(B845*10)+1</f>
        <v>761</v>
      </c>
      <c r="B846" s="362" t="str">
        <f>'Event Details'!D$22</f>
        <v>S</v>
      </c>
      <c r="C846" s="381" t="str">
        <f>'Event Details'!E$22</f>
        <v>BRAT</v>
      </c>
      <c r="D846" s="379"/>
      <c r="E846" s="378"/>
      <c r="F846" s="363" t="str">
        <f>VLOOKUP($B845,IF($H845="F",TeamSheetFemale,TeamSheetMale),$Y846-1,FALSE)</f>
        <v>S</v>
      </c>
      <c r="G846" s="380" t="str">
        <f>VLOOKUP($B845,IF($H845="F",TeamSheetFemale,TeamSheetMale),$Y846,FALSE)</f>
        <v>Miguel Daley</v>
      </c>
      <c r="H846" s="363" t="str">
        <f>VLOOKUP($B845,IF($H845="F",TeamSheetFemale,TeamSheetMale),$Y846+1,FALSE)</f>
        <v>SS</v>
      </c>
      <c r="I846" s="364" t="str">
        <f>VLOOKUP($B845,IF($H845="F",TeamSheetFemale,TeamSheetMale),$Y846+2,FALSE)</f>
        <v>Saleh Beshir</v>
      </c>
      <c r="K846" s="393" t="s">
        <v>271</v>
      </c>
      <c r="L846" s="16" t="str">
        <f t="shared" ref="L846:L853" si="754">LEFT(M846,1)</f>
        <v>R</v>
      </c>
      <c r="M846" s="926" t="s">
        <v>118</v>
      </c>
      <c r="N846" s="926">
        <v>23.2</v>
      </c>
      <c r="O846" s="394" t="str">
        <f>IF(LEN($M846)=1,VLOOKUP(LEFT($M846,1),B846:I853,5,FALSE),IF(LEN($M846)=2,VLOOKUP(LEFT($M846,1),B846:I853,7,FALSE),""))</f>
        <v>R</v>
      </c>
      <c r="P846" s="395" t="str">
        <f>IF(LEN($M846)=1,VLOOKUP(LEFT($M846,1),B846:I853,6,FALSE),IF(LEN($M846)=2,VLOOKUP(LEFT($M846,1),B846:I853,8,FALSE),""))</f>
        <v>Max Roberts</v>
      </c>
      <c r="Q846" s="393" t="s">
        <v>271</v>
      </c>
      <c r="R846" s="146" t="str">
        <f t="shared" ref="R846:R853" si="755">LEFT(S846,1)</f>
        <v>M</v>
      </c>
      <c r="S846" s="926" t="s">
        <v>821</v>
      </c>
      <c r="T846" s="926">
        <v>23.8</v>
      </c>
      <c r="U846" s="394" t="str">
        <f>IF(LEN($S846)=1,VLOOKUP(LEFT($S846,1),B846:I853,5,FALSE),IF(LEN($S846)=2,VLOOKUP(LEFT($S846,1),B846:I853,7,FALSE),""))</f>
        <v>MM</v>
      </c>
      <c r="V846" s="395" t="str">
        <f>IF(LEN($S846)=1,VLOOKUP(LEFT($S846,1),B846:I853,6,FALSE),IF(LEN($S846)=2,VLOOKUP(LEFT($S846,1),B846:I853,8,FALSE),""))</f>
        <v>Ben Hilton</v>
      </c>
      <c r="W846" s="417">
        <f>AN$6</f>
        <v>8</v>
      </c>
      <c r="Y846" s="416">
        <v>7</v>
      </c>
      <c r="Z846" s="653" t="str">
        <f t="shared" ref="Z846:Z853" si="756">IF(LEN(M846)&gt;0,VLOOKUP(LEFT(M846,1),ShortName,5,FALSE),0)</f>
        <v>Rugby</v>
      </c>
      <c r="AA846" s="138" t="str">
        <f t="shared" ref="AA846:AA853" si="757">IF(LEN(S846)&gt;0,VLOOKUP(LEFT(S846,1),ShortName,5,FALSE),0)</f>
        <v>Sol</v>
      </c>
      <c r="AC846" s="16" t="str">
        <f t="shared" ref="AC846:AD853" si="758">B846</f>
        <v>S</v>
      </c>
      <c r="AD846" s="419" t="str">
        <f t="shared" si="758"/>
        <v>BRAT</v>
      </c>
      <c r="AE846" s="635">
        <f>IF(ISNA(MATCH(AC846,N846:N855,0)),0,VLOOKUP(AC846,N846:S855,5,FALSE))</f>
        <v>0</v>
      </c>
      <c r="AF846" s="635" t="str">
        <f>IF(ISNA(MATCH(AC846,T846:T855,0))," ",VLOOKUP(AC846,T846:Y855,5,FALSE))</f>
        <v xml:space="preserve"> </v>
      </c>
      <c r="AG846" s="635">
        <f>IF(ISNA(MATCH(AC846,L846:L853,0)),0,VLOOKUP(AC846,L846:N853,3,FALSE))</f>
        <v>25.2</v>
      </c>
      <c r="AH846" s="635">
        <f>IF(ISNA(MATCH(AC846,R846:R853,0)),0,VLOOKUP(AC846,R846:T853,3,FALSE))</f>
        <v>0</v>
      </c>
      <c r="AI846" s="635" t="str">
        <f>IF(ISNA(MATCH(AC846,L846:L853,0)),0,VLOOKUP(AC846,L846:P853,4,FALSE))</f>
        <v>S</v>
      </c>
      <c r="AJ846" s="635">
        <f>IF(ISNA(MATCH(AC846,R846:R853,0)),0,VLOOKUP(AC846,R846:U853,4,FALSE))</f>
        <v>0</v>
      </c>
      <c r="AK846" s="49">
        <f t="shared" ref="AK846:AK853" si="759">IF(AM846=0,0,AN$6-(AM846-1))</f>
        <v>4</v>
      </c>
      <c r="AL846" s="49">
        <f t="shared" ref="AL846:AL853" si="760">IF(AN846=0,0,AN$6-(AN846-1))</f>
        <v>0</v>
      </c>
      <c r="AM846" s="49">
        <f>IF(ISNA(MATCH(AC846,L846:L853,0)),0,VLOOKUP(AC846,L846:W853,AM$1,FALSE))</f>
        <v>5</v>
      </c>
      <c r="AN846" s="138">
        <f>IF(ISNA(MATCH(AC846,R846:R853,0)),0,VLOOKUP(AC846,R846:W853,AN$1,FALSE))</f>
        <v>0</v>
      </c>
      <c r="AP846" s="926"/>
      <c r="AQ846" s="926"/>
      <c r="AS846" s="32">
        <f>IF(LEN(N846)&gt;0,1,0)</f>
        <v>1</v>
      </c>
      <c r="AT846" s="32">
        <f>IF(AND(AS846=1,H845="M"),1,0)</f>
        <v>1</v>
      </c>
      <c r="AU846" s="32">
        <f>IF(AND(AS846=1,H845="F"),1,0)</f>
        <v>0</v>
      </c>
    </row>
    <row r="847" spans="1:47" ht="15.6" x14ac:dyDescent="0.3">
      <c r="A847" s="417">
        <f>A846+1</f>
        <v>762</v>
      </c>
      <c r="B847" s="362" t="str">
        <f>'Event Details'!D$23</f>
        <v>U</v>
      </c>
      <c r="C847" s="381" t="str">
        <f>'Event Details'!E$23</f>
        <v>Kidder &amp; Stourport</v>
      </c>
      <c r="D847" s="379"/>
      <c r="E847" s="378"/>
      <c r="F847" s="363">
        <f>VLOOKUP($B845,IF($H845="F",TeamSheetFemale,TeamSheetMale),$Y847-1,FALSE)</f>
        <v>0</v>
      </c>
      <c r="G847" s="380">
        <f>VLOOKUP($B845,IF($H845="F",TeamSheetFemale,TeamSheetMale),$Y847,FALSE)</f>
        <v>0</v>
      </c>
      <c r="H847" s="363" t="str">
        <f>VLOOKUP($B845,IF($H845="F",TeamSheetFemale,TeamSheetMale),$Y847+1,FALSE)</f>
        <v>UU</v>
      </c>
      <c r="I847" s="364" t="str">
        <f>VLOOKUP($B845,IF($H845="F",TeamSheetFemale,TeamSheetMale),$Y847+2,FALSE)</f>
        <v>Ted Freeman</v>
      </c>
      <c r="K847" s="341" t="s">
        <v>272</v>
      </c>
      <c r="L847" s="16" t="str">
        <f t="shared" si="754"/>
        <v>M</v>
      </c>
      <c r="M847" s="927" t="s">
        <v>127</v>
      </c>
      <c r="N847" s="927">
        <v>23.2</v>
      </c>
      <c r="O847" s="353" t="str">
        <f>IF(LEN($M847)=1,VLOOKUP(LEFT($M847,1),B846:I853,5,FALSE),IF(LEN($M847)=2,VLOOKUP(LEFT($M847,1),B846:I853,7,FALSE),""))</f>
        <v>M</v>
      </c>
      <c r="P847" s="373" t="str">
        <f>IF(LEN($M847)=1,VLOOKUP(LEFT($M847,1),B846:I853,6,FALSE),IF(LEN($M847)=2,VLOOKUP(LEFT($M847,1),B846:I853,8,FALSE),""))</f>
        <v>Noah Latusek</v>
      </c>
      <c r="Q847" s="341" t="s">
        <v>272</v>
      </c>
      <c r="R847" s="146" t="str">
        <f t="shared" si="755"/>
        <v>G</v>
      </c>
      <c r="S847" s="927" t="s">
        <v>820</v>
      </c>
      <c r="T847" s="927">
        <v>24.7</v>
      </c>
      <c r="U847" s="353" t="str">
        <f>IF(LEN($S847)=1,VLOOKUP(LEFT($S847,1),B846:I853,5,FALSE),IF(LEN($S847)=2,VLOOKUP(LEFT($S847,1),B846:I853,7,FALSE),""))</f>
        <v>GG</v>
      </c>
      <c r="V847" s="373" t="str">
        <f>IF(LEN($S847)=1,VLOOKUP(LEFT($S847,1),B846:I853,6,FALSE),IF(LEN($S847)=2,VLOOKUP(LEFT($S847,1),B846:I853,8,FALSE),""))</f>
        <v>Isaiah Dominique</v>
      </c>
      <c r="W847" s="417">
        <f>W846-1</f>
        <v>7</v>
      </c>
      <c r="Y847" s="417">
        <v>12</v>
      </c>
      <c r="Z847" s="16" t="str">
        <f t="shared" si="756"/>
        <v>Sol</v>
      </c>
      <c r="AA847" s="146" t="str">
        <f t="shared" si="757"/>
        <v>Royal</v>
      </c>
      <c r="AC847" s="16" t="str">
        <f t="shared" si="758"/>
        <v>U</v>
      </c>
      <c r="AD847" s="419" t="str">
        <f t="shared" si="758"/>
        <v>Kidder &amp; Stourport</v>
      </c>
      <c r="AE847" s="419">
        <f>IF(ISNA(MATCH(AC847,N846:N855,0)),0,VLOOKUP(AC847,N846:S855,5,FALSE))</f>
        <v>0</v>
      </c>
      <c r="AF847" s="419" t="str">
        <f>IF(ISNA(MATCH(AC847,T846:T855,0))," ",VLOOKUP(AC847,T846:Y855,5,FALSE))</f>
        <v xml:space="preserve"> </v>
      </c>
      <c r="AG847" s="419">
        <f>IF(ISNA(MATCH(AC847,L846:L853,0)),0,VLOOKUP(AC847,L846:N853,3,FALSE))</f>
        <v>0</v>
      </c>
      <c r="AH847" s="419">
        <f>IF(ISNA(MATCH(AC847,R846:R853,0)),0,VLOOKUP(AC847,R846:T853,3,FALSE))</f>
        <v>24.8</v>
      </c>
      <c r="AI847" s="419">
        <f>IF(ISNA(MATCH(AC847,L846:L853,0)),0,VLOOKUP(AC847,L846:P853,4,FALSE))</f>
        <v>0</v>
      </c>
      <c r="AJ847" s="419" t="str">
        <f>IF(ISNA(MATCH(AC847,R846:R853,0)),0,VLOOKUP(AC847,R846:U853,4,FALSE))</f>
        <v>UU</v>
      </c>
      <c r="AK847" s="32">
        <f t="shared" si="759"/>
        <v>0</v>
      </c>
      <c r="AL847" s="32">
        <f t="shared" si="760"/>
        <v>3</v>
      </c>
      <c r="AM847" s="32">
        <f>IF(ISNA(MATCH(AC847,L846:L853,0)),0,VLOOKUP(AC847,L846:W853,AM$1,FALSE))</f>
        <v>0</v>
      </c>
      <c r="AN847" s="146">
        <f>IF(ISNA(MATCH(AC847,R846:R853,0)),0,VLOOKUP(AC847,R846:W853,AN$1,FALSE))</f>
        <v>6</v>
      </c>
      <c r="AP847" s="927"/>
      <c r="AQ847" s="927"/>
    </row>
    <row r="848" spans="1:47" ht="15.6" x14ac:dyDescent="0.3">
      <c r="A848" s="417">
        <f t="shared" ref="A848:A853" si="761">A847+1</f>
        <v>763</v>
      </c>
      <c r="B848" s="362" t="str">
        <f>'Event Details'!D$24</f>
        <v>G</v>
      </c>
      <c r="C848" s="381" t="str">
        <f>'Event Details'!E$24</f>
        <v>Royal Sutton</v>
      </c>
      <c r="D848" s="379"/>
      <c r="E848" s="378"/>
      <c r="F848" s="363" t="str">
        <f>VLOOKUP($B845,IF($H845="F",TeamSheetFemale,TeamSheetMale),$Y848-1,FALSE)</f>
        <v>G</v>
      </c>
      <c r="G848" s="380" t="str">
        <f>VLOOKUP($B845,IF($H845="F",TeamSheetFemale,TeamSheetMale),$Y848,FALSE)</f>
        <v>K'Shein Radcliffe</v>
      </c>
      <c r="H848" s="363" t="str">
        <f>VLOOKUP($B845,IF($H845="F",TeamSheetFemale,TeamSheetMale),$Y848+1,FALSE)</f>
        <v>GG</v>
      </c>
      <c r="I848" s="364" t="str">
        <f>VLOOKUP($B845,IF($H845="F",TeamSheetFemale,TeamSheetMale),$Y848+2,FALSE)</f>
        <v>Isaiah Dominique</v>
      </c>
      <c r="K848" s="341" t="s">
        <v>273</v>
      </c>
      <c r="L848" s="16" t="str">
        <f t="shared" si="754"/>
        <v>D</v>
      </c>
      <c r="M848" s="927" t="s">
        <v>136</v>
      </c>
      <c r="N848" s="927">
        <v>23.6</v>
      </c>
      <c r="O848" s="353" t="str">
        <f>IF(LEN($M848)=1,VLOOKUP(LEFT($M848,1),B846:I853,5,FALSE),IF(LEN($M848)=2,VLOOKUP(LEFT($M848,1),B846:I853,7,FALSE),""))</f>
        <v>D</v>
      </c>
      <c r="P848" s="373" t="str">
        <f>IF(LEN($M848)=1,VLOOKUP(LEFT($M848,1),B846:I853,6,FALSE),IF(LEN($M848)=2,VLOOKUP(LEFT($M848,1),B846:I853,8,FALSE),""))</f>
        <v>Tom Stanton</v>
      </c>
      <c r="Q848" s="341" t="s">
        <v>273</v>
      </c>
      <c r="R848" s="146" t="str">
        <f t="shared" si="755"/>
        <v>U</v>
      </c>
      <c r="S848" s="927" t="s">
        <v>726</v>
      </c>
      <c r="T848" s="927">
        <v>24.8</v>
      </c>
      <c r="U848" s="353" t="str">
        <f>IF(LEN($S848)=1,VLOOKUP(LEFT($S848,1),B846:I853,5,FALSE),IF(LEN($S848)=2,VLOOKUP(LEFT($S848,1),B846:I853,7,FALSE),""))</f>
        <v>UU</v>
      </c>
      <c r="V848" s="373" t="str">
        <f>IF(LEN($S848)=1,VLOOKUP(LEFT($S848,1),B846:I853,6,FALSE),IF(LEN($S848)=2,VLOOKUP(LEFT($S848,1),B846:I853,8,FALSE),""))</f>
        <v>Ted Freeman</v>
      </c>
      <c r="W848" s="417">
        <f t="shared" ref="W848:W853" si="762">W847-1</f>
        <v>6</v>
      </c>
      <c r="Y848" s="417">
        <v>17</v>
      </c>
      <c r="Z848" s="16" t="str">
        <f t="shared" si="756"/>
        <v>Strat</v>
      </c>
      <c r="AA848" s="146" t="str">
        <f t="shared" si="757"/>
        <v>K&amp;S</v>
      </c>
      <c r="AB848" s="32"/>
      <c r="AC848" s="16" t="str">
        <f t="shared" si="758"/>
        <v>G</v>
      </c>
      <c r="AD848" s="419" t="str">
        <f t="shared" si="758"/>
        <v>Royal Sutton</v>
      </c>
      <c r="AE848" s="419">
        <f>IF(ISNA(MATCH(AC848,N846:N855,0)),0,VLOOKUP(AC848,N846:S855,5,FALSE))</f>
        <v>0</v>
      </c>
      <c r="AF848" s="419" t="str">
        <f>IF(ISNA(MATCH(AC848,T846:T855,0))," ",VLOOKUP(AC848,T846:Y855,5,FALSE))</f>
        <v xml:space="preserve"> </v>
      </c>
      <c r="AG848" s="419">
        <f>IF(ISNA(MATCH(AC848,L846:L853,0)),0,VLOOKUP(AC848,L846:N853,3,FALSE))</f>
        <v>25.4</v>
      </c>
      <c r="AH848" s="419">
        <f>IF(ISNA(MATCH(AC848,R846:R853,0)),0,VLOOKUP(AC848,R846:T853,3,FALSE))</f>
        <v>24.7</v>
      </c>
      <c r="AI848" s="419" t="str">
        <f>IF(ISNA(MATCH(AC848,L846:L853,0)),0,VLOOKUP(AC848,L846:P853,4,FALSE))</f>
        <v>G</v>
      </c>
      <c r="AJ848" s="419" t="str">
        <f>IF(ISNA(MATCH(AC848,R846:R853,0)),0,VLOOKUP(AC848,R846:U853,4,FALSE))</f>
        <v>GG</v>
      </c>
      <c r="AK848" s="32">
        <f t="shared" si="759"/>
        <v>5</v>
      </c>
      <c r="AL848" s="32">
        <f t="shared" si="760"/>
        <v>2</v>
      </c>
      <c r="AM848" s="32">
        <f>IF(ISNA(MATCH(AC848,L846:L853,0)),0,VLOOKUP(AC848,L846:W853,AM$1,FALSE))</f>
        <v>4</v>
      </c>
      <c r="AN848" s="146">
        <f>IF(ISNA(MATCH(AC848,R846:R853,0)),0,VLOOKUP(AC848,R846:W853,AN$1,FALSE))</f>
        <v>7</v>
      </c>
      <c r="AP848" s="927"/>
      <c r="AQ848" s="927"/>
    </row>
    <row r="849" spans="1:47" ht="15.6" x14ac:dyDescent="0.3">
      <c r="A849" s="417">
        <f t="shared" si="761"/>
        <v>764</v>
      </c>
      <c r="B849" s="362" t="str">
        <f>'Event Details'!D$25</f>
        <v>R</v>
      </c>
      <c r="C849" s="381" t="str">
        <f>'Event Details'!E$25</f>
        <v>Rugby &amp; N'hampton</v>
      </c>
      <c r="D849" s="379"/>
      <c r="E849" s="378"/>
      <c r="F849" s="363" t="str">
        <f>VLOOKUP($B845,IF($H845="F",TeamSheetFemale,TeamSheetMale),$Y849-1,FALSE)</f>
        <v>R</v>
      </c>
      <c r="G849" s="380" t="str">
        <f>VLOOKUP($B845,IF($H845="F",TeamSheetFemale,TeamSheetMale),$Y849,FALSE)</f>
        <v>Max Roberts</v>
      </c>
      <c r="H849" s="363" t="str">
        <f>VLOOKUP($B845,IF($H845="F",TeamSheetFemale,TeamSheetMale),$Y849+1,FALSE)</f>
        <v>RR</v>
      </c>
      <c r="I849" s="364">
        <f>VLOOKUP($B845,IF($H845="F",TeamSheetFemale,TeamSheetMale),$Y849+2,FALSE)</f>
        <v>0</v>
      </c>
      <c r="K849" s="341" t="s">
        <v>274</v>
      </c>
      <c r="L849" s="16" t="str">
        <f t="shared" si="754"/>
        <v>S</v>
      </c>
      <c r="M849" s="927" t="s">
        <v>100</v>
      </c>
      <c r="N849" s="927">
        <v>25.2</v>
      </c>
      <c r="O849" s="353" t="str">
        <f>IF(LEN($M849)=1,VLOOKUP(LEFT($M849,1),B846:I853,5,FALSE),IF(LEN($M849)=2,VLOOKUP(LEFT($M849,1),B846:I853,7,FALSE),""))</f>
        <v>S</v>
      </c>
      <c r="P849" s="373" t="str">
        <f>IF(LEN($M849)=1,VLOOKUP(LEFT($M849,1),B846:I853,6,FALSE),IF(LEN($M849)=2,VLOOKUP(LEFT($M849,1),B846:I853,8,FALSE),""))</f>
        <v>Miguel Daley</v>
      </c>
      <c r="Q849" s="341" t="s">
        <v>274</v>
      </c>
      <c r="R849" s="146" t="str">
        <f t="shared" si="755"/>
        <v/>
      </c>
      <c r="S849" s="927"/>
      <c r="T849" s="927"/>
      <c r="U849" s="353" t="str">
        <f>IF(LEN($S849)=1,VLOOKUP(LEFT($S849,1),B846:I853,5,FALSE),IF(LEN($S849)=2,VLOOKUP(LEFT($S849,1),B846:I853,7,FALSE),""))</f>
        <v/>
      </c>
      <c r="V849" s="373" t="str">
        <f>IF(LEN($S849)=1,VLOOKUP(LEFT($S849,1),B846:I853,6,FALSE),IF(LEN($S849)=2,VLOOKUP(LEFT($S849,1),B846:I853,8,FALSE),""))</f>
        <v/>
      </c>
      <c r="W849" s="417">
        <f t="shared" si="762"/>
        <v>5</v>
      </c>
      <c r="Y849" s="417">
        <v>22</v>
      </c>
      <c r="Z849" s="16" t="str">
        <f t="shared" si="756"/>
        <v>BRAT</v>
      </c>
      <c r="AA849" s="146">
        <f t="shared" si="757"/>
        <v>0</v>
      </c>
      <c r="AB849" s="32"/>
      <c r="AC849" s="16" t="str">
        <f t="shared" si="758"/>
        <v>R</v>
      </c>
      <c r="AD849" s="419" t="str">
        <f t="shared" si="758"/>
        <v>Rugby &amp; N'hampton</v>
      </c>
      <c r="AE849" s="419">
        <f>IF(ISNA(MATCH(AC849,N846:N855,0)),0,VLOOKUP(AC849,N846:S855,5,FALSE))</f>
        <v>0</v>
      </c>
      <c r="AF849" s="419" t="str">
        <f>IF(ISNA(MATCH(AC849,T846:T855,0))," ",VLOOKUP(AC849,T846:Y855,5,FALSE))</f>
        <v xml:space="preserve"> </v>
      </c>
      <c r="AG849" s="419">
        <f>IF(ISNA(MATCH(AC849,L846:L853,0)),0,VLOOKUP(AC849,L846:N853,3,FALSE))</f>
        <v>23.2</v>
      </c>
      <c r="AH849" s="419">
        <f>IF(ISNA(MATCH(AC849,R846:R853,0)),0,VLOOKUP(AC849,R846:T853,3,FALSE))</f>
        <v>0</v>
      </c>
      <c r="AI849" s="419" t="str">
        <f>IF(ISNA(MATCH(AC849,L846:L853,0)),0,VLOOKUP(AC849,L846:P853,4,FALSE))</f>
        <v>R</v>
      </c>
      <c r="AJ849" s="419">
        <f>IF(ISNA(MATCH(AC849,R846:R853,0)),0,VLOOKUP(AC849,R846:U853,4,FALSE))</f>
        <v>0</v>
      </c>
      <c r="AK849" s="32">
        <f t="shared" si="759"/>
        <v>1</v>
      </c>
      <c r="AL849" s="32">
        <f t="shared" si="760"/>
        <v>0</v>
      </c>
      <c r="AM849" s="32">
        <f>IF(ISNA(MATCH(AC849,L846:L853,0)),0,VLOOKUP(AC849,L846:W853,AM$1,FALSE))</f>
        <v>8</v>
      </c>
      <c r="AN849" s="146">
        <f>IF(ISNA(MATCH(AC849,R846:R853,0)),0,VLOOKUP(AC849,R846:W853,AN$1,FALSE))</f>
        <v>0</v>
      </c>
      <c r="AP849" s="927"/>
      <c r="AQ849" s="927"/>
    </row>
    <row r="850" spans="1:47" ht="15.6" x14ac:dyDescent="0.3">
      <c r="A850" s="417">
        <f t="shared" si="761"/>
        <v>765</v>
      </c>
      <c r="B850" s="362" t="str">
        <f>'Event Details'!D$26</f>
        <v>M</v>
      </c>
      <c r="C850" s="381" t="str">
        <f>'Event Details'!E$26</f>
        <v>Solihull &amp; S.Heath</v>
      </c>
      <c r="D850" s="379"/>
      <c r="E850" s="378"/>
      <c r="F850" s="363" t="str">
        <f>VLOOKUP($B845,IF($H845="F",TeamSheetFemale,TeamSheetMale),$Y850-1,FALSE)</f>
        <v>M</v>
      </c>
      <c r="G850" s="380" t="str">
        <f>VLOOKUP($B845,IF($H845="F",TeamSheetFemale,TeamSheetMale),$Y850,FALSE)</f>
        <v>Noah Latusek</v>
      </c>
      <c r="H850" s="363" t="str">
        <f>VLOOKUP($B845,IF($H845="F",TeamSheetFemale,TeamSheetMale),$Y850+1,FALSE)</f>
        <v>MM</v>
      </c>
      <c r="I850" s="364" t="str">
        <f>VLOOKUP($B845,IF($H845="F",TeamSheetFemale,TeamSheetMale),$Y850+2,FALSE)</f>
        <v>Ben Hilton</v>
      </c>
      <c r="K850" s="341" t="s">
        <v>275</v>
      </c>
      <c r="L850" s="16" t="str">
        <f t="shared" si="754"/>
        <v>G</v>
      </c>
      <c r="M850" s="927" t="s">
        <v>110</v>
      </c>
      <c r="N850" s="927">
        <v>25.4</v>
      </c>
      <c r="O850" s="353" t="str">
        <f>IF(LEN($M850)=1,VLOOKUP(LEFT($M850,1),B846:I853,5,FALSE),IF(LEN($M850)=2,VLOOKUP(LEFT($M850,1),B846:I853,7,FALSE),""))</f>
        <v>G</v>
      </c>
      <c r="P850" s="373" t="str">
        <f>IF(LEN($M850)=1,VLOOKUP(LEFT($M850,1),B846:I853,6,FALSE),IF(LEN($M850)=2,VLOOKUP(LEFT($M850,1),B846:I853,8,FALSE),""))</f>
        <v>K'Shein Radcliffe</v>
      </c>
      <c r="Q850" s="341" t="s">
        <v>275</v>
      </c>
      <c r="R850" s="146" t="str">
        <f t="shared" si="755"/>
        <v/>
      </c>
      <c r="S850" s="927"/>
      <c r="T850" s="927"/>
      <c r="U850" s="353" t="str">
        <f>IF(LEN($S850)=1,VLOOKUP(LEFT($S850,1),B846:I853,5,FALSE),IF(LEN($S850)=2,VLOOKUP(LEFT($S850,1),B846:I853,7,FALSE),""))</f>
        <v/>
      </c>
      <c r="V850" s="373" t="str">
        <f>IF(LEN($S850)=1,VLOOKUP(LEFT($S850,1),B846:I853,6,FALSE),IF(LEN($S850)=2,VLOOKUP(LEFT($S850,1),B846:I853,8,FALSE),""))</f>
        <v/>
      </c>
      <c r="W850" s="417">
        <f t="shared" si="762"/>
        <v>4</v>
      </c>
      <c r="Y850" s="417">
        <v>27</v>
      </c>
      <c r="Z850" s="16" t="str">
        <f t="shared" si="756"/>
        <v>Royal</v>
      </c>
      <c r="AA850" s="146">
        <f t="shared" si="757"/>
        <v>0</v>
      </c>
      <c r="AB850" s="32"/>
      <c r="AC850" s="16" t="str">
        <f t="shared" si="758"/>
        <v>M</v>
      </c>
      <c r="AD850" s="419" t="str">
        <f t="shared" si="758"/>
        <v>Solihull &amp; S.Heath</v>
      </c>
      <c r="AE850" s="419">
        <f>IF(ISNA(MATCH(AC850,N846:N855,0)),0,VLOOKUP(AC850,N846:S855,5,FALSE))</f>
        <v>0</v>
      </c>
      <c r="AF850" s="419" t="str">
        <f>IF(ISNA(MATCH(AC850,T846:T855,0))," ",VLOOKUP(AC850,T846:Y855,5,FALSE))</f>
        <v xml:space="preserve"> </v>
      </c>
      <c r="AG850" s="419">
        <f>IF(ISNA(MATCH(AC850,L846:L853,0)),0,VLOOKUP(AC850,L846:N853,3,FALSE))</f>
        <v>23.2</v>
      </c>
      <c r="AH850" s="419">
        <f>IF(ISNA(MATCH(AC850,R846:R853,0)),0,VLOOKUP(AC850,R846:T853,3,FALSE))</f>
        <v>23.8</v>
      </c>
      <c r="AI850" s="419" t="str">
        <f>IF(ISNA(MATCH(AC850,L846:L853,0)),0,VLOOKUP(AC850,L846:P853,4,FALSE))</f>
        <v>M</v>
      </c>
      <c r="AJ850" s="419" t="str">
        <f>IF(ISNA(MATCH(AC850,R846:R853,0)),0,VLOOKUP(AC850,R846:U853,4,FALSE))</f>
        <v>MM</v>
      </c>
      <c r="AK850" s="32">
        <f t="shared" si="759"/>
        <v>2</v>
      </c>
      <c r="AL850" s="32">
        <f t="shared" si="760"/>
        <v>1</v>
      </c>
      <c r="AM850" s="32">
        <f>IF(ISNA(MATCH(AC850,L846:L853,0)),0,VLOOKUP(AC850,L846:W853,AM$1,FALSE))</f>
        <v>7</v>
      </c>
      <c r="AN850" s="146">
        <f>IF(ISNA(MATCH(AC850,R846:R853,0)),0,VLOOKUP(AC850,R846:W853,AN$1,FALSE))</f>
        <v>8</v>
      </c>
      <c r="AP850" s="927"/>
      <c r="AQ850" s="927"/>
    </row>
    <row r="851" spans="1:47" ht="15.6" x14ac:dyDescent="0.3">
      <c r="A851" s="417">
        <f t="shared" si="761"/>
        <v>766</v>
      </c>
      <c r="B851" s="362" t="str">
        <f>'Event Details'!D$27</f>
        <v>D</v>
      </c>
      <c r="C851" s="381" t="str">
        <f>'Event Details'!E$27</f>
        <v>Stratford</v>
      </c>
      <c r="D851" s="379"/>
      <c r="E851" s="378"/>
      <c r="F851" s="363" t="str">
        <f>VLOOKUP($B845,IF($H845="F",TeamSheetFemale,TeamSheetMale),$Y851-1,FALSE)</f>
        <v>D</v>
      </c>
      <c r="G851" s="380" t="str">
        <f>VLOOKUP($B845,IF($H845="F",TeamSheetFemale,TeamSheetMale),$Y851,FALSE)</f>
        <v>Tom Stanton</v>
      </c>
      <c r="H851" s="363" t="str">
        <f>VLOOKUP($B845,IF($H845="F",TeamSheetFemale,TeamSheetMale),$Y851+1,FALSE)</f>
        <v>DD</v>
      </c>
      <c r="I851" s="364" t="str">
        <f>VLOOKUP($B845,IF($H845="F",TeamSheetFemale,TeamSheetMale),$Y851+2,FALSE)</f>
        <v>Arthur Mansbridge</v>
      </c>
      <c r="K851" s="341" t="s">
        <v>276</v>
      </c>
      <c r="L851" s="16" t="str">
        <f t="shared" si="754"/>
        <v/>
      </c>
      <c r="M851" s="927"/>
      <c r="N851" s="927"/>
      <c r="O851" s="353" t="str">
        <f>IF(LEN($M851)=1,VLOOKUP(LEFT($M851,1),B846:I853,5,FALSE),IF(LEN($M851)=2,VLOOKUP(LEFT($M851,1),B846:I853,7,FALSE),""))</f>
        <v/>
      </c>
      <c r="P851" s="373" t="str">
        <f>IF(LEN($M851)=1,VLOOKUP(LEFT($M851,1),B846:I853,6,FALSE),IF(LEN($M851)=2,VLOOKUP(LEFT($M851,1),B846:I853,8,FALSE),""))</f>
        <v/>
      </c>
      <c r="Q851" s="341" t="s">
        <v>276</v>
      </c>
      <c r="R851" s="146" t="str">
        <f t="shared" si="755"/>
        <v/>
      </c>
      <c r="S851" s="927"/>
      <c r="T851" s="927"/>
      <c r="U851" s="353" t="str">
        <f>IF(LEN($S851)=1,VLOOKUP(LEFT($S851,1),B846:I853,5,FALSE),IF(LEN($S851)=2,VLOOKUP(LEFT($S851,1),B846:I853,7,FALSE),""))</f>
        <v/>
      </c>
      <c r="V851" s="373" t="str">
        <f>IF(LEN($S851)=1,VLOOKUP(LEFT($S851,1),B846:I853,6,FALSE),IF(LEN($S851)=2,VLOOKUP(LEFT($S851,1),B846:I853,8,FALSE),""))</f>
        <v/>
      </c>
      <c r="W851" s="417">
        <f t="shared" si="762"/>
        <v>3</v>
      </c>
      <c r="Y851" s="417">
        <v>32</v>
      </c>
      <c r="Z851" s="16">
        <f t="shared" si="756"/>
        <v>0</v>
      </c>
      <c r="AA851" s="146">
        <f t="shared" si="757"/>
        <v>0</v>
      </c>
      <c r="AB851" s="32"/>
      <c r="AC851" s="16" t="str">
        <f t="shared" si="758"/>
        <v>D</v>
      </c>
      <c r="AD851" s="419" t="str">
        <f t="shared" si="758"/>
        <v>Stratford</v>
      </c>
      <c r="AE851" s="419">
        <f>IF(ISNA(MATCH(AC851,N846:N855,0)),0,VLOOKUP(AC851,N846:S855,5,FALSE))</f>
        <v>0</v>
      </c>
      <c r="AF851" s="419" t="str">
        <f>IF(ISNA(MATCH(AC851,T846:T855,0))," ",VLOOKUP(AC851,T846:Y855,5,FALSE))</f>
        <v xml:space="preserve"> </v>
      </c>
      <c r="AG851" s="419">
        <f>IF(ISNA(MATCH(AC851,L846:L853,0)),0,VLOOKUP(AC851,L846:N853,3,FALSE))</f>
        <v>23.6</v>
      </c>
      <c r="AH851" s="419">
        <f>IF(ISNA(MATCH(AC851,R846:R853,0)),0,VLOOKUP(AC851,R846:T853,3,FALSE))</f>
        <v>0</v>
      </c>
      <c r="AI851" s="419" t="str">
        <f>IF(ISNA(MATCH(AC851,L846:L853,0)),0,VLOOKUP(AC851,L846:P853,4,FALSE))</f>
        <v>D</v>
      </c>
      <c r="AJ851" s="419">
        <f>IF(ISNA(MATCH(AC851,R846:R853,0)),0,VLOOKUP(AC851,R846:U853,4,FALSE))</f>
        <v>0</v>
      </c>
      <c r="AK851" s="32">
        <f t="shared" si="759"/>
        <v>3</v>
      </c>
      <c r="AL851" s="32">
        <f t="shared" si="760"/>
        <v>0</v>
      </c>
      <c r="AM851" s="32">
        <f>IF(ISNA(MATCH(AC851,L846:L853,0)),0,VLOOKUP(AC851,L846:W853,AM$1,FALSE))</f>
        <v>6</v>
      </c>
      <c r="AN851" s="146">
        <f>IF(ISNA(MATCH(AC851,R846:R853,0)),0,VLOOKUP(AC851,R846:W853,AN$1,FALSE))</f>
        <v>0</v>
      </c>
      <c r="AP851" s="927"/>
      <c r="AQ851" s="927"/>
    </row>
    <row r="852" spans="1:47" ht="15.6" x14ac:dyDescent="0.3">
      <c r="A852" s="417">
        <f t="shared" si="761"/>
        <v>767</v>
      </c>
      <c r="B852" s="362" t="str">
        <f>'Event Details'!D$28</f>
        <v>F</v>
      </c>
      <c r="C852" s="381" t="str">
        <f>'Event Details'!E$28</f>
        <v>Tamworth</v>
      </c>
      <c r="D852" s="379"/>
      <c r="E852" s="378"/>
      <c r="F852" s="363">
        <f>VLOOKUP($B845,IF($H845="F",TeamSheetFemale,TeamSheetMale),$Y852-1,FALSE)</f>
        <v>0</v>
      </c>
      <c r="G852" s="380">
        <f>VLOOKUP($B845,IF($H845="F",TeamSheetFemale,TeamSheetMale),$Y852,FALSE)</f>
        <v>0</v>
      </c>
      <c r="H852" s="363">
        <f>VLOOKUP($B845,IF($H845="F",TeamSheetFemale,TeamSheetMale),$Y852+1,FALSE)</f>
        <v>0</v>
      </c>
      <c r="I852" s="364">
        <f>VLOOKUP($B845,IF($H845="F",TeamSheetFemale,TeamSheetMale),$Y852+2,FALSE)</f>
        <v>0</v>
      </c>
      <c r="K852" s="341" t="s">
        <v>277</v>
      </c>
      <c r="L852" s="16" t="str">
        <f t="shared" si="754"/>
        <v/>
      </c>
      <c r="M852" s="927"/>
      <c r="N852" s="927"/>
      <c r="O852" s="353" t="str">
        <f>IF(LEN($M852)=1,VLOOKUP(LEFT($M852,1),B846:I853,5,FALSE),IF(LEN($M852)=2,VLOOKUP(LEFT($M852,1),B846:I853,7,FALSE),""))</f>
        <v/>
      </c>
      <c r="P852" s="373" t="str">
        <f>IF(LEN($M852)=1,VLOOKUP(LEFT($M852,1),B846:I853,6,FALSE),IF(LEN($M852)=2,VLOOKUP(LEFT($M852,1),B846:I853,8,FALSE),""))</f>
        <v/>
      </c>
      <c r="Q852" s="341" t="s">
        <v>277</v>
      </c>
      <c r="R852" s="146" t="str">
        <f t="shared" si="755"/>
        <v/>
      </c>
      <c r="S852" s="927"/>
      <c r="T852" s="927"/>
      <c r="U852" s="353" t="str">
        <f>IF(LEN($S852)=1,VLOOKUP(LEFT($S852,1),B846:I853,5,FALSE),IF(LEN($S852)=2,VLOOKUP(LEFT($S852,1),B846:I853,7,FALSE),""))</f>
        <v/>
      </c>
      <c r="V852" s="373" t="str">
        <f>IF(LEN($S852)=1,VLOOKUP(LEFT($S852,1),B846:I853,6,FALSE),IF(LEN($S852)=2,VLOOKUP(LEFT($S852,1),B846:I853,8,FALSE),""))</f>
        <v/>
      </c>
      <c r="W852" s="417">
        <f t="shared" si="762"/>
        <v>2</v>
      </c>
      <c r="Y852" s="417">
        <v>37</v>
      </c>
      <c r="Z852" s="16">
        <f t="shared" si="756"/>
        <v>0</v>
      </c>
      <c r="AA852" s="146">
        <f t="shared" si="757"/>
        <v>0</v>
      </c>
      <c r="AB852" s="32"/>
      <c r="AC852" s="16" t="str">
        <f t="shared" si="758"/>
        <v>F</v>
      </c>
      <c r="AD852" s="419" t="str">
        <f t="shared" si="758"/>
        <v>Tamworth</v>
      </c>
      <c r="AE852" s="419">
        <f>IF(ISNA(MATCH(AC852,N844:N853,0)),0,VLOOKUP(AC852,N844:S853,5,FALSE))</f>
        <v>0</v>
      </c>
      <c r="AF852" s="419" t="str">
        <f>IF(ISNA(MATCH(AC852,T844:T853,0))," ",VLOOKUP(AC852,T844:Y853,5,FALSE))</f>
        <v xml:space="preserve"> </v>
      </c>
      <c r="AG852" s="419">
        <f>IF(ISNA(MATCH(AC852,L846:L853,0)),0,VLOOKUP(AC852,L846:N853,3,FALSE))</f>
        <v>0</v>
      </c>
      <c r="AH852" s="419">
        <f>IF(ISNA(MATCH(AC852,R846:R853,0)),0,VLOOKUP(AC852,R846:T853,3,FALSE))</f>
        <v>0</v>
      </c>
      <c r="AI852" s="419">
        <f>IF(ISNA(MATCH(AC852,L846:L853,0)),0,VLOOKUP(AC852,L846:P853,4,FALSE))</f>
        <v>0</v>
      </c>
      <c r="AJ852" s="419">
        <f>IF(ISNA(MATCH(AC852,R846:R853,0)),0,VLOOKUP(AC852,R846:U853,4,FALSE))</f>
        <v>0</v>
      </c>
      <c r="AK852" s="32">
        <f t="shared" si="759"/>
        <v>0</v>
      </c>
      <c r="AL852" s="32">
        <f t="shared" si="760"/>
        <v>0</v>
      </c>
      <c r="AM852" s="32">
        <f>IF(ISNA(MATCH(AC852,L846:L853,0)),0,VLOOKUP(AC852,L846:W853,AM$1,FALSE))</f>
        <v>0</v>
      </c>
      <c r="AN852" s="146">
        <f>IF(ISNA(MATCH(AC852,R846:R853,0)),0,VLOOKUP(AC852,R846:W853,AN$1,FALSE))</f>
        <v>0</v>
      </c>
      <c r="AP852" s="927"/>
      <c r="AQ852" s="927"/>
    </row>
    <row r="853" spans="1:47" ht="16.2" thickBot="1" x14ac:dyDescent="0.35">
      <c r="A853" s="418">
        <f t="shared" si="761"/>
        <v>768</v>
      </c>
      <c r="B853" s="365" t="str">
        <f>'Event Details'!D$29</f>
        <v>Y</v>
      </c>
      <c r="C853" s="366" t="str">
        <f>'Event Details'!E$29</f>
        <v>Worcester</v>
      </c>
      <c r="D853" s="361"/>
      <c r="E853" s="370"/>
      <c r="F853" s="367">
        <f>VLOOKUP($B845,IF($H845="F",TeamSheetFemale,TeamSheetMale),$Y853-1,FALSE)</f>
        <v>0</v>
      </c>
      <c r="G853" s="368">
        <f>VLOOKUP($B845,IF($H845="F",TeamSheetFemale,TeamSheetMale),$Y853,FALSE)</f>
        <v>0</v>
      </c>
      <c r="H853" s="367">
        <f>VLOOKUP($B845,IF($H845="F",TeamSheetFemale,TeamSheetMale),$Y853+1,FALSE)</f>
        <v>0</v>
      </c>
      <c r="I853" s="369">
        <f>VLOOKUP($B845,IF($H845="F",TeamSheetFemale,TeamSheetMale),$Y853+2,FALSE)</f>
        <v>0</v>
      </c>
      <c r="K853" s="346" t="s">
        <v>278</v>
      </c>
      <c r="L853" s="25" t="str">
        <f t="shared" si="754"/>
        <v/>
      </c>
      <c r="M853" s="928"/>
      <c r="N853" s="932"/>
      <c r="O853" s="375" t="str">
        <f>IF(LEN($M853)=1,VLOOKUP(LEFT($M853,1),B846:I853,5,FALSE),IF(LEN($M853)=2,VLOOKUP(LEFT($M853,1),B846:I853,7,FALSE),""))</f>
        <v/>
      </c>
      <c r="P853" s="376" t="str">
        <f>IF(LEN($M853)=1,VLOOKUP(LEFT($M853,1),B846:I853,6,FALSE),IF(LEN($M853)=2,VLOOKUP(LEFT($M853,1),B846:I853,8,FALSE),""))</f>
        <v/>
      </c>
      <c r="Q853" s="346" t="s">
        <v>278</v>
      </c>
      <c r="R853" s="523" t="str">
        <f t="shared" si="755"/>
        <v/>
      </c>
      <c r="S853" s="928"/>
      <c r="T853" s="932"/>
      <c r="U853" s="375" t="str">
        <f>IF(LEN($S853)=1,VLOOKUP(LEFT($S853,1),B846:I853,5,FALSE),IF(LEN($S853)=2,VLOOKUP(LEFT($S853,1),B846:I853,7,FALSE),""))</f>
        <v/>
      </c>
      <c r="V853" s="376" t="str">
        <f>IF(LEN($S853)=1,VLOOKUP(LEFT($S853,1),B846:I853,6,FALSE),IF(LEN($S853)=2,VLOOKUP(LEFT($S853,1),B846:I853,8,FALSE),""))</f>
        <v/>
      </c>
      <c r="W853" s="418">
        <f t="shared" si="762"/>
        <v>1</v>
      </c>
      <c r="Y853" s="418">
        <v>42</v>
      </c>
      <c r="Z853" s="25">
        <f t="shared" si="756"/>
        <v>0</v>
      </c>
      <c r="AA853" s="523">
        <f t="shared" si="757"/>
        <v>0</v>
      </c>
      <c r="AB853" s="32"/>
      <c r="AC853" s="25" t="str">
        <f t="shared" si="758"/>
        <v>Y</v>
      </c>
      <c r="AD853" s="624" t="str">
        <f t="shared" si="758"/>
        <v>Worcester</v>
      </c>
      <c r="AE853" s="624">
        <f>IF(ISNA(MATCH(AC853,N845:N854,0)),0,VLOOKUP(AC853,N845:S854,5,FALSE))</f>
        <v>0</v>
      </c>
      <c r="AF853" s="624" t="str">
        <f t="shared" ref="AF853" si="763">IF(ISNA(MATCH(AC853,T845:T854,0))," ",VLOOKUP(AC853,T845:Y854,5,FALSE))</f>
        <v xml:space="preserve"> </v>
      </c>
      <c r="AG853" s="624">
        <f>IF(ISNA(MATCH(AC853,L846:L853,0)),0,VLOOKUP(AC853,L846:N853,3,FALSE))</f>
        <v>0</v>
      </c>
      <c r="AH853" s="624">
        <f>IF(ISNA(MATCH(AC853,R846:R853,0)),0,VLOOKUP(AC853,R846:T853,3,FALSE))</f>
        <v>0</v>
      </c>
      <c r="AI853" s="624">
        <f>IF(ISNA(MATCH(AC853,L846:L853,0)),0,VLOOKUP(AC853,L846:P853,4,FALSE))</f>
        <v>0</v>
      </c>
      <c r="AJ853" s="624">
        <f>IF(ISNA(MATCH(AC853,R846:R853,0)),0,VLOOKUP(AC853,R846:U853,4,FALSE))</f>
        <v>0</v>
      </c>
      <c r="AK853" s="116">
        <f t="shared" si="759"/>
        <v>0</v>
      </c>
      <c r="AL853" s="116">
        <f t="shared" si="760"/>
        <v>0</v>
      </c>
      <c r="AM853" s="116">
        <f>IF(ISNA(MATCH(AC853,L846:L853,0)),0,VLOOKUP(AC853,L846:W853,AM$1,FALSE))</f>
        <v>0</v>
      </c>
      <c r="AN853" s="523">
        <f>IF(ISNA(MATCH(AC853,R846:R853,0)),0,VLOOKUP(AC853,R846:W853,AN$1,FALSE))</f>
        <v>0</v>
      </c>
      <c r="AP853" s="928"/>
      <c r="AQ853" s="932"/>
    </row>
    <row r="854" spans="1:47" ht="15" thickBot="1" x14ac:dyDescent="0.35">
      <c r="M854" s="276"/>
      <c r="N854" s="307"/>
      <c r="S854" s="276"/>
      <c r="T854" s="307"/>
      <c r="AP854" s="276"/>
      <c r="AQ854" s="307"/>
    </row>
    <row r="855" spans="1:47" x14ac:dyDescent="0.3">
      <c r="B855" s="400" t="s">
        <v>258</v>
      </c>
      <c r="C855" s="398"/>
      <c r="D855" s="401" t="s">
        <v>165</v>
      </c>
      <c r="E855" s="398"/>
      <c r="F855" s="398"/>
      <c r="G855" s="402" t="s">
        <v>259</v>
      </c>
      <c r="H855" s="403" t="s">
        <v>249</v>
      </c>
      <c r="I855" s="404" t="s">
        <v>168</v>
      </c>
      <c r="K855" s="360"/>
      <c r="L855" s="661"/>
      <c r="M855" s="387" t="s">
        <v>260</v>
      </c>
      <c r="N855" s="387" t="s">
        <v>261</v>
      </c>
      <c r="O855" s="387" t="s">
        <v>262</v>
      </c>
      <c r="P855" s="388" t="s">
        <v>75</v>
      </c>
      <c r="Q855" s="389"/>
      <c r="R855" s="657"/>
      <c r="S855" s="387" t="s">
        <v>260</v>
      </c>
      <c r="T855" s="387" t="s">
        <v>261</v>
      </c>
      <c r="U855" s="387" t="s">
        <v>262</v>
      </c>
      <c r="V855" s="388" t="s">
        <v>75</v>
      </c>
      <c r="W855" s="672" t="s">
        <v>76</v>
      </c>
      <c r="Y855" s="414" t="s">
        <v>263</v>
      </c>
      <c r="Z855" s="656" t="s">
        <v>74</v>
      </c>
      <c r="AA855" s="657" t="s">
        <v>75</v>
      </c>
      <c r="AC855" s="665" t="s">
        <v>71</v>
      </c>
      <c r="AD855" s="657" t="s">
        <v>86</v>
      </c>
      <c r="AE855" s="661" t="s">
        <v>149</v>
      </c>
      <c r="AF855" s="661" t="s">
        <v>94</v>
      </c>
      <c r="AG855" s="661" t="s">
        <v>149</v>
      </c>
      <c r="AH855" s="661" t="s">
        <v>94</v>
      </c>
      <c r="AI855" s="661" t="s">
        <v>149</v>
      </c>
      <c r="AJ855" s="661" t="s">
        <v>94</v>
      </c>
      <c r="AK855" s="1332" t="s">
        <v>149</v>
      </c>
      <c r="AL855" s="661" t="s">
        <v>94</v>
      </c>
      <c r="AM855" s="1406" t="s">
        <v>76</v>
      </c>
      <c r="AN855" s="1407"/>
      <c r="AP855" s="387" t="s">
        <v>260</v>
      </c>
      <c r="AQ855" s="387" t="s">
        <v>261</v>
      </c>
      <c r="AS855" s="1218" t="s">
        <v>165</v>
      </c>
      <c r="AT855" s="1219" t="s">
        <v>79</v>
      </c>
      <c r="AU855" s="1220" t="s">
        <v>80</v>
      </c>
    </row>
    <row r="856" spans="1:47" ht="15" thickBot="1" x14ac:dyDescent="0.35">
      <c r="B856" s="405">
        <v>77</v>
      </c>
      <c r="C856" s="399"/>
      <c r="D856" s="385" t="str">
        <f>VLOOKUP($B856,EventOrder,6,FALSE)</f>
        <v xml:space="preserve">20 Minute Break </v>
      </c>
      <c r="E856" s="399"/>
      <c r="F856" s="385"/>
      <c r="G856" s="386" t="str">
        <f>VLOOKUP($B856,EventOrder,4,FALSE)</f>
        <v/>
      </c>
      <c r="H856" s="396" t="str">
        <f>IF(MID(G856,5,1)="F","F","M")</f>
        <v>M</v>
      </c>
      <c r="I856" s="397" t="str">
        <f>VLOOKUP($B856,EventOrder,2,FALSE)</f>
        <v/>
      </c>
      <c r="K856" s="377"/>
      <c r="L856" s="667" t="s">
        <v>149</v>
      </c>
      <c r="M856" s="409" t="s">
        <v>264</v>
      </c>
      <c r="N856" s="409" t="s">
        <v>265</v>
      </c>
      <c r="O856" s="390" t="s">
        <v>266</v>
      </c>
      <c r="P856" s="391"/>
      <c r="Q856" s="392"/>
      <c r="R856" s="659" t="s">
        <v>94</v>
      </c>
      <c r="S856" s="409" t="s">
        <v>264</v>
      </c>
      <c r="T856" s="409" t="s">
        <v>265</v>
      </c>
      <c r="U856" s="390" t="s">
        <v>266</v>
      </c>
      <c r="V856" s="391"/>
      <c r="W856" s="671"/>
      <c r="Y856" s="415" t="s">
        <v>167</v>
      </c>
      <c r="Z856" s="658" t="s">
        <v>149</v>
      </c>
      <c r="AA856" s="659" t="s">
        <v>94</v>
      </c>
      <c r="AC856" s="666"/>
      <c r="AD856" s="668"/>
      <c r="AE856" s="768" t="s">
        <v>75</v>
      </c>
      <c r="AF856" s="768" t="s">
        <v>75</v>
      </c>
      <c r="AG856" s="768" t="s">
        <v>267</v>
      </c>
      <c r="AH856" s="768" t="s">
        <v>267</v>
      </c>
      <c r="AI856" s="768" t="s">
        <v>268</v>
      </c>
      <c r="AJ856" s="768" t="s">
        <v>268</v>
      </c>
      <c r="AK856" s="770" t="s">
        <v>269</v>
      </c>
      <c r="AL856" s="768" t="s">
        <v>269</v>
      </c>
      <c r="AM856" s="667" t="s">
        <v>149</v>
      </c>
      <c r="AN856" s="659" t="s">
        <v>94</v>
      </c>
      <c r="AP856" s="409" t="s">
        <v>264</v>
      </c>
      <c r="AQ856" s="409" t="s">
        <v>265</v>
      </c>
      <c r="AS856" s="1221" t="s">
        <v>270</v>
      </c>
      <c r="AT856" s="1222" t="s">
        <v>270</v>
      </c>
      <c r="AU856" s="1223" t="s">
        <v>270</v>
      </c>
    </row>
    <row r="857" spans="1:47" ht="15.6" x14ac:dyDescent="0.3">
      <c r="A857" s="416">
        <f>(B856*10)+1</f>
        <v>771</v>
      </c>
      <c r="B857" s="362" t="str">
        <f>'Event Details'!D$22</f>
        <v>S</v>
      </c>
      <c r="C857" s="381" t="str">
        <f>'Event Details'!E$22</f>
        <v>BRAT</v>
      </c>
      <c r="D857" s="379"/>
      <c r="E857" s="378"/>
      <c r="F857" s="363" t="e">
        <f>VLOOKUP($B856,IF($H856="F",TeamSheetFemale,TeamSheetMale),$Y857-1,FALSE)</f>
        <v>#N/A</v>
      </c>
      <c r="G857" s="380" t="e">
        <f>VLOOKUP($B856,IF($H856="F",TeamSheetFemale,TeamSheetMale),$Y857,FALSE)</f>
        <v>#N/A</v>
      </c>
      <c r="H857" s="363" t="e">
        <f>VLOOKUP($B856,IF($H856="F",TeamSheetFemale,TeamSheetMale),$Y857+1,FALSE)</f>
        <v>#N/A</v>
      </c>
      <c r="I857" s="364" t="e">
        <f>VLOOKUP($B856,IF($H856="F",TeamSheetFemale,TeamSheetMale),$Y857+2,FALSE)</f>
        <v>#N/A</v>
      </c>
      <c r="K857" s="393" t="s">
        <v>271</v>
      </c>
      <c r="L857" s="16" t="str">
        <f t="shared" ref="L857:L864" si="764">LEFT(M857,1)</f>
        <v/>
      </c>
      <c r="M857" s="926"/>
      <c r="N857" s="926"/>
      <c r="O857" s="394" t="str">
        <f>IF(LEN($M857)=1,VLOOKUP(LEFT($M857,1),B857:I864,5,FALSE),IF(LEN($M857)=2,VLOOKUP(LEFT($M857,1),B857:I864,7,FALSE),""))</f>
        <v/>
      </c>
      <c r="P857" s="395" t="str">
        <f>IF(LEN($M857)=1,VLOOKUP(LEFT($M857,1),B857:I864,6,FALSE),IF(LEN($M857)=2,VLOOKUP(LEFT($M857,1),B857:I864,8,FALSE),""))</f>
        <v/>
      </c>
      <c r="Q857" s="393" t="s">
        <v>271</v>
      </c>
      <c r="R857" s="146" t="str">
        <f t="shared" ref="R857:R864" si="765">LEFT(S857,1)</f>
        <v/>
      </c>
      <c r="S857" s="926"/>
      <c r="T857" s="926"/>
      <c r="U857" s="394" t="str">
        <f>IF(LEN($S857)=1,VLOOKUP(LEFT($S857,1),B857:I864,5,FALSE),IF(LEN($S857)=2,VLOOKUP(LEFT($S857,1),B857:I864,7,FALSE),""))</f>
        <v/>
      </c>
      <c r="V857" s="395" t="str">
        <f>IF(LEN($S857)=1,VLOOKUP(LEFT($S857,1),B857:I864,6,FALSE),IF(LEN($S857)=2,VLOOKUP(LEFT($S857,1),B857:I864,8,FALSE),""))</f>
        <v/>
      </c>
      <c r="W857" s="417">
        <f>AN$6</f>
        <v>8</v>
      </c>
      <c r="Y857" s="416">
        <v>7</v>
      </c>
      <c r="Z857" s="653">
        <f t="shared" ref="Z857:Z864" si="766">IF(LEN(M857)&gt;0,VLOOKUP(LEFT(M857,1),ShortName,5,FALSE),0)</f>
        <v>0</v>
      </c>
      <c r="AA857" s="138">
        <f t="shared" ref="AA857:AA864" si="767">IF(LEN(S857)&gt;0,VLOOKUP(LEFT(S857,1),ShortName,5,FALSE),0)</f>
        <v>0</v>
      </c>
      <c r="AC857" s="16" t="str">
        <f t="shared" ref="AC857:AD864" si="768">B857</f>
        <v>S</v>
      </c>
      <c r="AD857" s="419" t="str">
        <f t="shared" si="768"/>
        <v>BRAT</v>
      </c>
      <c r="AE857" s="635">
        <f>IF(ISNA(MATCH(AC857,N857:N866,0)),0,VLOOKUP(AC857,N857:S866,5,FALSE))</f>
        <v>0</v>
      </c>
      <c r="AF857" s="635" t="str">
        <f>IF(ISNA(MATCH(AC857,T857:T866,0))," ",VLOOKUP(AC857,T857:Y866,5,FALSE))</f>
        <v xml:space="preserve"> </v>
      </c>
      <c r="AG857" s="635">
        <f>IF(ISNA(MATCH(AC857,L857:L864,0)),0,VLOOKUP(AC857,L857:N864,3,FALSE))</f>
        <v>0</v>
      </c>
      <c r="AH857" s="635">
        <f>IF(ISNA(MATCH(AC857,R857:R864,0)),0,VLOOKUP(AC857,R857:T864,3,FALSE))</f>
        <v>0</v>
      </c>
      <c r="AI857" s="635">
        <f>IF(ISNA(MATCH(AC857,L857:L864,0)),0,VLOOKUP(AC857,L857:P864,4,FALSE))</f>
        <v>0</v>
      </c>
      <c r="AJ857" s="635">
        <f>IF(ISNA(MATCH(AC857,R857:R864,0)),0,VLOOKUP(AC857,R857:U864,4,FALSE))</f>
        <v>0</v>
      </c>
      <c r="AK857" s="49">
        <f t="shared" ref="AK857:AK864" si="769">IF(AM857=0,0,AN$6-(AM857-1))</f>
        <v>0</v>
      </c>
      <c r="AL857" s="49">
        <f t="shared" ref="AL857:AL864" si="770">IF(AN857=0,0,AN$6-(AN857-1))</f>
        <v>0</v>
      </c>
      <c r="AM857" s="49">
        <f>IF(ISNA(MATCH(AC857,L857:L864,0)),0,VLOOKUP(AC857,L857:W864,AM$1,FALSE))</f>
        <v>0</v>
      </c>
      <c r="AN857" s="138">
        <f>IF(ISNA(MATCH(AC857,R857:R864,0)),0,VLOOKUP(AC857,R857:W864,AN$1,FALSE))</f>
        <v>0</v>
      </c>
      <c r="AP857" s="926"/>
      <c r="AQ857" s="926"/>
      <c r="AS857" s="32">
        <f>IF(LEN(N857)&gt;0,1,0)</f>
        <v>0</v>
      </c>
      <c r="AT857" s="32">
        <f>IF(AND(AS857=1,H856="M"),1,0)</f>
        <v>0</v>
      </c>
      <c r="AU857" s="32">
        <f>IF(AND(AS857=1,H856="F"),1,0)</f>
        <v>0</v>
      </c>
    </row>
    <row r="858" spans="1:47" ht="15.6" x14ac:dyDescent="0.3">
      <c r="A858" s="417">
        <f>A857+1</f>
        <v>772</v>
      </c>
      <c r="B858" s="362" t="str">
        <f>'Event Details'!D$23</f>
        <v>U</v>
      </c>
      <c r="C858" s="381" t="str">
        <f>'Event Details'!E$23</f>
        <v>Kidder &amp; Stourport</v>
      </c>
      <c r="D858" s="379"/>
      <c r="E858" s="378"/>
      <c r="F858" s="363" t="e">
        <f>VLOOKUP($B856,IF($H856="F",TeamSheetFemale,TeamSheetMale),$Y858-1,FALSE)</f>
        <v>#N/A</v>
      </c>
      <c r="G858" s="380" t="e">
        <f>VLOOKUP($B856,IF($H856="F",TeamSheetFemale,TeamSheetMale),$Y858,FALSE)</f>
        <v>#N/A</v>
      </c>
      <c r="H858" s="363" t="e">
        <f>VLOOKUP($B856,IF($H856="F",TeamSheetFemale,TeamSheetMale),$Y858+1,FALSE)</f>
        <v>#N/A</v>
      </c>
      <c r="I858" s="364" t="e">
        <f>VLOOKUP($B856,IF($H856="F",TeamSheetFemale,TeamSheetMale),$Y858+2,FALSE)</f>
        <v>#N/A</v>
      </c>
      <c r="K858" s="341" t="s">
        <v>272</v>
      </c>
      <c r="L858" s="16" t="str">
        <f t="shared" si="764"/>
        <v/>
      </c>
      <c r="M858" s="927"/>
      <c r="N858" s="927"/>
      <c r="O858" s="353" t="str">
        <f>IF(LEN($M858)=1,VLOOKUP(LEFT($M858,1),B857:I864,5,FALSE),IF(LEN($M858)=2,VLOOKUP(LEFT($M858,1),B857:I864,7,FALSE),""))</f>
        <v/>
      </c>
      <c r="P858" s="373" t="str">
        <f>IF(LEN($M858)=1,VLOOKUP(LEFT($M858,1),B857:I864,6,FALSE),IF(LEN($M858)=2,VLOOKUP(LEFT($M858,1),B857:I864,8,FALSE),""))</f>
        <v/>
      </c>
      <c r="Q858" s="341" t="s">
        <v>272</v>
      </c>
      <c r="R858" s="146" t="str">
        <f t="shared" si="765"/>
        <v/>
      </c>
      <c r="S858" s="927"/>
      <c r="T858" s="927"/>
      <c r="U858" s="353" t="str">
        <f>IF(LEN($S858)=1,VLOOKUP(LEFT($S858,1),B857:I864,5,FALSE),IF(LEN($S858)=2,VLOOKUP(LEFT($S858,1),B857:I864,7,FALSE),""))</f>
        <v/>
      </c>
      <c r="V858" s="373" t="str">
        <f>IF(LEN($S858)=1,VLOOKUP(LEFT($S858,1),B857:I864,6,FALSE),IF(LEN($S858)=2,VLOOKUP(LEFT($S858,1),B857:I864,8,FALSE),""))</f>
        <v/>
      </c>
      <c r="W858" s="417">
        <f>W857-1</f>
        <v>7</v>
      </c>
      <c r="Y858" s="417">
        <v>12</v>
      </c>
      <c r="Z858" s="16">
        <f t="shared" si="766"/>
        <v>0</v>
      </c>
      <c r="AA858" s="146">
        <f t="shared" si="767"/>
        <v>0</v>
      </c>
      <c r="AC858" s="16" t="str">
        <f t="shared" si="768"/>
        <v>U</v>
      </c>
      <c r="AD858" s="419" t="str">
        <f t="shared" si="768"/>
        <v>Kidder &amp; Stourport</v>
      </c>
      <c r="AE858" s="419">
        <f>IF(ISNA(MATCH(AC858,N857:N866,0)),0,VLOOKUP(AC858,N857:S866,5,FALSE))</f>
        <v>0</v>
      </c>
      <c r="AF858" s="419" t="str">
        <f>IF(ISNA(MATCH(AC858,T857:T866,0))," ",VLOOKUP(AC858,T857:Y866,5,FALSE))</f>
        <v xml:space="preserve"> </v>
      </c>
      <c r="AG858" s="419">
        <f>IF(ISNA(MATCH(AC858,L857:L864,0)),0,VLOOKUP(AC858,L857:N864,3,FALSE))</f>
        <v>0</v>
      </c>
      <c r="AH858" s="419">
        <f>IF(ISNA(MATCH(AC858,R857:R864,0)),0,VLOOKUP(AC858,R857:T864,3,FALSE))</f>
        <v>0</v>
      </c>
      <c r="AI858" s="419">
        <f>IF(ISNA(MATCH(AC858,L857:L864,0)),0,VLOOKUP(AC858,L857:P864,4,FALSE))</f>
        <v>0</v>
      </c>
      <c r="AJ858" s="419">
        <f>IF(ISNA(MATCH(AC858,R857:R864,0)),0,VLOOKUP(AC858,R857:U864,4,FALSE))</f>
        <v>0</v>
      </c>
      <c r="AK858" s="32">
        <f t="shared" si="769"/>
        <v>0</v>
      </c>
      <c r="AL858" s="32">
        <f t="shared" si="770"/>
        <v>0</v>
      </c>
      <c r="AM858" s="32">
        <f>IF(ISNA(MATCH(AC858,L857:L864,0)),0,VLOOKUP(AC858,L857:W864,AM$1,FALSE))</f>
        <v>0</v>
      </c>
      <c r="AN858" s="146">
        <f>IF(ISNA(MATCH(AC858,R857:R864,0)),0,VLOOKUP(AC858,R857:W864,AN$1,FALSE))</f>
        <v>0</v>
      </c>
      <c r="AP858" s="927"/>
      <c r="AQ858" s="927"/>
    </row>
    <row r="859" spans="1:47" ht="15.6" x14ac:dyDescent="0.3">
      <c r="A859" s="417">
        <f t="shared" ref="A859:A864" si="771">A858+1</f>
        <v>773</v>
      </c>
      <c r="B859" s="362" t="str">
        <f>'Event Details'!D$24</f>
        <v>G</v>
      </c>
      <c r="C859" s="381" t="str">
        <f>'Event Details'!E$24</f>
        <v>Royal Sutton</v>
      </c>
      <c r="D859" s="379"/>
      <c r="E859" s="378"/>
      <c r="F859" s="363" t="e">
        <f>VLOOKUP($B856,IF($H856="F",TeamSheetFemale,TeamSheetMale),$Y859-1,FALSE)</f>
        <v>#N/A</v>
      </c>
      <c r="G859" s="380" t="e">
        <f>VLOOKUP($B856,IF($H856="F",TeamSheetFemale,TeamSheetMale),$Y859,FALSE)</f>
        <v>#N/A</v>
      </c>
      <c r="H859" s="363" t="e">
        <f>VLOOKUP($B856,IF($H856="F",TeamSheetFemale,TeamSheetMale),$Y859+1,FALSE)</f>
        <v>#N/A</v>
      </c>
      <c r="I859" s="364" t="e">
        <f>VLOOKUP($B856,IF($H856="F",TeamSheetFemale,TeamSheetMale),$Y859+2,FALSE)</f>
        <v>#N/A</v>
      </c>
      <c r="K859" s="341" t="s">
        <v>273</v>
      </c>
      <c r="L859" s="16" t="str">
        <f t="shared" si="764"/>
        <v/>
      </c>
      <c r="M859" s="927"/>
      <c r="N859" s="927"/>
      <c r="O859" s="353" t="str">
        <f>IF(LEN($M859)=1,VLOOKUP(LEFT($M859,1),B857:I864,5,FALSE),IF(LEN($M859)=2,VLOOKUP(LEFT($M859,1),B857:I864,7,FALSE),""))</f>
        <v/>
      </c>
      <c r="P859" s="373" t="str">
        <f>IF(LEN($M859)=1,VLOOKUP(LEFT($M859,1),B857:I864,6,FALSE),IF(LEN($M859)=2,VLOOKUP(LEFT($M859,1),B857:I864,8,FALSE),""))</f>
        <v/>
      </c>
      <c r="Q859" s="341" t="s">
        <v>273</v>
      </c>
      <c r="R859" s="146" t="str">
        <f t="shared" si="765"/>
        <v/>
      </c>
      <c r="S859" s="927"/>
      <c r="T859" s="927"/>
      <c r="U859" s="353" t="str">
        <f>IF(LEN($S859)=1,VLOOKUP(LEFT($S859,1),B857:I864,5,FALSE),IF(LEN($S859)=2,VLOOKUP(LEFT($S859,1),B857:I864,7,FALSE),""))</f>
        <v/>
      </c>
      <c r="V859" s="373" t="str">
        <f>IF(LEN($S859)=1,VLOOKUP(LEFT($S859,1),B857:I864,6,FALSE),IF(LEN($S859)=2,VLOOKUP(LEFT($S859,1),B857:I864,8,FALSE),""))</f>
        <v/>
      </c>
      <c r="W859" s="417">
        <f t="shared" ref="W859:W864" si="772">W858-1</f>
        <v>6</v>
      </c>
      <c r="Y859" s="417">
        <v>17</v>
      </c>
      <c r="Z859" s="16">
        <f t="shared" si="766"/>
        <v>0</v>
      </c>
      <c r="AA859" s="146">
        <f t="shared" si="767"/>
        <v>0</v>
      </c>
      <c r="AB859" s="32"/>
      <c r="AC859" s="16" t="str">
        <f t="shared" si="768"/>
        <v>G</v>
      </c>
      <c r="AD859" s="419" t="str">
        <f t="shared" si="768"/>
        <v>Royal Sutton</v>
      </c>
      <c r="AE859" s="419">
        <f>IF(ISNA(MATCH(AC859,N857:N866,0)),0,VLOOKUP(AC859,N857:S866,5,FALSE))</f>
        <v>0</v>
      </c>
      <c r="AF859" s="419" t="str">
        <f>IF(ISNA(MATCH(AC859,T857:T866,0))," ",VLOOKUP(AC859,T857:Y866,5,FALSE))</f>
        <v xml:space="preserve"> </v>
      </c>
      <c r="AG859" s="419">
        <f>IF(ISNA(MATCH(AC859,L857:L864,0)),0,VLOOKUP(AC859,L857:N864,3,FALSE))</f>
        <v>0</v>
      </c>
      <c r="AH859" s="419">
        <f>IF(ISNA(MATCH(AC859,R857:R864,0)),0,VLOOKUP(AC859,R857:T864,3,FALSE))</f>
        <v>0</v>
      </c>
      <c r="AI859" s="419">
        <f>IF(ISNA(MATCH(AC859,L857:L864,0)),0,VLOOKUP(AC859,L857:P864,4,FALSE))</f>
        <v>0</v>
      </c>
      <c r="AJ859" s="419">
        <f>IF(ISNA(MATCH(AC859,R857:R864,0)),0,VLOOKUP(AC859,R857:U864,4,FALSE))</f>
        <v>0</v>
      </c>
      <c r="AK859" s="32">
        <f t="shared" si="769"/>
        <v>0</v>
      </c>
      <c r="AL859" s="32">
        <f t="shared" si="770"/>
        <v>0</v>
      </c>
      <c r="AM859" s="32">
        <f>IF(ISNA(MATCH(AC859,L857:L864,0)),0,VLOOKUP(AC859,L857:W864,AM$1,FALSE))</f>
        <v>0</v>
      </c>
      <c r="AN859" s="146">
        <f>IF(ISNA(MATCH(AC859,R857:R864,0)),0,VLOOKUP(AC859,R857:W864,AN$1,FALSE))</f>
        <v>0</v>
      </c>
      <c r="AP859" s="927"/>
      <c r="AQ859" s="927"/>
    </row>
    <row r="860" spans="1:47" ht="15.6" x14ac:dyDescent="0.3">
      <c r="A860" s="417">
        <f t="shared" si="771"/>
        <v>774</v>
      </c>
      <c r="B860" s="362" t="str">
        <f>'Event Details'!D$25</f>
        <v>R</v>
      </c>
      <c r="C860" s="381" t="str">
        <f>'Event Details'!E$25</f>
        <v>Rugby &amp; N'hampton</v>
      </c>
      <c r="D860" s="379"/>
      <c r="E860" s="378"/>
      <c r="F860" s="363" t="e">
        <f>VLOOKUP($B856,IF($H856="F",TeamSheetFemale,TeamSheetMale),$Y860-1,FALSE)</f>
        <v>#N/A</v>
      </c>
      <c r="G860" s="380" t="e">
        <f>VLOOKUP($B856,IF($H856="F",TeamSheetFemale,TeamSheetMale),$Y860,FALSE)</f>
        <v>#N/A</v>
      </c>
      <c r="H860" s="363" t="e">
        <f>VLOOKUP($B856,IF($H856="F",TeamSheetFemale,TeamSheetMale),$Y860+1,FALSE)</f>
        <v>#N/A</v>
      </c>
      <c r="I860" s="364" t="e">
        <f>VLOOKUP($B856,IF($H856="F",TeamSheetFemale,TeamSheetMale),$Y860+2,FALSE)</f>
        <v>#N/A</v>
      </c>
      <c r="K860" s="341" t="s">
        <v>274</v>
      </c>
      <c r="L860" s="16" t="str">
        <f t="shared" si="764"/>
        <v/>
      </c>
      <c r="M860" s="927"/>
      <c r="N860" s="927"/>
      <c r="O860" s="353" t="str">
        <f>IF(LEN($M860)=1,VLOOKUP(LEFT($M860,1),B857:I864,5,FALSE),IF(LEN($M860)=2,VLOOKUP(LEFT($M860,1),B857:I864,7,FALSE),""))</f>
        <v/>
      </c>
      <c r="P860" s="373" t="str">
        <f>IF(LEN($M860)=1,VLOOKUP(LEFT($M860,1),B857:I864,6,FALSE),IF(LEN($M860)=2,VLOOKUP(LEFT($M860,1),B857:I864,8,FALSE),""))</f>
        <v/>
      </c>
      <c r="Q860" s="341" t="s">
        <v>274</v>
      </c>
      <c r="R860" s="146" t="str">
        <f t="shared" si="765"/>
        <v/>
      </c>
      <c r="S860" s="927"/>
      <c r="T860" s="927"/>
      <c r="U860" s="353" t="str">
        <f>IF(LEN($S860)=1,VLOOKUP(LEFT($S860,1),B857:I864,5,FALSE),IF(LEN($S860)=2,VLOOKUP(LEFT($S860,1),B857:I864,7,FALSE),""))</f>
        <v/>
      </c>
      <c r="V860" s="373" t="str">
        <f>IF(LEN($S860)=1,VLOOKUP(LEFT($S860,1),B857:I864,6,FALSE),IF(LEN($S860)=2,VLOOKUP(LEFT($S860,1),B857:I864,8,FALSE),""))</f>
        <v/>
      </c>
      <c r="W860" s="417">
        <f t="shared" si="772"/>
        <v>5</v>
      </c>
      <c r="Y860" s="417">
        <v>22</v>
      </c>
      <c r="Z860" s="16">
        <f t="shared" si="766"/>
        <v>0</v>
      </c>
      <c r="AA860" s="146">
        <f t="shared" si="767"/>
        <v>0</v>
      </c>
      <c r="AB860" s="32"/>
      <c r="AC860" s="16" t="str">
        <f t="shared" si="768"/>
        <v>R</v>
      </c>
      <c r="AD860" s="419" t="str">
        <f t="shared" si="768"/>
        <v>Rugby &amp; N'hampton</v>
      </c>
      <c r="AE860" s="419">
        <f>IF(ISNA(MATCH(AC860,N857:N866,0)),0,VLOOKUP(AC860,N857:S866,5,FALSE))</f>
        <v>0</v>
      </c>
      <c r="AF860" s="419" t="str">
        <f>IF(ISNA(MATCH(AC860,T857:T866,0))," ",VLOOKUP(AC860,T857:Y866,5,FALSE))</f>
        <v xml:space="preserve"> </v>
      </c>
      <c r="AG860" s="419">
        <f>IF(ISNA(MATCH(AC860,L857:L864,0)),0,VLOOKUP(AC860,L857:N864,3,FALSE))</f>
        <v>0</v>
      </c>
      <c r="AH860" s="419">
        <f>IF(ISNA(MATCH(AC860,R857:R864,0)),0,VLOOKUP(AC860,R857:T864,3,FALSE))</f>
        <v>0</v>
      </c>
      <c r="AI860" s="419">
        <f>IF(ISNA(MATCH(AC860,L857:L864,0)),0,VLOOKUP(AC860,L857:P864,4,FALSE))</f>
        <v>0</v>
      </c>
      <c r="AJ860" s="419">
        <f>IF(ISNA(MATCH(AC860,R857:R864,0)),0,VLOOKUP(AC860,R857:U864,4,FALSE))</f>
        <v>0</v>
      </c>
      <c r="AK860" s="32">
        <f t="shared" si="769"/>
        <v>0</v>
      </c>
      <c r="AL860" s="32">
        <f t="shared" si="770"/>
        <v>0</v>
      </c>
      <c r="AM860" s="32">
        <f>IF(ISNA(MATCH(AC860,L857:L864,0)),0,VLOOKUP(AC860,L857:W864,AM$1,FALSE))</f>
        <v>0</v>
      </c>
      <c r="AN860" s="146">
        <f>IF(ISNA(MATCH(AC860,R857:R864,0)),0,VLOOKUP(AC860,R857:W864,AN$1,FALSE))</f>
        <v>0</v>
      </c>
      <c r="AP860" s="927"/>
      <c r="AQ860" s="927"/>
    </row>
    <row r="861" spans="1:47" ht="15.6" x14ac:dyDescent="0.3">
      <c r="A861" s="417">
        <f t="shared" si="771"/>
        <v>775</v>
      </c>
      <c r="B861" s="362" t="str">
        <f>'Event Details'!D$26</f>
        <v>M</v>
      </c>
      <c r="C861" s="381" t="str">
        <f>'Event Details'!E$26</f>
        <v>Solihull &amp; S.Heath</v>
      </c>
      <c r="D861" s="379"/>
      <c r="E861" s="378"/>
      <c r="F861" s="363" t="e">
        <f>VLOOKUP($B856,IF($H856="F",TeamSheetFemale,TeamSheetMale),$Y861-1,FALSE)</f>
        <v>#N/A</v>
      </c>
      <c r="G861" s="380" t="e">
        <f>VLOOKUP($B856,IF($H856="F",TeamSheetFemale,TeamSheetMale),$Y861,FALSE)</f>
        <v>#N/A</v>
      </c>
      <c r="H861" s="363" t="e">
        <f>VLOOKUP($B856,IF($H856="F",TeamSheetFemale,TeamSheetMale),$Y861+1,FALSE)</f>
        <v>#N/A</v>
      </c>
      <c r="I861" s="364" t="e">
        <f>VLOOKUP($B856,IF($H856="F",TeamSheetFemale,TeamSheetMale),$Y861+2,FALSE)</f>
        <v>#N/A</v>
      </c>
      <c r="K861" s="341" t="s">
        <v>275</v>
      </c>
      <c r="L861" s="16" t="str">
        <f t="shared" si="764"/>
        <v/>
      </c>
      <c r="M861" s="927"/>
      <c r="N861" s="927"/>
      <c r="O861" s="353" t="str">
        <f>IF(LEN($M861)=1,VLOOKUP(LEFT($M861,1),B857:I864,5,FALSE),IF(LEN($M861)=2,VLOOKUP(LEFT($M861,1),B857:I864,7,FALSE),""))</f>
        <v/>
      </c>
      <c r="P861" s="373" t="str">
        <f>IF(LEN($M861)=1,VLOOKUP(LEFT($M861,1),B857:I864,6,FALSE),IF(LEN($M861)=2,VLOOKUP(LEFT($M861,1),B857:I864,8,FALSE),""))</f>
        <v/>
      </c>
      <c r="Q861" s="341" t="s">
        <v>275</v>
      </c>
      <c r="R861" s="146" t="str">
        <f t="shared" si="765"/>
        <v/>
      </c>
      <c r="S861" s="927"/>
      <c r="T861" s="927"/>
      <c r="U861" s="353" t="str">
        <f>IF(LEN($S861)=1,VLOOKUP(LEFT($S861,1),B857:I864,5,FALSE),IF(LEN($S861)=2,VLOOKUP(LEFT($S861,1),B857:I864,7,FALSE),""))</f>
        <v/>
      </c>
      <c r="V861" s="373" t="str">
        <f>IF(LEN($S861)=1,VLOOKUP(LEFT($S861,1),B857:I864,6,FALSE),IF(LEN($S861)=2,VLOOKUP(LEFT($S861,1),B857:I864,8,FALSE),""))</f>
        <v/>
      </c>
      <c r="W861" s="417">
        <f t="shared" si="772"/>
        <v>4</v>
      </c>
      <c r="Y861" s="417">
        <v>27</v>
      </c>
      <c r="Z861" s="16">
        <f t="shared" si="766"/>
        <v>0</v>
      </c>
      <c r="AA861" s="146">
        <f t="shared" si="767"/>
        <v>0</v>
      </c>
      <c r="AB861" s="32"/>
      <c r="AC861" s="16" t="str">
        <f t="shared" si="768"/>
        <v>M</v>
      </c>
      <c r="AD861" s="419" t="str">
        <f t="shared" si="768"/>
        <v>Solihull &amp; S.Heath</v>
      </c>
      <c r="AE861" s="419">
        <f>IF(ISNA(MATCH(AC861,N857:N866,0)),0,VLOOKUP(AC861,N857:S866,5,FALSE))</f>
        <v>0</v>
      </c>
      <c r="AF861" s="419" t="str">
        <f>IF(ISNA(MATCH(AC861,T857:T866,0))," ",VLOOKUP(AC861,T857:Y866,5,FALSE))</f>
        <v xml:space="preserve"> </v>
      </c>
      <c r="AG861" s="419">
        <f>IF(ISNA(MATCH(AC861,L857:L864,0)),0,VLOOKUP(AC861,L857:N864,3,FALSE))</f>
        <v>0</v>
      </c>
      <c r="AH861" s="419">
        <f>IF(ISNA(MATCH(AC861,R857:R864,0)),0,VLOOKUP(AC861,R857:T864,3,FALSE))</f>
        <v>0</v>
      </c>
      <c r="AI861" s="419">
        <f>IF(ISNA(MATCH(AC861,L857:L864,0)),0,VLOOKUP(AC861,L857:P864,4,FALSE))</f>
        <v>0</v>
      </c>
      <c r="AJ861" s="419">
        <f>IF(ISNA(MATCH(AC861,R857:R864,0)),0,VLOOKUP(AC861,R857:U864,4,FALSE))</f>
        <v>0</v>
      </c>
      <c r="AK861" s="32">
        <f t="shared" si="769"/>
        <v>0</v>
      </c>
      <c r="AL861" s="32">
        <f t="shared" si="770"/>
        <v>0</v>
      </c>
      <c r="AM861" s="32">
        <f>IF(ISNA(MATCH(AC861,L857:L864,0)),0,VLOOKUP(AC861,L857:W864,AM$1,FALSE))</f>
        <v>0</v>
      </c>
      <c r="AN861" s="146">
        <f>IF(ISNA(MATCH(AC861,R857:R864,0)),0,VLOOKUP(AC861,R857:W864,AN$1,FALSE))</f>
        <v>0</v>
      </c>
      <c r="AP861" s="927"/>
      <c r="AQ861" s="927"/>
    </row>
    <row r="862" spans="1:47" ht="15.6" x14ac:dyDescent="0.3">
      <c r="A862" s="417">
        <f t="shared" si="771"/>
        <v>776</v>
      </c>
      <c r="B862" s="362" t="str">
        <f>'Event Details'!D$27</f>
        <v>D</v>
      </c>
      <c r="C862" s="381" t="str">
        <f>'Event Details'!E$27</f>
        <v>Stratford</v>
      </c>
      <c r="D862" s="379"/>
      <c r="E862" s="378"/>
      <c r="F862" s="363" t="e">
        <f>VLOOKUP($B856,IF($H856="F",TeamSheetFemale,TeamSheetMale),$Y862-1,FALSE)</f>
        <v>#N/A</v>
      </c>
      <c r="G862" s="380" t="e">
        <f>VLOOKUP($B856,IF($H856="F",TeamSheetFemale,TeamSheetMale),$Y862,FALSE)</f>
        <v>#N/A</v>
      </c>
      <c r="H862" s="363" t="e">
        <f>VLOOKUP($B856,IF($H856="F",TeamSheetFemale,TeamSheetMale),$Y862+1,FALSE)</f>
        <v>#N/A</v>
      </c>
      <c r="I862" s="364" t="e">
        <f>VLOOKUP($B856,IF($H856="F",TeamSheetFemale,TeamSheetMale),$Y862+2,FALSE)</f>
        <v>#N/A</v>
      </c>
      <c r="K862" s="341" t="s">
        <v>276</v>
      </c>
      <c r="L862" s="16" t="str">
        <f t="shared" si="764"/>
        <v/>
      </c>
      <c r="M862" s="927"/>
      <c r="N862" s="927"/>
      <c r="O862" s="353" t="str">
        <f>IF(LEN($M862)=1,VLOOKUP(LEFT($M862,1),B857:I864,5,FALSE),IF(LEN($M862)=2,VLOOKUP(LEFT($M862,1),B857:I864,7,FALSE),""))</f>
        <v/>
      </c>
      <c r="P862" s="373" t="str">
        <f>IF(LEN($M862)=1,VLOOKUP(LEFT($M862,1),B857:I864,6,FALSE),IF(LEN($M862)=2,VLOOKUP(LEFT($M862,1),B857:I864,8,FALSE),""))</f>
        <v/>
      </c>
      <c r="Q862" s="341" t="s">
        <v>276</v>
      </c>
      <c r="R862" s="146" t="str">
        <f t="shared" si="765"/>
        <v/>
      </c>
      <c r="S862" s="927"/>
      <c r="T862" s="927"/>
      <c r="U862" s="353" t="str">
        <f>IF(LEN($S862)=1,VLOOKUP(LEFT($S862,1),B857:I864,5,FALSE),IF(LEN($S862)=2,VLOOKUP(LEFT($S862,1),B857:I864,7,FALSE),""))</f>
        <v/>
      </c>
      <c r="V862" s="373" t="str">
        <f>IF(LEN($S862)=1,VLOOKUP(LEFT($S862,1),B857:I864,6,FALSE),IF(LEN($S862)=2,VLOOKUP(LEFT($S862,1),B857:I864,8,FALSE),""))</f>
        <v/>
      </c>
      <c r="W862" s="417">
        <f t="shared" si="772"/>
        <v>3</v>
      </c>
      <c r="Y862" s="417">
        <v>32</v>
      </c>
      <c r="Z862" s="16">
        <f t="shared" si="766"/>
        <v>0</v>
      </c>
      <c r="AA862" s="146">
        <f t="shared" si="767"/>
        <v>0</v>
      </c>
      <c r="AB862" s="32"/>
      <c r="AC862" s="16" t="str">
        <f t="shared" si="768"/>
        <v>D</v>
      </c>
      <c r="AD862" s="419" t="str">
        <f t="shared" si="768"/>
        <v>Stratford</v>
      </c>
      <c r="AE862" s="419">
        <f>IF(ISNA(MATCH(AC862,N857:N866,0)),0,VLOOKUP(AC862,N857:S866,5,FALSE))</f>
        <v>0</v>
      </c>
      <c r="AF862" s="419" t="str">
        <f>IF(ISNA(MATCH(AC862,T857:T866,0))," ",VLOOKUP(AC862,T857:Y866,5,FALSE))</f>
        <v xml:space="preserve"> </v>
      </c>
      <c r="AG862" s="419">
        <f>IF(ISNA(MATCH(AC862,L857:L864,0)),0,VLOOKUP(AC862,L857:N864,3,FALSE))</f>
        <v>0</v>
      </c>
      <c r="AH862" s="419">
        <f>IF(ISNA(MATCH(AC862,R857:R864,0)),0,VLOOKUP(AC862,R857:T864,3,FALSE))</f>
        <v>0</v>
      </c>
      <c r="AI862" s="419">
        <f>IF(ISNA(MATCH(AC862,L857:L864,0)),0,VLOOKUP(AC862,L857:P864,4,FALSE))</f>
        <v>0</v>
      </c>
      <c r="AJ862" s="419">
        <f>IF(ISNA(MATCH(AC862,R857:R864,0)),0,VLOOKUP(AC862,R857:U864,4,FALSE))</f>
        <v>0</v>
      </c>
      <c r="AK862" s="32">
        <f t="shared" si="769"/>
        <v>0</v>
      </c>
      <c r="AL862" s="32">
        <f t="shared" si="770"/>
        <v>0</v>
      </c>
      <c r="AM862" s="32">
        <f>IF(ISNA(MATCH(AC862,L857:L864,0)),0,VLOOKUP(AC862,L857:W864,AM$1,FALSE))</f>
        <v>0</v>
      </c>
      <c r="AN862" s="146">
        <f>IF(ISNA(MATCH(AC862,R857:R864,0)),0,VLOOKUP(AC862,R857:W864,AN$1,FALSE))</f>
        <v>0</v>
      </c>
      <c r="AP862" s="927"/>
      <c r="AQ862" s="927"/>
    </row>
    <row r="863" spans="1:47" ht="15.6" x14ac:dyDescent="0.3">
      <c r="A863" s="417">
        <f t="shared" si="771"/>
        <v>777</v>
      </c>
      <c r="B863" s="362" t="str">
        <f>'Event Details'!D$28</f>
        <v>F</v>
      </c>
      <c r="C863" s="381" t="str">
        <f>'Event Details'!E$28</f>
        <v>Tamworth</v>
      </c>
      <c r="D863" s="379"/>
      <c r="E863" s="378"/>
      <c r="F863" s="363" t="e">
        <f>VLOOKUP($B856,IF($H856="F",TeamSheetFemale,TeamSheetMale),$Y863-1,FALSE)</f>
        <v>#N/A</v>
      </c>
      <c r="G863" s="380" t="e">
        <f>VLOOKUP($B856,IF($H856="F",TeamSheetFemale,TeamSheetMale),$Y863,FALSE)</f>
        <v>#N/A</v>
      </c>
      <c r="H863" s="363" t="e">
        <f>VLOOKUP($B856,IF($H856="F",TeamSheetFemale,TeamSheetMale),$Y863+1,FALSE)</f>
        <v>#N/A</v>
      </c>
      <c r="I863" s="364" t="e">
        <f>VLOOKUP($B856,IF($H856="F",TeamSheetFemale,TeamSheetMale),$Y863+2,FALSE)</f>
        <v>#N/A</v>
      </c>
      <c r="K863" s="341" t="s">
        <v>277</v>
      </c>
      <c r="L863" s="16" t="str">
        <f t="shared" si="764"/>
        <v/>
      </c>
      <c r="M863" s="931"/>
      <c r="N863" s="927"/>
      <c r="O863" s="353" t="str">
        <f>IF(LEN($M863)=1,VLOOKUP(LEFT($M863,1),B857:I864,5,FALSE),IF(LEN($M863)=2,VLOOKUP(LEFT($M863,1),B857:I864,7,FALSE),""))</f>
        <v/>
      </c>
      <c r="P863" s="373" t="str">
        <f>IF(LEN($M863)=1,VLOOKUP(LEFT($M863,1),B857:I864,6,FALSE),IF(LEN($M863)=2,VLOOKUP(LEFT($M863,1),B857:I864,8,FALSE),""))</f>
        <v/>
      </c>
      <c r="Q863" s="341" t="s">
        <v>277</v>
      </c>
      <c r="R863" s="146" t="str">
        <f t="shared" si="765"/>
        <v/>
      </c>
      <c r="S863" s="931"/>
      <c r="T863" s="927"/>
      <c r="U863" s="353" t="str">
        <f>IF(LEN($S863)=1,VLOOKUP(LEFT($S863,1),B857:I864,5,FALSE),IF(LEN($S863)=2,VLOOKUP(LEFT($S863,1),B857:I864,7,FALSE),""))</f>
        <v/>
      </c>
      <c r="V863" s="373" t="str">
        <f>IF(LEN($S863)=1,VLOOKUP(LEFT($S863,1),B857:I864,6,FALSE),IF(LEN($S863)=2,VLOOKUP(LEFT($S863,1),B857:I864,8,FALSE),""))</f>
        <v/>
      </c>
      <c r="W863" s="417">
        <f t="shared" si="772"/>
        <v>2</v>
      </c>
      <c r="Y863" s="417">
        <v>37</v>
      </c>
      <c r="Z863" s="16">
        <f t="shared" si="766"/>
        <v>0</v>
      </c>
      <c r="AA863" s="146">
        <f t="shared" si="767"/>
        <v>0</v>
      </c>
      <c r="AB863" s="32"/>
      <c r="AC863" s="16" t="str">
        <f t="shared" si="768"/>
        <v>F</v>
      </c>
      <c r="AD863" s="419" t="str">
        <f t="shared" si="768"/>
        <v>Tamworth</v>
      </c>
      <c r="AE863" s="419">
        <f>IF(ISNA(MATCH(AC863,N855:N864,0)),0,VLOOKUP(AC863,N855:S864,5,FALSE))</f>
        <v>0</v>
      </c>
      <c r="AF863" s="419" t="str">
        <f>IF(ISNA(MATCH(AC863,T855:T864,0))," ",VLOOKUP(AC863,T855:Y864,5,FALSE))</f>
        <v xml:space="preserve"> </v>
      </c>
      <c r="AG863" s="419">
        <f>IF(ISNA(MATCH(AC863,L857:L864,0)),0,VLOOKUP(AC863,L857:N864,3,FALSE))</f>
        <v>0</v>
      </c>
      <c r="AH863" s="419">
        <f>IF(ISNA(MATCH(AC863,R857:R864,0)),0,VLOOKUP(AC863,R857:T864,3,FALSE))</f>
        <v>0</v>
      </c>
      <c r="AI863" s="419">
        <f>IF(ISNA(MATCH(AC863,L857:L864,0)),0,VLOOKUP(AC863,L857:P864,4,FALSE))</f>
        <v>0</v>
      </c>
      <c r="AJ863" s="419">
        <f>IF(ISNA(MATCH(AC863,R857:R864,0)),0,VLOOKUP(AC863,R857:U864,4,FALSE))</f>
        <v>0</v>
      </c>
      <c r="AK863" s="32">
        <f t="shared" si="769"/>
        <v>0</v>
      </c>
      <c r="AL863" s="32">
        <f t="shared" si="770"/>
        <v>0</v>
      </c>
      <c r="AM863" s="32">
        <f>IF(ISNA(MATCH(AC863,L857:L864,0)),0,VLOOKUP(AC863,L857:W864,AM$1,FALSE))</f>
        <v>0</v>
      </c>
      <c r="AN863" s="146">
        <f>IF(ISNA(MATCH(AC863,R857:R864,0)),0,VLOOKUP(AC863,R857:W864,AN$1,FALSE))</f>
        <v>0</v>
      </c>
      <c r="AP863" s="931"/>
      <c r="AQ863" s="927"/>
    </row>
    <row r="864" spans="1:47" ht="16.2" thickBot="1" x14ac:dyDescent="0.35">
      <c r="A864" s="418">
        <f t="shared" si="771"/>
        <v>778</v>
      </c>
      <c r="B864" s="365" t="str">
        <f>'Event Details'!D$29</f>
        <v>Y</v>
      </c>
      <c r="C864" s="366" t="str">
        <f>'Event Details'!E$29</f>
        <v>Worcester</v>
      </c>
      <c r="D864" s="361"/>
      <c r="E864" s="370"/>
      <c r="F864" s="367" t="e">
        <f>VLOOKUP($B856,IF($H856="F",TeamSheetFemale,TeamSheetMale),$Y864-1,FALSE)</f>
        <v>#N/A</v>
      </c>
      <c r="G864" s="368" t="e">
        <f>VLOOKUP($B856,IF($H856="F",TeamSheetFemale,TeamSheetMale),$Y864,FALSE)</f>
        <v>#N/A</v>
      </c>
      <c r="H864" s="367" t="e">
        <f>VLOOKUP($B856,IF($H856="F",TeamSheetFemale,TeamSheetMale),$Y864+1,FALSE)</f>
        <v>#N/A</v>
      </c>
      <c r="I864" s="369" t="e">
        <f>VLOOKUP($B856,IF($H856="F",TeamSheetFemale,TeamSheetMale),$Y864+2,FALSE)</f>
        <v>#N/A</v>
      </c>
      <c r="K864" s="346" t="s">
        <v>278</v>
      </c>
      <c r="L864" s="25" t="str">
        <f t="shared" si="764"/>
        <v/>
      </c>
      <c r="M864" s="928" t="s">
        <v>148</v>
      </c>
      <c r="N864" s="932"/>
      <c r="O864" s="375" t="str">
        <f>IF(LEN($M864)=1,VLOOKUP(LEFT($M864,1),B857:I864,5,FALSE),IF(LEN($M864)=2,VLOOKUP(LEFT($M864,1),B857:I864,7,FALSE),""))</f>
        <v/>
      </c>
      <c r="P864" s="376" t="str">
        <f>IF(LEN($M864)=1,VLOOKUP(LEFT($M864,1),B857:I864,6,FALSE),IF(LEN($M864)=2,VLOOKUP(LEFT($M864,1),B857:I864,8,FALSE),""))</f>
        <v/>
      </c>
      <c r="Q864" s="346" t="s">
        <v>278</v>
      </c>
      <c r="R864" s="523" t="str">
        <f t="shared" si="765"/>
        <v/>
      </c>
      <c r="S864" s="928" t="s">
        <v>148</v>
      </c>
      <c r="T864" s="932"/>
      <c r="U864" s="375" t="str">
        <f>IF(LEN($S864)=1,VLOOKUP(LEFT($S864,1),B857:I864,5,FALSE),IF(LEN($S864)=2,VLOOKUP(LEFT($S864,1),B857:I864,7,FALSE),""))</f>
        <v/>
      </c>
      <c r="V864" s="376" t="str">
        <f>IF(LEN($S864)=1,VLOOKUP(LEFT($S864,1),B857:I864,6,FALSE),IF(LEN($S864)=2,VLOOKUP(LEFT($S864,1),B857:I864,8,FALSE),""))</f>
        <v/>
      </c>
      <c r="W864" s="418">
        <f t="shared" si="772"/>
        <v>1</v>
      </c>
      <c r="Y864" s="418">
        <v>42</v>
      </c>
      <c r="Z864" s="25">
        <f t="shared" si="766"/>
        <v>0</v>
      </c>
      <c r="AA864" s="523">
        <f t="shared" si="767"/>
        <v>0</v>
      </c>
      <c r="AB864" s="32"/>
      <c r="AC864" s="25" t="str">
        <f t="shared" si="768"/>
        <v>Y</v>
      </c>
      <c r="AD864" s="624" t="str">
        <f t="shared" si="768"/>
        <v>Worcester</v>
      </c>
      <c r="AE864" s="624">
        <f>IF(ISNA(MATCH(AC864,N856:N865,0)),0,VLOOKUP(AC864,N856:S865,5,FALSE))</f>
        <v>0</v>
      </c>
      <c r="AF864" s="624" t="str">
        <f t="shared" ref="AF864" si="773">IF(ISNA(MATCH(AC864,T856:T865,0))," ",VLOOKUP(AC864,T856:Y865,5,FALSE))</f>
        <v xml:space="preserve"> </v>
      </c>
      <c r="AG864" s="624">
        <f>IF(ISNA(MATCH(AC864,L857:L864,0)),0,VLOOKUP(AC864,L857:N864,3,FALSE))</f>
        <v>0</v>
      </c>
      <c r="AH864" s="624">
        <f>IF(ISNA(MATCH(AC864,R857:R864,0)),0,VLOOKUP(AC864,R857:T864,3,FALSE))</f>
        <v>0</v>
      </c>
      <c r="AI864" s="624">
        <f>IF(ISNA(MATCH(AC864,L857:L864,0)),0,VLOOKUP(AC864,L857:P864,4,FALSE))</f>
        <v>0</v>
      </c>
      <c r="AJ864" s="624">
        <f>IF(ISNA(MATCH(AC864,R857:R864,0)),0,VLOOKUP(AC864,R857:U864,4,FALSE))</f>
        <v>0</v>
      </c>
      <c r="AK864" s="116">
        <f t="shared" si="769"/>
        <v>0</v>
      </c>
      <c r="AL864" s="116">
        <f t="shared" si="770"/>
        <v>0</v>
      </c>
      <c r="AM864" s="116">
        <f>IF(ISNA(MATCH(AC864,L857:L864,0)),0,VLOOKUP(AC864,L857:W864,AM$1,FALSE))</f>
        <v>0</v>
      </c>
      <c r="AN864" s="523">
        <f>IF(ISNA(MATCH(AC864,R857:R864,0)),0,VLOOKUP(AC864,R857:W864,AN$1,FALSE))</f>
        <v>0</v>
      </c>
      <c r="AP864" s="928" t="s">
        <v>148</v>
      </c>
      <c r="AQ864" s="932"/>
    </row>
    <row r="865" spans="1:47" ht="15" thickBot="1" x14ac:dyDescent="0.35">
      <c r="M865" s="276"/>
      <c r="N865" s="307"/>
      <c r="S865" s="276"/>
      <c r="T865" s="307"/>
      <c r="AP865" s="276"/>
      <c r="AQ865" s="307"/>
    </row>
    <row r="866" spans="1:47" x14ac:dyDescent="0.3">
      <c r="B866" s="400" t="s">
        <v>258</v>
      </c>
      <c r="C866" s="398"/>
      <c r="D866" s="401" t="s">
        <v>165</v>
      </c>
      <c r="E866" s="398"/>
      <c r="F866" s="398"/>
      <c r="G866" s="402" t="s">
        <v>259</v>
      </c>
      <c r="H866" s="403" t="s">
        <v>249</v>
      </c>
      <c r="I866" s="404" t="s">
        <v>168</v>
      </c>
      <c r="K866" s="360"/>
      <c r="L866" s="661"/>
      <c r="M866" s="387" t="s">
        <v>260</v>
      </c>
      <c r="N866" s="387" t="s">
        <v>261</v>
      </c>
      <c r="O866" s="387" t="s">
        <v>262</v>
      </c>
      <c r="P866" s="388" t="s">
        <v>75</v>
      </c>
      <c r="Q866" s="412"/>
      <c r="R866" s="657"/>
      <c r="S866" s="387" t="s">
        <v>260</v>
      </c>
      <c r="T866" s="387" t="s">
        <v>261</v>
      </c>
      <c r="U866" s="387" t="s">
        <v>262</v>
      </c>
      <c r="V866" s="388" t="s">
        <v>75</v>
      </c>
      <c r="W866" s="672" t="s">
        <v>76</v>
      </c>
      <c r="Y866" s="654" t="s">
        <v>263</v>
      </c>
      <c r="Z866" s="656" t="s">
        <v>74</v>
      </c>
      <c r="AA866" s="657" t="s">
        <v>75</v>
      </c>
      <c r="AC866" s="665" t="s">
        <v>71</v>
      </c>
      <c r="AD866" s="657" t="s">
        <v>86</v>
      </c>
      <c r="AE866" s="661" t="s">
        <v>149</v>
      </c>
      <c r="AF866" s="661" t="s">
        <v>94</v>
      </c>
      <c r="AG866" s="661" t="s">
        <v>149</v>
      </c>
      <c r="AH866" s="661" t="s">
        <v>94</v>
      </c>
      <c r="AI866" s="661" t="s">
        <v>149</v>
      </c>
      <c r="AJ866" s="661" t="s">
        <v>94</v>
      </c>
      <c r="AK866" s="1332" t="s">
        <v>149</v>
      </c>
      <c r="AL866" s="661" t="s">
        <v>94</v>
      </c>
      <c r="AM866" s="1406" t="s">
        <v>76</v>
      </c>
      <c r="AN866" s="1407"/>
      <c r="AP866" s="387" t="s">
        <v>260</v>
      </c>
      <c r="AQ866" s="387" t="s">
        <v>261</v>
      </c>
      <c r="AS866" s="1218" t="s">
        <v>165</v>
      </c>
      <c r="AT866" s="1219" t="s">
        <v>79</v>
      </c>
      <c r="AU866" s="1220" t="s">
        <v>80</v>
      </c>
    </row>
    <row r="867" spans="1:47" ht="15" thickBot="1" x14ac:dyDescent="0.35">
      <c r="B867" s="405">
        <v>78</v>
      </c>
      <c r="C867" s="399"/>
      <c r="D867" s="385" t="str">
        <f>VLOOKUP($B867,EventOrder,6,FALSE)</f>
        <v xml:space="preserve"> </v>
      </c>
      <c r="E867" s="399"/>
      <c r="F867" s="385"/>
      <c r="G867" s="386" t="str">
        <f>VLOOKUP($B867,EventOrder,4,FALSE)</f>
        <v/>
      </c>
      <c r="H867" s="396" t="str">
        <f>IF(MID(G867,5,1)="F","F","M")</f>
        <v>M</v>
      </c>
      <c r="I867" s="397" t="str">
        <f>VLOOKUP($B867,EventOrder,2,FALSE)</f>
        <v/>
      </c>
      <c r="K867" s="372"/>
      <c r="L867" s="667" t="s">
        <v>149</v>
      </c>
      <c r="M867" s="409" t="s">
        <v>264</v>
      </c>
      <c r="N867" s="409" t="s">
        <v>265</v>
      </c>
      <c r="O867" s="409" t="s">
        <v>266</v>
      </c>
      <c r="P867" s="408"/>
      <c r="Q867" s="413"/>
      <c r="R867" s="659" t="s">
        <v>94</v>
      </c>
      <c r="S867" s="409" t="s">
        <v>264</v>
      </c>
      <c r="T867" s="409" t="s">
        <v>265</v>
      </c>
      <c r="U867" s="409" t="s">
        <v>266</v>
      </c>
      <c r="V867" s="408"/>
      <c r="W867" s="671"/>
      <c r="Y867" s="655" t="s">
        <v>167</v>
      </c>
      <c r="Z867" s="658" t="s">
        <v>149</v>
      </c>
      <c r="AA867" s="659" t="s">
        <v>94</v>
      </c>
      <c r="AC867" s="666"/>
      <c r="AD867" s="668"/>
      <c r="AE867" s="768" t="s">
        <v>75</v>
      </c>
      <c r="AF867" s="768" t="s">
        <v>75</v>
      </c>
      <c r="AG867" s="768" t="s">
        <v>267</v>
      </c>
      <c r="AH867" s="768" t="s">
        <v>267</v>
      </c>
      <c r="AI867" s="768" t="s">
        <v>268</v>
      </c>
      <c r="AJ867" s="768" t="s">
        <v>268</v>
      </c>
      <c r="AK867" s="770" t="s">
        <v>269</v>
      </c>
      <c r="AL867" s="768" t="s">
        <v>269</v>
      </c>
      <c r="AM867" s="667" t="s">
        <v>149</v>
      </c>
      <c r="AN867" s="659" t="s">
        <v>94</v>
      </c>
      <c r="AP867" s="409" t="s">
        <v>264</v>
      </c>
      <c r="AQ867" s="409" t="s">
        <v>265</v>
      </c>
      <c r="AS867" s="1221" t="s">
        <v>270</v>
      </c>
      <c r="AT867" s="1222" t="s">
        <v>270</v>
      </c>
      <c r="AU867" s="1223" t="s">
        <v>270</v>
      </c>
    </row>
    <row r="868" spans="1:47" ht="15.6" x14ac:dyDescent="0.3">
      <c r="A868" s="416">
        <f>(B867*10)+1</f>
        <v>781</v>
      </c>
      <c r="B868" s="362" t="str">
        <f>'Event Details'!D$22</f>
        <v>S</v>
      </c>
      <c r="C868" s="381" t="str">
        <f>'Event Details'!E$22</f>
        <v>BRAT</v>
      </c>
      <c r="D868" s="379"/>
      <c r="E868" s="378"/>
      <c r="F868" s="363" t="e">
        <f>VLOOKUP($B867,IF($H867="F",TeamSheetFemale,TeamSheetMale),$Y868-1,FALSE)</f>
        <v>#N/A</v>
      </c>
      <c r="G868" s="380" t="e">
        <f>VLOOKUP($B867,IF($H867="F",TeamSheetFemale,TeamSheetMale),$Y868,FALSE)</f>
        <v>#N/A</v>
      </c>
      <c r="H868" s="363" t="e">
        <f>VLOOKUP($B867,IF($H867="F",TeamSheetFemale,TeamSheetMale),$Y868+1,FALSE)</f>
        <v>#N/A</v>
      </c>
      <c r="I868" s="364" t="e">
        <f>VLOOKUP($B867,IF($H867="F",TeamSheetFemale,TeamSheetMale),$Y868+2,FALSE)</f>
        <v>#N/A</v>
      </c>
      <c r="K868" s="393" t="s">
        <v>271</v>
      </c>
      <c r="L868" s="16" t="str">
        <f t="shared" ref="L868:L875" si="774">LEFT(M868,1)</f>
        <v/>
      </c>
      <c r="M868" s="926"/>
      <c r="N868" s="926"/>
      <c r="O868" s="394" t="str">
        <f>IF(LEN($M868)=1,VLOOKUP(LEFT($M868,1),B868:I875,5,FALSE),IF(LEN($M868)=2,VLOOKUP(LEFT($M868,1),B868:I875,7,FALSE),""))</f>
        <v/>
      </c>
      <c r="P868" s="395" t="str">
        <f>IF(LEN($M868)=1,VLOOKUP(LEFT($M868,1),B868:I875,6,FALSE),IF(LEN($M868)=2,VLOOKUP(LEFT($M868,1),B868:I875,8,FALSE),""))</f>
        <v/>
      </c>
      <c r="Q868" s="406" t="s">
        <v>271</v>
      </c>
      <c r="R868" s="146" t="str">
        <f t="shared" ref="R868:R875" si="775">LEFT(S868,1)</f>
        <v/>
      </c>
      <c r="S868" s="926"/>
      <c r="T868" s="926"/>
      <c r="U868" s="394" t="str">
        <f>IF(LEN($S868)=1,VLOOKUP(LEFT($S868,1),B868:I875,5,FALSE),IF(LEN($S868)=2,VLOOKUP(LEFT($S868,1),B868:I875,7,FALSE),""))</f>
        <v/>
      </c>
      <c r="V868" s="395" t="str">
        <f>IF(LEN($S868)=1,VLOOKUP(LEFT($S868,1),B868:I875,6,FALSE),IF(LEN($S868)=2,VLOOKUP(LEFT($S868,1),B868:I875,8,FALSE),""))</f>
        <v/>
      </c>
      <c r="W868" s="417">
        <f>AN$6</f>
        <v>8</v>
      </c>
      <c r="Y868" s="653">
        <v>7</v>
      </c>
      <c r="Z868" s="653">
        <f t="shared" ref="Z868:Z875" si="776">IF(LEN(M868)&gt;0,VLOOKUP(LEFT(M868,1),ShortName,5,FALSE),0)</f>
        <v>0</v>
      </c>
      <c r="AA868" s="138">
        <f t="shared" ref="AA868:AA875" si="777">IF(LEN(S868)&gt;0,VLOOKUP(LEFT(S868,1),ShortName,5,FALSE),0)</f>
        <v>0</v>
      </c>
      <c r="AC868" s="16" t="str">
        <f t="shared" ref="AC868:AD875" si="778">B868</f>
        <v>S</v>
      </c>
      <c r="AD868" s="419" t="str">
        <f t="shared" si="778"/>
        <v>BRAT</v>
      </c>
      <c r="AE868" s="635">
        <f>IF(ISNA(MATCH(AC868,N868:N877,0)),0,VLOOKUP(AC868,N868:S877,5,FALSE))</f>
        <v>0</v>
      </c>
      <c r="AF868" s="635" t="str">
        <f>IF(ISNA(MATCH(AC868,T868:T877,0))," ",VLOOKUP(AC868,T868:Y877,5,FALSE))</f>
        <v xml:space="preserve"> </v>
      </c>
      <c r="AG868" s="635">
        <f>IF(ISNA(MATCH(AC868,L868:L875,0)),0,VLOOKUP(AC868,L868:N875,3,FALSE))</f>
        <v>0</v>
      </c>
      <c r="AH868" s="635">
        <f>IF(ISNA(MATCH(AC868,R868:R875,0)),0,VLOOKUP(AC868,R868:T875,3,FALSE))</f>
        <v>0</v>
      </c>
      <c r="AI868" s="635">
        <f>IF(ISNA(MATCH(AC868,L868:L875,0)),0,VLOOKUP(AC868,L868:P875,4,FALSE))</f>
        <v>0</v>
      </c>
      <c r="AJ868" s="635">
        <f>IF(ISNA(MATCH(AC868,R868:R875,0)),0,VLOOKUP(AC868,R868:U875,4,FALSE))</f>
        <v>0</v>
      </c>
      <c r="AK868" s="49">
        <f t="shared" ref="AK868:AK875" si="779">IF(AM868=0,0,AN$6-(AM868-1))</f>
        <v>0</v>
      </c>
      <c r="AL868" s="49">
        <f t="shared" ref="AL868:AL875" si="780">IF(AN868=0,0,AN$6-(AN868-1))</f>
        <v>0</v>
      </c>
      <c r="AM868" s="49">
        <f>IF(ISNA(MATCH(AC868,L868:L875,0)),0,VLOOKUP(AC868,L868:W875,AM$1,FALSE))</f>
        <v>0</v>
      </c>
      <c r="AN868" s="138">
        <f>IF(ISNA(MATCH(AC868,R868:R875,0)),0,VLOOKUP(AC868,R868:W875,AN$1,FALSE))</f>
        <v>0</v>
      </c>
      <c r="AP868" s="926"/>
      <c r="AQ868" s="926"/>
      <c r="AS868" s="32">
        <f>IF(LEN(N868)&gt;0,1,0)</f>
        <v>0</v>
      </c>
      <c r="AT868" s="32">
        <f>IF(AND(AS868=1,H867="M"),1,0)</f>
        <v>0</v>
      </c>
      <c r="AU868" s="32">
        <f>IF(AND(AS868=1,H867="F"),1,0)</f>
        <v>0</v>
      </c>
    </row>
    <row r="869" spans="1:47" ht="15.6" x14ac:dyDescent="0.3">
      <c r="A869" s="417">
        <f>A868+1</f>
        <v>782</v>
      </c>
      <c r="B869" s="362" t="str">
        <f>'Event Details'!D$23</f>
        <v>U</v>
      </c>
      <c r="C869" s="381" t="str">
        <f>'Event Details'!E$23</f>
        <v>Kidder &amp; Stourport</v>
      </c>
      <c r="D869" s="379"/>
      <c r="E869" s="378"/>
      <c r="F869" s="363" t="e">
        <f>VLOOKUP($B867,IF($H867="F",TeamSheetFemale,TeamSheetMale),$Y869-1,FALSE)</f>
        <v>#N/A</v>
      </c>
      <c r="G869" s="380" t="e">
        <f>VLOOKUP($B867,IF($H867="F",TeamSheetFemale,TeamSheetMale),$Y869,FALSE)</f>
        <v>#N/A</v>
      </c>
      <c r="H869" s="363" t="e">
        <f>VLOOKUP($B867,IF($H867="F",TeamSheetFemale,TeamSheetMale),$Y869+1,FALSE)</f>
        <v>#N/A</v>
      </c>
      <c r="I869" s="364" t="e">
        <f>VLOOKUP($B867,IF($H867="F",TeamSheetFemale,TeamSheetMale),$Y869+2,FALSE)</f>
        <v>#N/A</v>
      </c>
      <c r="K869" s="341" t="s">
        <v>272</v>
      </c>
      <c r="L869" s="16" t="str">
        <f t="shared" si="774"/>
        <v/>
      </c>
      <c r="M869" s="927"/>
      <c r="N869" s="927"/>
      <c r="O869" s="354" t="str">
        <f>IF(LEN($M869)=1,VLOOKUP(LEFT($M869,1),B868:I875,5,FALSE),IF(LEN($M869)=2,VLOOKUP(LEFT($M869,1),B868:I875,7,FALSE),""))</f>
        <v/>
      </c>
      <c r="P869" s="410" t="str">
        <f>IF(LEN($M869)=1,VLOOKUP(LEFT($M869,1),B868:I875,6,FALSE),IF(LEN($M869)=2,VLOOKUP(LEFT($M869,1),B868:I875,8,FALSE),""))</f>
        <v/>
      </c>
      <c r="Q869" s="371" t="s">
        <v>272</v>
      </c>
      <c r="R869" s="146" t="str">
        <f t="shared" si="775"/>
        <v/>
      </c>
      <c r="S869" s="927"/>
      <c r="T869" s="927"/>
      <c r="U869" s="354" t="str">
        <f>IF(LEN($S869)=1,VLOOKUP(LEFT($S869,1),B868:I875,5,FALSE),IF(LEN($S869)=2,VLOOKUP(LEFT($S869,1),B868:I875,7,FALSE),""))</f>
        <v/>
      </c>
      <c r="V869" s="410" t="str">
        <f>IF(LEN($S869)=1,VLOOKUP(LEFT($S869,1),B868:I875,6,FALSE),IF(LEN($S869)=2,VLOOKUP(LEFT($S869,1),B868:I875,8,FALSE),""))</f>
        <v/>
      </c>
      <c r="W869" s="417">
        <f>W868-1</f>
        <v>7</v>
      </c>
      <c r="Y869" s="16">
        <v>12</v>
      </c>
      <c r="Z869" s="16">
        <f t="shared" si="776"/>
        <v>0</v>
      </c>
      <c r="AA869" s="146">
        <f t="shared" si="777"/>
        <v>0</v>
      </c>
      <c r="AC869" s="16" t="str">
        <f t="shared" si="778"/>
        <v>U</v>
      </c>
      <c r="AD869" s="419" t="str">
        <f t="shared" si="778"/>
        <v>Kidder &amp; Stourport</v>
      </c>
      <c r="AE869" s="419">
        <f>IF(ISNA(MATCH(AC869,N868:N877,0)),0,VLOOKUP(AC869,N868:S877,5,FALSE))</f>
        <v>0</v>
      </c>
      <c r="AF869" s="419" t="str">
        <f>IF(ISNA(MATCH(AC869,T868:T877,0))," ",VLOOKUP(AC869,T868:Y877,5,FALSE))</f>
        <v xml:space="preserve"> </v>
      </c>
      <c r="AG869" s="419">
        <f>IF(ISNA(MATCH(AC869,L868:L875,0)),0,VLOOKUP(AC869,L868:N875,3,FALSE))</f>
        <v>0</v>
      </c>
      <c r="AH869" s="419">
        <f>IF(ISNA(MATCH(AC869,R868:R875,0)),0,VLOOKUP(AC869,R868:T875,3,FALSE))</f>
        <v>0</v>
      </c>
      <c r="AI869" s="419">
        <f>IF(ISNA(MATCH(AC869,L868:L875,0)),0,VLOOKUP(AC869,L868:P875,4,FALSE))</f>
        <v>0</v>
      </c>
      <c r="AJ869" s="419">
        <f>IF(ISNA(MATCH(AC869,R868:R875,0)),0,VLOOKUP(AC869,R868:U875,4,FALSE))</f>
        <v>0</v>
      </c>
      <c r="AK869" s="32">
        <f t="shared" si="779"/>
        <v>0</v>
      </c>
      <c r="AL869" s="32">
        <f t="shared" si="780"/>
        <v>0</v>
      </c>
      <c r="AM869" s="32">
        <f>IF(ISNA(MATCH(AC869,L868:L875,0)),0,VLOOKUP(AC869,L868:W875,AM$1,FALSE))</f>
        <v>0</v>
      </c>
      <c r="AN869" s="146">
        <f>IF(ISNA(MATCH(AC869,R868:R875,0)),0,VLOOKUP(AC869,R868:W875,AN$1,FALSE))</f>
        <v>0</v>
      </c>
      <c r="AP869" s="927"/>
      <c r="AQ869" s="927"/>
    </row>
    <row r="870" spans="1:47" ht="15.6" x14ac:dyDescent="0.3">
      <c r="A870" s="417">
        <f t="shared" ref="A870:A875" si="781">A869+1</f>
        <v>783</v>
      </c>
      <c r="B870" s="362" t="str">
        <f>'Event Details'!D$24</f>
        <v>G</v>
      </c>
      <c r="C870" s="381" t="str">
        <f>'Event Details'!E$24</f>
        <v>Royal Sutton</v>
      </c>
      <c r="D870" s="379"/>
      <c r="E870" s="378"/>
      <c r="F870" s="363" t="e">
        <f>VLOOKUP($B867,IF($H867="F",TeamSheetFemale,TeamSheetMale),$Y870-1,FALSE)</f>
        <v>#N/A</v>
      </c>
      <c r="G870" s="380" t="e">
        <f>VLOOKUP($B867,IF($H867="F",TeamSheetFemale,TeamSheetMale),$Y870,FALSE)</f>
        <v>#N/A</v>
      </c>
      <c r="H870" s="363" t="e">
        <f>VLOOKUP($B867,IF($H867="F",TeamSheetFemale,TeamSheetMale),$Y870+1,FALSE)</f>
        <v>#N/A</v>
      </c>
      <c r="I870" s="364" t="e">
        <f>VLOOKUP($B867,IF($H867="F",TeamSheetFemale,TeamSheetMale),$Y870+2,FALSE)</f>
        <v>#N/A</v>
      </c>
      <c r="K870" s="341" t="s">
        <v>273</v>
      </c>
      <c r="L870" s="16" t="str">
        <f t="shared" si="774"/>
        <v/>
      </c>
      <c r="M870" s="927"/>
      <c r="N870" s="927"/>
      <c r="O870" s="354" t="str">
        <f>IF(LEN($M870)=1,VLOOKUP(LEFT($M870,1),B868:I875,5,FALSE),IF(LEN($M870)=2,VLOOKUP(LEFT($M870,1),B868:I875,7,FALSE),""))</f>
        <v/>
      </c>
      <c r="P870" s="410" t="str">
        <f>IF(LEN($M870)=1,VLOOKUP(LEFT($M870,1),B868:I875,6,FALSE),IF(LEN($M870)=2,VLOOKUP(LEFT($M870,1),B868:I875,8,FALSE),""))</f>
        <v/>
      </c>
      <c r="Q870" s="371" t="s">
        <v>273</v>
      </c>
      <c r="R870" s="146" t="str">
        <f t="shared" si="775"/>
        <v/>
      </c>
      <c r="S870" s="927"/>
      <c r="T870" s="927"/>
      <c r="U870" s="354" t="str">
        <f>IF(LEN($S870)=1,VLOOKUP(LEFT($S870,1),B868:I875,5,FALSE),IF(LEN($S870)=2,VLOOKUP(LEFT($S870,1),B868:I875,7,FALSE),""))</f>
        <v/>
      </c>
      <c r="V870" s="410" t="str">
        <f>IF(LEN($S870)=1,VLOOKUP(LEFT($S870,1),B868:I875,6,FALSE),IF(LEN($S870)=2,VLOOKUP(LEFT($S870,1),B868:I875,8,FALSE),""))</f>
        <v/>
      </c>
      <c r="W870" s="417">
        <f t="shared" ref="W870:W875" si="782">W869-1</f>
        <v>6</v>
      </c>
      <c r="Y870" s="16">
        <v>17</v>
      </c>
      <c r="Z870" s="16">
        <f t="shared" si="776"/>
        <v>0</v>
      </c>
      <c r="AA870" s="146">
        <f t="shared" si="777"/>
        <v>0</v>
      </c>
      <c r="AC870" s="16" t="str">
        <f t="shared" si="778"/>
        <v>G</v>
      </c>
      <c r="AD870" s="419" t="str">
        <f t="shared" si="778"/>
        <v>Royal Sutton</v>
      </c>
      <c r="AE870" s="419">
        <f>IF(ISNA(MATCH(AC870,N868:N877,0)),0,VLOOKUP(AC870,N868:S877,5,FALSE))</f>
        <v>0</v>
      </c>
      <c r="AF870" s="419" t="str">
        <f>IF(ISNA(MATCH(AC870,T868:T877,0))," ",VLOOKUP(AC870,T868:Y877,5,FALSE))</f>
        <v xml:space="preserve"> </v>
      </c>
      <c r="AG870" s="419">
        <f>IF(ISNA(MATCH(AC870,L868:L875,0)),0,VLOOKUP(AC870,L868:N875,3,FALSE))</f>
        <v>0</v>
      </c>
      <c r="AH870" s="419">
        <f>IF(ISNA(MATCH(AC870,R868:R875,0)),0,VLOOKUP(AC870,R868:T875,3,FALSE))</f>
        <v>0</v>
      </c>
      <c r="AI870" s="419">
        <f>IF(ISNA(MATCH(AC870,L868:L875,0)),0,VLOOKUP(AC870,L868:P875,4,FALSE))</f>
        <v>0</v>
      </c>
      <c r="AJ870" s="419">
        <f>IF(ISNA(MATCH(AC870,R868:R875,0)),0,VLOOKUP(AC870,R868:U875,4,FALSE))</f>
        <v>0</v>
      </c>
      <c r="AK870" s="32">
        <f t="shared" si="779"/>
        <v>0</v>
      </c>
      <c r="AL870" s="32">
        <f t="shared" si="780"/>
        <v>0</v>
      </c>
      <c r="AM870" s="32">
        <f>IF(ISNA(MATCH(AC870,L868:L875,0)),0,VLOOKUP(AC870,L868:W875,AM$1,FALSE))</f>
        <v>0</v>
      </c>
      <c r="AN870" s="146">
        <f>IF(ISNA(MATCH(AC870,R868:R875,0)),0,VLOOKUP(AC870,R868:W875,AN$1,FALSE))</f>
        <v>0</v>
      </c>
      <c r="AP870" s="927"/>
      <c r="AQ870" s="927"/>
    </row>
    <row r="871" spans="1:47" ht="15.6" x14ac:dyDescent="0.3">
      <c r="A871" s="417">
        <f t="shared" si="781"/>
        <v>784</v>
      </c>
      <c r="B871" s="362" t="str">
        <f>'Event Details'!D$25</f>
        <v>R</v>
      </c>
      <c r="C871" s="381" t="str">
        <f>'Event Details'!E$25</f>
        <v>Rugby &amp; N'hampton</v>
      </c>
      <c r="D871" s="379"/>
      <c r="E871" s="378"/>
      <c r="F871" s="363" t="e">
        <f>VLOOKUP($B867,IF($H867="F",TeamSheetFemale,TeamSheetMale),$Y871-1,FALSE)</f>
        <v>#N/A</v>
      </c>
      <c r="G871" s="380" t="e">
        <f>VLOOKUP($B867,IF($H867="F",TeamSheetFemale,TeamSheetMale),$Y871,FALSE)</f>
        <v>#N/A</v>
      </c>
      <c r="H871" s="363" t="e">
        <f>VLOOKUP($B867,IF($H867="F",TeamSheetFemale,TeamSheetMale),$Y871+1,FALSE)</f>
        <v>#N/A</v>
      </c>
      <c r="I871" s="364" t="e">
        <f>VLOOKUP($B867,IF($H867="F",TeamSheetFemale,TeamSheetMale),$Y871+2,FALSE)</f>
        <v>#N/A</v>
      </c>
      <c r="K871" s="341" t="s">
        <v>274</v>
      </c>
      <c r="L871" s="16" t="str">
        <f t="shared" si="774"/>
        <v/>
      </c>
      <c r="M871" s="927"/>
      <c r="N871" s="927"/>
      <c r="O871" s="354" t="str">
        <f>IF(LEN($M871)=1,VLOOKUP(LEFT($M871,1),B868:I875,5,FALSE),IF(LEN($M871)=2,VLOOKUP(LEFT($M871,1),B868:I875,7,FALSE),""))</f>
        <v/>
      </c>
      <c r="P871" s="410" t="str">
        <f>IF(LEN($M871)=1,VLOOKUP(LEFT($M871,1),B868:I875,6,FALSE),IF(LEN($M871)=2,VLOOKUP(LEFT($M871,1),B868:I875,8,FALSE),""))</f>
        <v/>
      </c>
      <c r="Q871" s="371" t="s">
        <v>274</v>
      </c>
      <c r="R871" s="146" t="str">
        <f t="shared" si="775"/>
        <v/>
      </c>
      <c r="S871" s="927"/>
      <c r="T871" s="927"/>
      <c r="U871" s="354" t="str">
        <f>IF(LEN($S871)=1,VLOOKUP(LEFT($S871,1),B868:I875,5,FALSE),IF(LEN($S871)=2,VLOOKUP(LEFT($S871,1),B868:I875,7,FALSE),""))</f>
        <v/>
      </c>
      <c r="V871" s="410" t="str">
        <f>IF(LEN($S871)=1,VLOOKUP(LEFT($S871,1),B868:I875,6,FALSE),IF(LEN($S871)=2,VLOOKUP(LEFT($S871,1),B868:I875,8,FALSE),""))</f>
        <v/>
      </c>
      <c r="W871" s="417">
        <f t="shared" si="782"/>
        <v>5</v>
      </c>
      <c r="Y871" s="16">
        <v>22</v>
      </c>
      <c r="Z871" s="16">
        <f t="shared" si="776"/>
        <v>0</v>
      </c>
      <c r="AA871" s="146">
        <f t="shared" si="777"/>
        <v>0</v>
      </c>
      <c r="AC871" s="16" t="str">
        <f t="shared" si="778"/>
        <v>R</v>
      </c>
      <c r="AD871" s="419" t="str">
        <f t="shared" si="778"/>
        <v>Rugby &amp; N'hampton</v>
      </c>
      <c r="AE871" s="419">
        <f>IF(ISNA(MATCH(AC871,N868:N877,0)),0,VLOOKUP(AC871,N868:S877,5,FALSE))</f>
        <v>0</v>
      </c>
      <c r="AF871" s="419" t="str">
        <f>IF(ISNA(MATCH(AC871,T868:T877,0))," ",VLOOKUP(AC871,T868:Y877,5,FALSE))</f>
        <v xml:space="preserve"> </v>
      </c>
      <c r="AG871" s="419">
        <f>IF(ISNA(MATCH(AC871,L868:L875,0)),0,VLOOKUP(AC871,L868:N875,3,FALSE))</f>
        <v>0</v>
      </c>
      <c r="AH871" s="419">
        <f>IF(ISNA(MATCH(AC871,R868:R875,0)),0,VLOOKUP(AC871,R868:T875,3,FALSE))</f>
        <v>0</v>
      </c>
      <c r="AI871" s="419">
        <f>IF(ISNA(MATCH(AC871,L868:L875,0)),0,VLOOKUP(AC871,L868:P875,4,FALSE))</f>
        <v>0</v>
      </c>
      <c r="AJ871" s="419">
        <f>IF(ISNA(MATCH(AC871,R868:R875,0)),0,VLOOKUP(AC871,R868:U875,4,FALSE))</f>
        <v>0</v>
      </c>
      <c r="AK871" s="32">
        <f t="shared" si="779"/>
        <v>0</v>
      </c>
      <c r="AL871" s="32">
        <f t="shared" si="780"/>
        <v>0</v>
      </c>
      <c r="AM871" s="32">
        <f>IF(ISNA(MATCH(AC871,L868:L875,0)),0,VLOOKUP(AC871,L868:W875,AM$1,FALSE))</f>
        <v>0</v>
      </c>
      <c r="AN871" s="146">
        <f>IF(ISNA(MATCH(AC871,R868:R875,0)),0,VLOOKUP(AC871,R868:W875,AN$1,FALSE))</f>
        <v>0</v>
      </c>
      <c r="AP871" s="927"/>
      <c r="AQ871" s="927"/>
    </row>
    <row r="872" spans="1:47" ht="15.6" x14ac:dyDescent="0.3">
      <c r="A872" s="417">
        <f t="shared" si="781"/>
        <v>785</v>
      </c>
      <c r="B872" s="362" t="str">
        <f>'Event Details'!D$26</f>
        <v>M</v>
      </c>
      <c r="C872" s="381" t="str">
        <f>'Event Details'!E$26</f>
        <v>Solihull &amp; S.Heath</v>
      </c>
      <c r="D872" s="379"/>
      <c r="E872" s="378"/>
      <c r="F872" s="363" t="e">
        <f>VLOOKUP($B867,IF($H867="F",TeamSheetFemale,TeamSheetMale),$Y872-1,FALSE)</f>
        <v>#N/A</v>
      </c>
      <c r="G872" s="380" t="e">
        <f>VLOOKUP($B867,IF($H867="F",TeamSheetFemale,TeamSheetMale),$Y872,FALSE)</f>
        <v>#N/A</v>
      </c>
      <c r="H872" s="363" t="e">
        <f>VLOOKUP($B867,IF($H867="F",TeamSheetFemale,TeamSheetMale),$Y872+1,FALSE)</f>
        <v>#N/A</v>
      </c>
      <c r="I872" s="364" t="e">
        <f>VLOOKUP($B867,IF($H867="F",TeamSheetFemale,TeamSheetMale),$Y872+2,FALSE)</f>
        <v>#N/A</v>
      </c>
      <c r="K872" s="341" t="s">
        <v>275</v>
      </c>
      <c r="L872" s="16" t="str">
        <f t="shared" si="774"/>
        <v/>
      </c>
      <c r="M872" s="927"/>
      <c r="N872" s="927"/>
      <c r="O872" s="354" t="str">
        <f>IF(LEN($M872)=1,VLOOKUP(LEFT($M872,1),B868:I875,5,FALSE),IF(LEN($M872)=2,VLOOKUP(LEFT($M872,1),B868:I875,7,FALSE),""))</f>
        <v/>
      </c>
      <c r="P872" s="410" t="str">
        <f>IF(LEN($M872)=1,VLOOKUP(LEFT($M872,1),B868:I875,6,FALSE),IF(LEN($M872)=2,VLOOKUP(LEFT($M872,1),B868:I875,8,FALSE),""))</f>
        <v/>
      </c>
      <c r="Q872" s="371" t="s">
        <v>275</v>
      </c>
      <c r="R872" s="146" t="str">
        <f t="shared" si="775"/>
        <v/>
      </c>
      <c r="S872" s="927"/>
      <c r="T872" s="927"/>
      <c r="U872" s="354" t="str">
        <f>IF(LEN($S872)=1,VLOOKUP(LEFT($S872,1),B868:I875,5,FALSE),IF(LEN($S872)=2,VLOOKUP(LEFT($S872,1),B868:I875,7,FALSE),""))</f>
        <v/>
      </c>
      <c r="V872" s="410" t="str">
        <f>IF(LEN($S872)=1,VLOOKUP(LEFT($S872,1),B868:I875,6,FALSE),IF(LEN($S872)=2,VLOOKUP(LEFT($S872,1),B868:I875,8,FALSE),""))</f>
        <v/>
      </c>
      <c r="W872" s="417">
        <f t="shared" si="782"/>
        <v>4</v>
      </c>
      <c r="Y872" s="16">
        <v>27</v>
      </c>
      <c r="Z872" s="16">
        <f t="shared" si="776"/>
        <v>0</v>
      </c>
      <c r="AA872" s="146">
        <f t="shared" si="777"/>
        <v>0</v>
      </c>
      <c r="AC872" s="16" t="str">
        <f t="shared" si="778"/>
        <v>M</v>
      </c>
      <c r="AD872" s="419" t="str">
        <f t="shared" si="778"/>
        <v>Solihull &amp; S.Heath</v>
      </c>
      <c r="AE872" s="419">
        <f>IF(ISNA(MATCH(AC872,N868:N877,0)),0,VLOOKUP(AC872,N868:S877,5,FALSE))</f>
        <v>0</v>
      </c>
      <c r="AF872" s="419" t="str">
        <f>IF(ISNA(MATCH(AC872,T868:T877,0))," ",VLOOKUP(AC872,T868:Y877,5,FALSE))</f>
        <v xml:space="preserve"> </v>
      </c>
      <c r="AG872" s="419">
        <f>IF(ISNA(MATCH(AC872,L868:L875,0)),0,VLOOKUP(AC872,L868:N875,3,FALSE))</f>
        <v>0</v>
      </c>
      <c r="AH872" s="419">
        <f>IF(ISNA(MATCH(AC872,R868:R875,0)),0,VLOOKUP(AC872,R868:T875,3,FALSE))</f>
        <v>0</v>
      </c>
      <c r="AI872" s="419">
        <f>IF(ISNA(MATCH(AC872,L868:L875,0)),0,VLOOKUP(AC872,L868:P875,4,FALSE))</f>
        <v>0</v>
      </c>
      <c r="AJ872" s="419">
        <f>IF(ISNA(MATCH(AC872,R868:R875,0)),0,VLOOKUP(AC872,R868:U875,4,FALSE))</f>
        <v>0</v>
      </c>
      <c r="AK872" s="32">
        <f t="shared" si="779"/>
        <v>0</v>
      </c>
      <c r="AL872" s="32">
        <f t="shared" si="780"/>
        <v>0</v>
      </c>
      <c r="AM872" s="32">
        <f>IF(ISNA(MATCH(AC872,L868:L875,0)),0,VLOOKUP(AC872,L868:W875,AM$1,FALSE))</f>
        <v>0</v>
      </c>
      <c r="AN872" s="146">
        <f>IF(ISNA(MATCH(AC872,R868:R875,0)),0,VLOOKUP(AC872,R868:W875,AN$1,FALSE))</f>
        <v>0</v>
      </c>
      <c r="AP872" s="927"/>
      <c r="AQ872" s="927"/>
    </row>
    <row r="873" spans="1:47" ht="15.6" x14ac:dyDescent="0.3">
      <c r="A873" s="417">
        <f t="shared" si="781"/>
        <v>786</v>
      </c>
      <c r="B873" s="362" t="str">
        <f>'Event Details'!D$27</f>
        <v>D</v>
      </c>
      <c r="C873" s="381" t="str">
        <f>'Event Details'!E$27</f>
        <v>Stratford</v>
      </c>
      <c r="D873" s="379"/>
      <c r="E873" s="378"/>
      <c r="F873" s="363" t="e">
        <f>VLOOKUP($B867,IF($H867="F",TeamSheetFemale,TeamSheetMale),$Y873-1,FALSE)</f>
        <v>#N/A</v>
      </c>
      <c r="G873" s="380" t="e">
        <f>VLOOKUP($B867,IF($H867="F",TeamSheetFemale,TeamSheetMale),$Y873,FALSE)</f>
        <v>#N/A</v>
      </c>
      <c r="H873" s="363" t="e">
        <f>VLOOKUP($B867,IF($H867="F",TeamSheetFemale,TeamSheetMale),$Y873+1,FALSE)</f>
        <v>#N/A</v>
      </c>
      <c r="I873" s="364" t="e">
        <f>VLOOKUP($B867,IF($H867="F",TeamSheetFemale,TeamSheetMale),$Y873+2,FALSE)</f>
        <v>#N/A</v>
      </c>
      <c r="K873" s="341" t="s">
        <v>276</v>
      </c>
      <c r="L873" s="16" t="str">
        <f t="shared" si="774"/>
        <v/>
      </c>
      <c r="M873" s="927"/>
      <c r="N873" s="927"/>
      <c r="O873" s="354" t="str">
        <f>IF(LEN($M873)=1,VLOOKUP(LEFT($M873,1),B868:I875,5,FALSE),IF(LEN($M873)=2,VLOOKUP(LEFT($M873,1),B868:I875,7,FALSE),""))</f>
        <v/>
      </c>
      <c r="P873" s="410" t="str">
        <f>IF(LEN($M873)=1,VLOOKUP(LEFT($M873,1),B868:I875,6,FALSE),IF(LEN($M873)=2,VLOOKUP(LEFT($M873,1),B868:I875,8,FALSE),""))</f>
        <v/>
      </c>
      <c r="Q873" s="371" t="s">
        <v>276</v>
      </c>
      <c r="R873" s="146" t="str">
        <f t="shared" si="775"/>
        <v/>
      </c>
      <c r="S873" s="927"/>
      <c r="T873" s="927"/>
      <c r="U873" s="354" t="str">
        <f>IF(LEN($S873)=1,VLOOKUP(LEFT($S873,1),B868:I875,5,FALSE),IF(LEN($S873)=2,VLOOKUP(LEFT($S873,1),B868:I875,7,FALSE),""))</f>
        <v/>
      </c>
      <c r="V873" s="410" t="str">
        <f>IF(LEN($S873)=1,VLOOKUP(LEFT($S873,1),B868:I875,6,FALSE),IF(LEN($S873)=2,VLOOKUP(LEFT($S873,1),B868:I875,8,FALSE),""))</f>
        <v/>
      </c>
      <c r="W873" s="417">
        <f t="shared" si="782"/>
        <v>3</v>
      </c>
      <c r="Y873" s="16">
        <v>32</v>
      </c>
      <c r="Z873" s="16">
        <f t="shared" si="776"/>
        <v>0</v>
      </c>
      <c r="AA873" s="146">
        <f t="shared" si="777"/>
        <v>0</v>
      </c>
      <c r="AC873" s="16" t="str">
        <f t="shared" si="778"/>
        <v>D</v>
      </c>
      <c r="AD873" s="419" t="str">
        <f t="shared" si="778"/>
        <v>Stratford</v>
      </c>
      <c r="AE873" s="419">
        <f>IF(ISNA(MATCH(AC873,N868:N877,0)),0,VLOOKUP(AC873,N868:S877,5,FALSE))</f>
        <v>0</v>
      </c>
      <c r="AF873" s="419" t="str">
        <f>IF(ISNA(MATCH(AC873,T868:T877,0))," ",VLOOKUP(AC873,T868:Y877,5,FALSE))</f>
        <v xml:space="preserve"> </v>
      </c>
      <c r="AG873" s="419">
        <f>IF(ISNA(MATCH(AC873,L868:L875,0)),0,VLOOKUP(AC873,L868:N875,3,FALSE))</f>
        <v>0</v>
      </c>
      <c r="AH873" s="419">
        <f>IF(ISNA(MATCH(AC873,R868:R875,0)),0,VLOOKUP(AC873,R868:T875,3,FALSE))</f>
        <v>0</v>
      </c>
      <c r="AI873" s="419">
        <f>IF(ISNA(MATCH(AC873,L868:L875,0)),0,VLOOKUP(AC873,L868:P875,4,FALSE))</f>
        <v>0</v>
      </c>
      <c r="AJ873" s="419">
        <f>IF(ISNA(MATCH(AC873,R868:R875,0)),0,VLOOKUP(AC873,R868:U875,4,FALSE))</f>
        <v>0</v>
      </c>
      <c r="AK873" s="32">
        <f t="shared" si="779"/>
        <v>0</v>
      </c>
      <c r="AL873" s="32">
        <f t="shared" si="780"/>
        <v>0</v>
      </c>
      <c r="AM873" s="32">
        <f>IF(ISNA(MATCH(AC873,L868:L875,0)),0,VLOOKUP(AC873,L868:W875,AM$1,FALSE))</f>
        <v>0</v>
      </c>
      <c r="AN873" s="146">
        <f>IF(ISNA(MATCH(AC873,R868:R875,0)),0,VLOOKUP(AC873,R868:W875,AN$1,FALSE))</f>
        <v>0</v>
      </c>
      <c r="AP873" s="927"/>
      <c r="AQ873" s="927"/>
    </row>
    <row r="874" spans="1:47" ht="15.6" x14ac:dyDescent="0.3">
      <c r="A874" s="417">
        <f t="shared" si="781"/>
        <v>787</v>
      </c>
      <c r="B874" s="362" t="str">
        <f>'Event Details'!D$28</f>
        <v>F</v>
      </c>
      <c r="C874" s="381" t="str">
        <f>'Event Details'!E$28</f>
        <v>Tamworth</v>
      </c>
      <c r="D874" s="379"/>
      <c r="E874" s="378"/>
      <c r="F874" s="363" t="e">
        <f>VLOOKUP($B867,IF($H867="F",TeamSheetFemale,TeamSheetMale),$Y874-1,FALSE)</f>
        <v>#N/A</v>
      </c>
      <c r="G874" s="380" t="e">
        <f>VLOOKUP($B867,IF($H867="F",TeamSheetFemale,TeamSheetMale),$Y874,FALSE)</f>
        <v>#N/A</v>
      </c>
      <c r="H874" s="363" t="e">
        <f>VLOOKUP($B867,IF($H867="F",TeamSheetFemale,TeamSheetMale),$Y874+1,FALSE)</f>
        <v>#N/A</v>
      </c>
      <c r="I874" s="364" t="e">
        <f>VLOOKUP($B867,IF($H867="F",TeamSheetFemale,TeamSheetMale),$Y874+2,FALSE)</f>
        <v>#N/A</v>
      </c>
      <c r="K874" s="341" t="s">
        <v>277</v>
      </c>
      <c r="L874" s="16" t="str">
        <f t="shared" si="774"/>
        <v/>
      </c>
      <c r="M874" s="931"/>
      <c r="N874" s="927"/>
      <c r="O874" s="354" t="str">
        <f>IF(LEN($M874)=1,VLOOKUP(LEFT($M874,1),B868:I875,5,FALSE),IF(LEN($M874)=2,VLOOKUP(LEFT($M874,1),B868:I875,7,FALSE),""))</f>
        <v/>
      </c>
      <c r="P874" s="410" t="str">
        <f>IF(LEN($M874)=1,VLOOKUP(LEFT($M874,1),B868:I875,6,FALSE),IF(LEN($M874)=2,VLOOKUP(LEFT($M874,1),B868:I875,8,FALSE),""))</f>
        <v/>
      </c>
      <c r="Q874" s="371" t="s">
        <v>277</v>
      </c>
      <c r="R874" s="146" t="str">
        <f t="shared" si="775"/>
        <v/>
      </c>
      <c r="S874" s="931"/>
      <c r="T874" s="927"/>
      <c r="U874" s="354" t="str">
        <f>IF(LEN($S874)=1,VLOOKUP(LEFT($S874,1),B868:I875,5,FALSE),IF(LEN($S874)=2,VLOOKUP(LEFT($S874,1),B868:I875,7,FALSE),""))</f>
        <v/>
      </c>
      <c r="V874" s="410" t="str">
        <f>IF(LEN($S874)=1,VLOOKUP(LEFT($S874,1),B868:I875,6,FALSE),IF(LEN($S874)=2,VLOOKUP(LEFT($S874,1),B868:I875,8,FALSE),""))</f>
        <v/>
      </c>
      <c r="W874" s="417">
        <f t="shared" si="782"/>
        <v>2</v>
      </c>
      <c r="Y874" s="16">
        <v>37</v>
      </c>
      <c r="Z874" s="16">
        <f t="shared" si="776"/>
        <v>0</v>
      </c>
      <c r="AA874" s="146">
        <f t="shared" si="777"/>
        <v>0</v>
      </c>
      <c r="AC874" s="16" t="str">
        <f t="shared" si="778"/>
        <v>F</v>
      </c>
      <c r="AD874" s="419" t="str">
        <f t="shared" si="778"/>
        <v>Tamworth</v>
      </c>
      <c r="AE874" s="419">
        <f>IF(ISNA(MATCH(AC874,N866:N875,0)),0,VLOOKUP(AC874,N866:S875,5,FALSE))</f>
        <v>0</v>
      </c>
      <c r="AF874" s="419" t="str">
        <f>IF(ISNA(MATCH(AC874,T866:T875,0))," ",VLOOKUP(AC874,T866:Y875,5,FALSE))</f>
        <v xml:space="preserve"> </v>
      </c>
      <c r="AG874" s="419">
        <f>IF(ISNA(MATCH(AC874,L868:L875,0)),0,VLOOKUP(AC874,L868:N875,3,FALSE))</f>
        <v>0</v>
      </c>
      <c r="AH874" s="419">
        <f>IF(ISNA(MATCH(AC874,R868:R875,0)),0,VLOOKUP(AC874,R868:T875,3,FALSE))</f>
        <v>0</v>
      </c>
      <c r="AI874" s="419">
        <f>IF(ISNA(MATCH(AC874,L868:L875,0)),0,VLOOKUP(AC874,L868:P875,4,FALSE))</f>
        <v>0</v>
      </c>
      <c r="AJ874" s="419">
        <f>IF(ISNA(MATCH(AC874,R868:R875,0)),0,VLOOKUP(AC874,R868:U875,4,FALSE))</f>
        <v>0</v>
      </c>
      <c r="AK874" s="32">
        <f t="shared" si="779"/>
        <v>0</v>
      </c>
      <c r="AL874" s="32">
        <f t="shared" si="780"/>
        <v>0</v>
      </c>
      <c r="AM874" s="32">
        <f>IF(ISNA(MATCH(AC874,L868:L875,0)),0,VLOOKUP(AC874,L868:W875,AM$1,FALSE))</f>
        <v>0</v>
      </c>
      <c r="AN874" s="146">
        <f>IF(ISNA(MATCH(AC874,R868:R875,0)),0,VLOOKUP(AC874,R868:W875,AN$1,FALSE))</f>
        <v>0</v>
      </c>
      <c r="AP874" s="931"/>
      <c r="AQ874" s="927"/>
    </row>
    <row r="875" spans="1:47" ht="16.2" thickBot="1" x14ac:dyDescent="0.35">
      <c r="A875" s="418">
        <f t="shared" si="781"/>
        <v>788</v>
      </c>
      <c r="B875" s="365" t="str">
        <f>'Event Details'!D$29</f>
        <v>Y</v>
      </c>
      <c r="C875" s="366" t="str">
        <f>'Event Details'!E$29</f>
        <v>Worcester</v>
      </c>
      <c r="D875" s="361"/>
      <c r="E875" s="370"/>
      <c r="F875" s="367" t="e">
        <f>VLOOKUP($B867,IF($H867="F",TeamSheetFemale,TeamSheetMale),$Y875-1,FALSE)</f>
        <v>#N/A</v>
      </c>
      <c r="G875" s="368" t="e">
        <f>VLOOKUP($B867,IF($H867="F",TeamSheetFemale,TeamSheetMale),$Y875,FALSE)</f>
        <v>#N/A</v>
      </c>
      <c r="H875" s="367" t="e">
        <f>VLOOKUP($B867,IF($H867="F",TeamSheetFemale,TeamSheetMale),$Y875+1,FALSE)</f>
        <v>#N/A</v>
      </c>
      <c r="I875" s="369" t="e">
        <f>VLOOKUP($B867,IF($H867="F",TeamSheetFemale,TeamSheetMale),$Y875+2,FALSE)</f>
        <v>#N/A</v>
      </c>
      <c r="K875" s="346" t="s">
        <v>278</v>
      </c>
      <c r="L875" s="25" t="str">
        <f t="shared" si="774"/>
        <v/>
      </c>
      <c r="M875" s="928"/>
      <c r="N875" s="932"/>
      <c r="O875" s="374" t="str">
        <f>IF(LEN($M875)=1,VLOOKUP(LEFT($M875,1),B868:I875,5,FALSE),IF(LEN($M875)=2,VLOOKUP(LEFT($M875,1),B868:I875,7,FALSE),""))</f>
        <v/>
      </c>
      <c r="P875" s="411" t="str">
        <f>IF(LEN($M875)=1,VLOOKUP(LEFT($M875,1),B868:I875,6,FALSE),IF(LEN($M875)=2,VLOOKUP(LEFT($M875,1),B868:I875,8,FALSE),""))</f>
        <v/>
      </c>
      <c r="Q875" s="407" t="s">
        <v>278</v>
      </c>
      <c r="R875" s="523" t="str">
        <f t="shared" si="775"/>
        <v/>
      </c>
      <c r="S875" s="928"/>
      <c r="T875" s="932"/>
      <c r="U875" s="374" t="str">
        <f>IF(LEN($S875)=1,VLOOKUP(LEFT($S875,1),B868:I875,5,FALSE),IF(LEN($S875)=2,VLOOKUP(LEFT($S875,1),B868:I875,7,FALSE),""))</f>
        <v/>
      </c>
      <c r="V875" s="411" t="str">
        <f>IF(LEN($S875)=1,VLOOKUP(LEFT($S875,1),B868:I875,6,FALSE),IF(LEN($S875)=2,VLOOKUP(LEFT($S875,1),B868:I875,8,FALSE),""))</f>
        <v/>
      </c>
      <c r="W875" s="418">
        <f t="shared" si="782"/>
        <v>1</v>
      </c>
      <c r="Y875" s="25">
        <v>42</v>
      </c>
      <c r="Z875" s="25">
        <f t="shared" si="776"/>
        <v>0</v>
      </c>
      <c r="AA875" s="523">
        <f t="shared" si="777"/>
        <v>0</v>
      </c>
      <c r="AC875" s="25" t="str">
        <f t="shared" si="778"/>
        <v>Y</v>
      </c>
      <c r="AD875" s="624" t="str">
        <f t="shared" si="778"/>
        <v>Worcester</v>
      </c>
      <c r="AE875" s="624">
        <f>IF(ISNA(MATCH(AC875,N867:N876,0)),0,VLOOKUP(AC875,N867:S876,5,FALSE))</f>
        <v>0</v>
      </c>
      <c r="AF875" s="624" t="str">
        <f t="shared" ref="AF875" si="783">IF(ISNA(MATCH(AC875,T867:T876,0))," ",VLOOKUP(AC875,T867:Y876,5,FALSE))</f>
        <v xml:space="preserve"> </v>
      </c>
      <c r="AG875" s="624">
        <f>IF(ISNA(MATCH(AC875,L868:L875,0)),0,VLOOKUP(AC875,L868:N875,3,FALSE))</f>
        <v>0</v>
      </c>
      <c r="AH875" s="624">
        <f>IF(ISNA(MATCH(AC875,R868:R875,0)),0,VLOOKUP(AC875,R868:T875,3,FALSE))</f>
        <v>0</v>
      </c>
      <c r="AI875" s="624">
        <f>IF(ISNA(MATCH(AC875,L868:L875,0)),0,VLOOKUP(AC875,L868:P875,4,FALSE))</f>
        <v>0</v>
      </c>
      <c r="AJ875" s="624">
        <f>IF(ISNA(MATCH(AC875,R868:R875,0)),0,VLOOKUP(AC875,R868:U875,4,FALSE))</f>
        <v>0</v>
      </c>
      <c r="AK875" s="116">
        <f t="shared" si="779"/>
        <v>0</v>
      </c>
      <c r="AL875" s="116">
        <f t="shared" si="780"/>
        <v>0</v>
      </c>
      <c r="AM875" s="116">
        <f>IF(ISNA(MATCH(AC875,L868:L875,0)),0,VLOOKUP(AC875,L868:W875,AM$1,FALSE))</f>
        <v>0</v>
      </c>
      <c r="AN875" s="523">
        <f>IF(ISNA(MATCH(AC875,R868:R875,0)),0,VLOOKUP(AC875,R868:W875,AN$1,FALSE))</f>
        <v>0</v>
      </c>
      <c r="AP875" s="928"/>
      <c r="AQ875" s="932"/>
    </row>
    <row r="876" spans="1:47" ht="15" thickBot="1" x14ac:dyDescent="0.35">
      <c r="M876" s="276"/>
      <c r="N876" s="307"/>
      <c r="S876" s="276"/>
      <c r="T876" s="307"/>
      <c r="AP876" s="276"/>
      <c r="AQ876" s="307"/>
    </row>
    <row r="877" spans="1:47" x14ac:dyDescent="0.3">
      <c r="B877" s="400" t="s">
        <v>258</v>
      </c>
      <c r="C877" s="398"/>
      <c r="D877" s="401" t="s">
        <v>165</v>
      </c>
      <c r="E877" s="398"/>
      <c r="F877" s="398"/>
      <c r="G877" s="402" t="s">
        <v>259</v>
      </c>
      <c r="H877" s="403" t="s">
        <v>249</v>
      </c>
      <c r="I877" s="404" t="s">
        <v>168</v>
      </c>
      <c r="K877" s="360"/>
      <c r="L877" s="661"/>
      <c r="M877" s="387" t="s">
        <v>260</v>
      </c>
      <c r="N877" s="387" t="s">
        <v>261</v>
      </c>
      <c r="O877" s="387" t="s">
        <v>262</v>
      </c>
      <c r="P877" s="388" t="s">
        <v>75</v>
      </c>
      <c r="Q877" s="389"/>
      <c r="R877" s="657"/>
      <c r="S877" s="387" t="s">
        <v>260</v>
      </c>
      <c r="T877" s="387" t="s">
        <v>261</v>
      </c>
      <c r="U877" s="387" t="s">
        <v>262</v>
      </c>
      <c r="V877" s="388" t="s">
        <v>75</v>
      </c>
      <c r="W877" s="672" t="s">
        <v>76</v>
      </c>
      <c r="Y877" s="414" t="s">
        <v>263</v>
      </c>
      <c r="Z877" s="656" t="s">
        <v>74</v>
      </c>
      <c r="AA877" s="657" t="s">
        <v>75</v>
      </c>
      <c r="AC877" s="665" t="s">
        <v>71</v>
      </c>
      <c r="AD877" s="657" t="s">
        <v>86</v>
      </c>
      <c r="AE877" s="661" t="s">
        <v>149</v>
      </c>
      <c r="AF877" s="661" t="s">
        <v>94</v>
      </c>
      <c r="AG877" s="661" t="s">
        <v>149</v>
      </c>
      <c r="AH877" s="661" t="s">
        <v>94</v>
      </c>
      <c r="AI877" s="661" t="s">
        <v>149</v>
      </c>
      <c r="AJ877" s="661" t="s">
        <v>94</v>
      </c>
      <c r="AK877" s="1332" t="s">
        <v>149</v>
      </c>
      <c r="AL877" s="661" t="s">
        <v>94</v>
      </c>
      <c r="AM877" s="1406" t="s">
        <v>76</v>
      </c>
      <c r="AN877" s="1407"/>
      <c r="AP877" s="387" t="s">
        <v>260</v>
      </c>
      <c r="AQ877" s="387" t="s">
        <v>261</v>
      </c>
      <c r="AS877" s="1218" t="s">
        <v>165</v>
      </c>
      <c r="AT877" s="1219" t="s">
        <v>79</v>
      </c>
      <c r="AU877" s="1220" t="s">
        <v>80</v>
      </c>
    </row>
    <row r="878" spans="1:47" ht="15" thickBot="1" x14ac:dyDescent="0.35">
      <c r="B878" s="405">
        <v>79</v>
      </c>
      <c r="C878" s="399"/>
      <c r="D878" s="385" t="str">
        <f>VLOOKUP($B878,EventOrder,6,FALSE)</f>
        <v xml:space="preserve"> </v>
      </c>
      <c r="E878" s="399"/>
      <c r="F878" s="385"/>
      <c r="G878" s="386" t="str">
        <f>VLOOKUP($B878,EventOrder,4,FALSE)</f>
        <v/>
      </c>
      <c r="H878" s="396" t="str">
        <f>IF(MID(G878,5,1)="F","F","M")</f>
        <v>M</v>
      </c>
      <c r="I878" s="397" t="str">
        <f>VLOOKUP($B878,EventOrder,2,FALSE)</f>
        <v/>
      </c>
      <c r="K878" s="377"/>
      <c r="L878" s="667" t="s">
        <v>149</v>
      </c>
      <c r="M878" s="409" t="s">
        <v>264</v>
      </c>
      <c r="N878" s="409" t="s">
        <v>265</v>
      </c>
      <c r="O878" s="390" t="s">
        <v>266</v>
      </c>
      <c r="P878" s="391"/>
      <c r="Q878" s="392"/>
      <c r="R878" s="659" t="s">
        <v>94</v>
      </c>
      <c r="S878" s="409" t="s">
        <v>264</v>
      </c>
      <c r="T878" s="409" t="s">
        <v>265</v>
      </c>
      <c r="U878" s="390" t="s">
        <v>266</v>
      </c>
      <c r="V878" s="391"/>
      <c r="W878" s="671"/>
      <c r="Y878" s="415" t="s">
        <v>167</v>
      </c>
      <c r="Z878" s="658" t="s">
        <v>149</v>
      </c>
      <c r="AA878" s="659" t="s">
        <v>94</v>
      </c>
      <c r="AC878" s="666"/>
      <c r="AD878" s="668"/>
      <c r="AE878" s="768" t="s">
        <v>75</v>
      </c>
      <c r="AF878" s="768" t="s">
        <v>75</v>
      </c>
      <c r="AG878" s="768" t="s">
        <v>267</v>
      </c>
      <c r="AH878" s="768" t="s">
        <v>267</v>
      </c>
      <c r="AI878" s="768" t="s">
        <v>268</v>
      </c>
      <c r="AJ878" s="768" t="s">
        <v>268</v>
      </c>
      <c r="AK878" s="770" t="s">
        <v>269</v>
      </c>
      <c r="AL878" s="768" t="s">
        <v>269</v>
      </c>
      <c r="AM878" s="667" t="s">
        <v>149</v>
      </c>
      <c r="AN878" s="659" t="s">
        <v>94</v>
      </c>
      <c r="AP878" s="409" t="s">
        <v>264</v>
      </c>
      <c r="AQ878" s="409" t="s">
        <v>265</v>
      </c>
      <c r="AS878" s="1221" t="s">
        <v>270</v>
      </c>
      <c r="AT878" s="1222" t="s">
        <v>270</v>
      </c>
      <c r="AU878" s="1223" t="s">
        <v>270</v>
      </c>
    </row>
    <row r="879" spans="1:47" ht="15.6" x14ac:dyDescent="0.3">
      <c r="A879" s="416">
        <f>(B878*10)+1</f>
        <v>791</v>
      </c>
      <c r="B879" s="362" t="str">
        <f>'Event Details'!D$22</f>
        <v>S</v>
      </c>
      <c r="C879" s="381" t="str">
        <f>'Event Details'!E$22</f>
        <v>BRAT</v>
      </c>
      <c r="D879" s="379"/>
      <c r="E879" s="378"/>
      <c r="F879" s="363" t="e">
        <f>VLOOKUP($B878,IF($H878="F",TeamSheetFemale,TeamSheetMale),$Y879-1,FALSE)</f>
        <v>#N/A</v>
      </c>
      <c r="G879" s="380" t="e">
        <f>VLOOKUP($B878,IF($H878="F",TeamSheetFemale,TeamSheetMale),$Y879,FALSE)</f>
        <v>#N/A</v>
      </c>
      <c r="H879" s="363" t="e">
        <f>VLOOKUP($B878,IF($H878="F",TeamSheetFemale,TeamSheetMale),$Y879+1,FALSE)</f>
        <v>#N/A</v>
      </c>
      <c r="I879" s="364" t="e">
        <f>VLOOKUP($B878,IF($H878="F",TeamSheetFemale,TeamSheetMale),$Y879+2,FALSE)</f>
        <v>#N/A</v>
      </c>
      <c r="K879" s="393" t="s">
        <v>271</v>
      </c>
      <c r="L879" s="16" t="str">
        <f t="shared" ref="L879:L886" si="784">LEFT(M879,1)</f>
        <v/>
      </c>
      <c r="M879" s="926"/>
      <c r="N879" s="926"/>
      <c r="O879" s="394" t="str">
        <f>IF(LEN($M879)=1,VLOOKUP(LEFT($M879,1),B879:I886,5,FALSE),IF(LEN($M879)=2,VLOOKUP(LEFT($M879,1),B879:I886,7,FALSE),""))</f>
        <v/>
      </c>
      <c r="P879" s="395" t="str">
        <f>IF(LEN($M879)=1,VLOOKUP(LEFT($M879,1),B879:I886,6,FALSE),IF(LEN($M879)=2,VLOOKUP(LEFT($M879,1),B879:I886,8,FALSE),""))</f>
        <v/>
      </c>
      <c r="Q879" s="393" t="s">
        <v>271</v>
      </c>
      <c r="R879" s="146" t="str">
        <f t="shared" ref="R879:R886" si="785">LEFT(S879,1)</f>
        <v/>
      </c>
      <c r="S879" s="926"/>
      <c r="T879" s="926"/>
      <c r="U879" s="394" t="str">
        <f>IF(LEN($S879)=1,VLOOKUP(LEFT($S879,1),B879:I886,5,FALSE),IF(LEN($S879)=2,VLOOKUP(LEFT($S879,1),B879:I886,7,FALSE),""))</f>
        <v/>
      </c>
      <c r="V879" s="395" t="str">
        <f>IF(LEN($S879)=1,VLOOKUP(LEFT($S879,1),B879:I886,6,FALSE),IF(LEN($S879)=2,VLOOKUP(LEFT($S879,1),B879:I886,8,FALSE),""))</f>
        <v/>
      </c>
      <c r="W879" s="417">
        <f>AN$6</f>
        <v>8</v>
      </c>
      <c r="Y879" s="416">
        <v>7</v>
      </c>
      <c r="Z879" s="653">
        <f t="shared" ref="Z879:Z886" si="786">IF(LEN(M879)&gt;0,VLOOKUP(LEFT(M879,1),ShortName,5,FALSE),0)</f>
        <v>0</v>
      </c>
      <c r="AA879" s="138">
        <f t="shared" ref="AA879:AA886" si="787">IF(LEN(S879)&gt;0,VLOOKUP(LEFT(S879,1),ShortName,5,FALSE),0)</f>
        <v>0</v>
      </c>
      <c r="AC879" s="16" t="str">
        <f t="shared" ref="AC879:AD886" si="788">B879</f>
        <v>S</v>
      </c>
      <c r="AD879" s="419" t="str">
        <f t="shared" si="788"/>
        <v>BRAT</v>
      </c>
      <c r="AE879" s="635">
        <f>IF(ISNA(MATCH(AC879,N879:N888,0)),0,VLOOKUP(AC879,N879:S888,5,FALSE))</f>
        <v>0</v>
      </c>
      <c r="AF879" s="635" t="str">
        <f>IF(ISNA(MATCH(AC879,T879:T888,0))," ",VLOOKUP(AC879,T879:Y888,5,FALSE))</f>
        <v xml:space="preserve"> </v>
      </c>
      <c r="AG879" s="635">
        <f>IF(ISNA(MATCH(AC879,L879:L886,0)),0,VLOOKUP(AC879,L879:N886,3,FALSE))</f>
        <v>0</v>
      </c>
      <c r="AH879" s="635">
        <f>IF(ISNA(MATCH(AC879,R879:R886,0)),0,VLOOKUP(AC879,R879:T886,3,FALSE))</f>
        <v>0</v>
      </c>
      <c r="AI879" s="635">
        <f>IF(ISNA(MATCH(AC879,L879:L886,0)),0,VLOOKUP(AC879,L879:P886,4,FALSE))</f>
        <v>0</v>
      </c>
      <c r="AJ879" s="635">
        <f>IF(ISNA(MATCH(AC879,R879:R886,0)),0,VLOOKUP(AC879,R879:U886,4,FALSE))</f>
        <v>0</v>
      </c>
      <c r="AK879" s="49">
        <f t="shared" ref="AK879:AK886" si="789">IF(AM879=0,0,AN$6-(AM879-1))</f>
        <v>0</v>
      </c>
      <c r="AL879" s="49">
        <f t="shared" ref="AL879:AL886" si="790">IF(AN879=0,0,AN$6-(AN879-1))</f>
        <v>0</v>
      </c>
      <c r="AM879" s="49">
        <f>IF(ISNA(MATCH(AC879,L879:L886,0)),0,VLOOKUP(AC879,L879:W886,AM$1,FALSE))</f>
        <v>0</v>
      </c>
      <c r="AN879" s="138">
        <f>IF(ISNA(MATCH(AC879,R879:R886,0)),0,VLOOKUP(AC879,R879:W886,AN$1,FALSE))</f>
        <v>0</v>
      </c>
      <c r="AP879" s="926"/>
      <c r="AQ879" s="926"/>
      <c r="AS879" s="32">
        <f>IF(LEN(N879)&gt;0,1,0)</f>
        <v>0</v>
      </c>
      <c r="AT879" s="32">
        <f>IF(AND(AS879=1,H878="M"),1,0)</f>
        <v>0</v>
      </c>
      <c r="AU879" s="32">
        <f>IF(AND(AS879=1,H878="F"),1,0)</f>
        <v>0</v>
      </c>
    </row>
    <row r="880" spans="1:47" ht="15.6" x14ac:dyDescent="0.3">
      <c r="A880" s="417">
        <f>A879+1</f>
        <v>792</v>
      </c>
      <c r="B880" s="362" t="str">
        <f>'Event Details'!D$23</f>
        <v>U</v>
      </c>
      <c r="C880" s="381" t="str">
        <f>'Event Details'!E$23</f>
        <v>Kidder &amp; Stourport</v>
      </c>
      <c r="D880" s="379"/>
      <c r="E880" s="378"/>
      <c r="F880" s="363" t="e">
        <f>VLOOKUP($B878,IF($H878="F",TeamSheetFemale,TeamSheetMale),$Y880-1,FALSE)</f>
        <v>#N/A</v>
      </c>
      <c r="G880" s="380" t="e">
        <f>VLOOKUP($B878,IF($H878="F",TeamSheetFemale,TeamSheetMale),$Y880,FALSE)</f>
        <v>#N/A</v>
      </c>
      <c r="H880" s="363" t="e">
        <f>VLOOKUP($B878,IF($H878="F",TeamSheetFemale,TeamSheetMale),$Y880+1,FALSE)</f>
        <v>#N/A</v>
      </c>
      <c r="I880" s="364" t="e">
        <f>VLOOKUP($B878,IF($H878="F",TeamSheetFemale,TeamSheetMale),$Y880+2,FALSE)</f>
        <v>#N/A</v>
      </c>
      <c r="K880" s="341" t="s">
        <v>272</v>
      </c>
      <c r="L880" s="16" t="str">
        <f t="shared" si="784"/>
        <v/>
      </c>
      <c r="M880" s="927"/>
      <c r="N880" s="927"/>
      <c r="O880" s="353" t="str">
        <f>IF(LEN($M880)=1,VLOOKUP(LEFT($M880,1),B879:I886,5,FALSE),IF(LEN($M880)=2,VLOOKUP(LEFT($M880,1),B879:I886,7,FALSE),""))</f>
        <v/>
      </c>
      <c r="P880" s="373" t="str">
        <f>IF(LEN($M880)=1,VLOOKUP(LEFT($M880,1),B879:I886,6,FALSE),IF(LEN($M880)=2,VLOOKUP(LEFT($M880,1),B879:I886,8,FALSE),""))</f>
        <v/>
      </c>
      <c r="Q880" s="341" t="s">
        <v>272</v>
      </c>
      <c r="R880" s="146" t="str">
        <f t="shared" si="785"/>
        <v/>
      </c>
      <c r="S880" s="927"/>
      <c r="T880" s="927"/>
      <c r="U880" s="353" t="str">
        <f>IF(LEN($S880)=1,VLOOKUP(LEFT($S880,1),B879:I886,5,FALSE),IF(LEN($S880)=2,VLOOKUP(LEFT($S880,1),B879:I886,7,FALSE),""))</f>
        <v/>
      </c>
      <c r="V880" s="373" t="str">
        <f>IF(LEN($S880)=1,VLOOKUP(LEFT($S880,1),B879:I886,6,FALSE),IF(LEN($S880)=2,VLOOKUP(LEFT($S880,1),B879:I886,8,FALSE),""))</f>
        <v/>
      </c>
      <c r="W880" s="417">
        <f>W879-1</f>
        <v>7</v>
      </c>
      <c r="Y880" s="417">
        <v>12</v>
      </c>
      <c r="Z880" s="16">
        <f t="shared" si="786"/>
        <v>0</v>
      </c>
      <c r="AA880" s="146">
        <f t="shared" si="787"/>
        <v>0</v>
      </c>
      <c r="AC880" s="16" t="str">
        <f t="shared" si="788"/>
        <v>U</v>
      </c>
      <c r="AD880" s="419" t="str">
        <f t="shared" si="788"/>
        <v>Kidder &amp; Stourport</v>
      </c>
      <c r="AE880" s="419">
        <f>IF(ISNA(MATCH(AC880,N879:N888,0)),0,VLOOKUP(AC880,N879:S888,5,FALSE))</f>
        <v>0</v>
      </c>
      <c r="AF880" s="419" t="str">
        <f>IF(ISNA(MATCH(AC880,T879:T888,0))," ",VLOOKUP(AC880,T879:Y888,5,FALSE))</f>
        <v xml:space="preserve"> </v>
      </c>
      <c r="AG880" s="419">
        <f>IF(ISNA(MATCH(AC880,L879:L886,0)),0,VLOOKUP(AC880,L879:N886,3,FALSE))</f>
        <v>0</v>
      </c>
      <c r="AH880" s="419">
        <f>IF(ISNA(MATCH(AC880,R879:R886,0)),0,VLOOKUP(AC880,R879:T886,3,FALSE))</f>
        <v>0</v>
      </c>
      <c r="AI880" s="419">
        <f>IF(ISNA(MATCH(AC880,L879:L886,0)),0,VLOOKUP(AC880,L879:P886,4,FALSE))</f>
        <v>0</v>
      </c>
      <c r="AJ880" s="419">
        <f>IF(ISNA(MATCH(AC880,R879:R886,0)),0,VLOOKUP(AC880,R879:U886,4,FALSE))</f>
        <v>0</v>
      </c>
      <c r="AK880" s="32">
        <f t="shared" si="789"/>
        <v>0</v>
      </c>
      <c r="AL880" s="32">
        <f t="shared" si="790"/>
        <v>0</v>
      </c>
      <c r="AM880" s="32">
        <f>IF(ISNA(MATCH(AC880,L879:L886,0)),0,VLOOKUP(AC880,L879:W886,AM$1,FALSE))</f>
        <v>0</v>
      </c>
      <c r="AN880" s="146">
        <f>IF(ISNA(MATCH(AC880,R879:R886,0)),0,VLOOKUP(AC880,R879:W886,AN$1,FALSE))</f>
        <v>0</v>
      </c>
      <c r="AP880" s="927"/>
      <c r="AQ880" s="927"/>
    </row>
    <row r="881" spans="1:47" ht="15.6" x14ac:dyDescent="0.3">
      <c r="A881" s="417">
        <f t="shared" ref="A881:A886" si="791">A880+1</f>
        <v>793</v>
      </c>
      <c r="B881" s="362" t="str">
        <f>'Event Details'!D$24</f>
        <v>G</v>
      </c>
      <c r="C881" s="381" t="str">
        <f>'Event Details'!E$24</f>
        <v>Royal Sutton</v>
      </c>
      <c r="D881" s="379"/>
      <c r="E881" s="378"/>
      <c r="F881" s="363" t="e">
        <f>VLOOKUP($B878,IF($H878="F",TeamSheetFemale,TeamSheetMale),$Y881-1,FALSE)</f>
        <v>#N/A</v>
      </c>
      <c r="G881" s="380" t="e">
        <f>VLOOKUP($B878,IF($H878="F",TeamSheetFemale,TeamSheetMale),$Y881,FALSE)</f>
        <v>#N/A</v>
      </c>
      <c r="H881" s="363" t="e">
        <f>VLOOKUP($B878,IF($H878="F",TeamSheetFemale,TeamSheetMale),$Y881+1,FALSE)</f>
        <v>#N/A</v>
      </c>
      <c r="I881" s="364" t="e">
        <f>VLOOKUP($B878,IF($H878="F",TeamSheetFemale,TeamSheetMale),$Y881+2,FALSE)</f>
        <v>#N/A</v>
      </c>
      <c r="K881" s="341" t="s">
        <v>273</v>
      </c>
      <c r="L881" s="16" t="str">
        <f t="shared" si="784"/>
        <v/>
      </c>
      <c r="M881" s="927"/>
      <c r="N881" s="927"/>
      <c r="O881" s="353" t="str">
        <f>IF(LEN($M881)=1,VLOOKUP(LEFT($M881,1),B879:I886,5,FALSE),IF(LEN($M881)=2,VLOOKUP(LEFT($M881,1),B879:I886,7,FALSE),""))</f>
        <v/>
      </c>
      <c r="P881" s="373" t="str">
        <f>IF(LEN($M881)=1,VLOOKUP(LEFT($M881,1),B879:I886,6,FALSE),IF(LEN($M881)=2,VLOOKUP(LEFT($M881,1),B879:I886,8,FALSE),""))</f>
        <v/>
      </c>
      <c r="Q881" s="341" t="s">
        <v>273</v>
      </c>
      <c r="R881" s="146" t="str">
        <f t="shared" si="785"/>
        <v/>
      </c>
      <c r="S881" s="927"/>
      <c r="T881" s="927"/>
      <c r="U881" s="353" t="str">
        <f>IF(LEN($S881)=1,VLOOKUP(LEFT($S881,1),B879:I886,5,FALSE),IF(LEN($S881)=2,VLOOKUP(LEFT($S881,1),B879:I886,7,FALSE),""))</f>
        <v/>
      </c>
      <c r="V881" s="373" t="str">
        <f>IF(LEN($S881)=1,VLOOKUP(LEFT($S881,1),B879:I886,6,FALSE),IF(LEN($S881)=2,VLOOKUP(LEFT($S881,1),B879:I886,8,FALSE),""))</f>
        <v/>
      </c>
      <c r="W881" s="417">
        <f t="shared" ref="W881:W886" si="792">W880-1</f>
        <v>6</v>
      </c>
      <c r="Y881" s="417">
        <v>17</v>
      </c>
      <c r="Z881" s="16">
        <f t="shared" si="786"/>
        <v>0</v>
      </c>
      <c r="AA881" s="146">
        <f t="shared" si="787"/>
        <v>0</v>
      </c>
      <c r="AB881" s="32"/>
      <c r="AC881" s="16" t="str">
        <f t="shared" si="788"/>
        <v>G</v>
      </c>
      <c r="AD881" s="419" t="str">
        <f t="shared" si="788"/>
        <v>Royal Sutton</v>
      </c>
      <c r="AE881" s="419">
        <f>IF(ISNA(MATCH(AC881,N879:N888,0)),0,VLOOKUP(AC881,N879:S888,5,FALSE))</f>
        <v>0</v>
      </c>
      <c r="AF881" s="419" t="str">
        <f>IF(ISNA(MATCH(AC881,T879:T888,0))," ",VLOOKUP(AC881,T879:Y888,5,FALSE))</f>
        <v xml:space="preserve"> </v>
      </c>
      <c r="AG881" s="419">
        <f>IF(ISNA(MATCH(AC881,L879:L886,0)),0,VLOOKUP(AC881,L879:N886,3,FALSE))</f>
        <v>0</v>
      </c>
      <c r="AH881" s="419">
        <f>IF(ISNA(MATCH(AC881,R879:R886,0)),0,VLOOKUP(AC881,R879:T886,3,FALSE))</f>
        <v>0</v>
      </c>
      <c r="AI881" s="419">
        <f>IF(ISNA(MATCH(AC881,L879:L886,0)),0,VLOOKUP(AC881,L879:P886,4,FALSE))</f>
        <v>0</v>
      </c>
      <c r="AJ881" s="419">
        <f>IF(ISNA(MATCH(AC881,R879:R886,0)),0,VLOOKUP(AC881,R879:U886,4,FALSE))</f>
        <v>0</v>
      </c>
      <c r="AK881" s="32">
        <f t="shared" si="789"/>
        <v>0</v>
      </c>
      <c r="AL881" s="32">
        <f t="shared" si="790"/>
        <v>0</v>
      </c>
      <c r="AM881" s="32">
        <f>IF(ISNA(MATCH(AC881,L879:L886,0)),0,VLOOKUP(AC881,L879:W886,AM$1,FALSE))</f>
        <v>0</v>
      </c>
      <c r="AN881" s="146">
        <f>IF(ISNA(MATCH(AC881,R879:R886,0)),0,VLOOKUP(AC881,R879:W886,AN$1,FALSE))</f>
        <v>0</v>
      </c>
      <c r="AP881" s="927"/>
      <c r="AQ881" s="927"/>
    </row>
    <row r="882" spans="1:47" ht="15.6" x14ac:dyDescent="0.3">
      <c r="A882" s="417">
        <f t="shared" si="791"/>
        <v>794</v>
      </c>
      <c r="B882" s="362" t="str">
        <f>'Event Details'!D$25</f>
        <v>R</v>
      </c>
      <c r="C882" s="381" t="str">
        <f>'Event Details'!E$25</f>
        <v>Rugby &amp; N'hampton</v>
      </c>
      <c r="D882" s="379"/>
      <c r="E882" s="378"/>
      <c r="F882" s="363" t="e">
        <f>VLOOKUP($B878,IF($H878="F",TeamSheetFemale,TeamSheetMale),$Y882-1,FALSE)</f>
        <v>#N/A</v>
      </c>
      <c r="G882" s="380" t="e">
        <f>VLOOKUP($B878,IF($H878="F",TeamSheetFemale,TeamSheetMale),$Y882,FALSE)</f>
        <v>#N/A</v>
      </c>
      <c r="H882" s="363" t="e">
        <f>VLOOKUP($B878,IF($H878="F",TeamSheetFemale,TeamSheetMale),$Y882+1,FALSE)</f>
        <v>#N/A</v>
      </c>
      <c r="I882" s="364" t="e">
        <f>VLOOKUP($B878,IF($H878="F",TeamSheetFemale,TeamSheetMale),$Y882+2,FALSE)</f>
        <v>#N/A</v>
      </c>
      <c r="K882" s="341" t="s">
        <v>274</v>
      </c>
      <c r="L882" s="16" t="str">
        <f t="shared" si="784"/>
        <v/>
      </c>
      <c r="M882" s="927"/>
      <c r="N882" s="927"/>
      <c r="O882" s="353" t="str">
        <f>IF(LEN($M882)=1,VLOOKUP(LEFT($M882,1),B879:I886,5,FALSE),IF(LEN($M882)=2,VLOOKUP(LEFT($M882,1),B879:I886,7,FALSE),""))</f>
        <v/>
      </c>
      <c r="P882" s="373" t="str">
        <f>IF(LEN($M882)=1,VLOOKUP(LEFT($M882,1),B879:I886,6,FALSE),IF(LEN($M882)=2,VLOOKUP(LEFT($M882,1),B879:I886,8,FALSE),""))</f>
        <v/>
      </c>
      <c r="Q882" s="341" t="s">
        <v>274</v>
      </c>
      <c r="R882" s="146" t="str">
        <f t="shared" si="785"/>
        <v/>
      </c>
      <c r="S882" s="927"/>
      <c r="T882" s="927"/>
      <c r="U882" s="353" t="str">
        <f>IF(LEN($S882)=1,VLOOKUP(LEFT($S882,1),B879:I886,5,FALSE),IF(LEN($S882)=2,VLOOKUP(LEFT($S882,1),B879:I886,7,FALSE),""))</f>
        <v/>
      </c>
      <c r="V882" s="373" t="str">
        <f>IF(LEN($S882)=1,VLOOKUP(LEFT($S882,1),B879:I886,6,FALSE),IF(LEN($S882)=2,VLOOKUP(LEFT($S882,1),B879:I886,8,FALSE),""))</f>
        <v/>
      </c>
      <c r="W882" s="417">
        <f t="shared" si="792"/>
        <v>5</v>
      </c>
      <c r="Y882" s="417">
        <v>22</v>
      </c>
      <c r="Z882" s="16">
        <f t="shared" si="786"/>
        <v>0</v>
      </c>
      <c r="AA882" s="146">
        <f t="shared" si="787"/>
        <v>0</v>
      </c>
      <c r="AB882" s="32"/>
      <c r="AC882" s="16" t="str">
        <f t="shared" si="788"/>
        <v>R</v>
      </c>
      <c r="AD882" s="419" t="str">
        <f t="shared" si="788"/>
        <v>Rugby &amp; N'hampton</v>
      </c>
      <c r="AE882" s="419">
        <f>IF(ISNA(MATCH(AC882,N879:N888,0)),0,VLOOKUP(AC882,N879:S888,5,FALSE))</f>
        <v>0</v>
      </c>
      <c r="AF882" s="419" t="str">
        <f>IF(ISNA(MATCH(AC882,T879:T888,0))," ",VLOOKUP(AC882,T879:Y888,5,FALSE))</f>
        <v xml:space="preserve"> </v>
      </c>
      <c r="AG882" s="419">
        <f>IF(ISNA(MATCH(AC882,L879:L886,0)),0,VLOOKUP(AC882,L879:N886,3,FALSE))</f>
        <v>0</v>
      </c>
      <c r="AH882" s="419">
        <f>IF(ISNA(MATCH(AC882,R879:R886,0)),0,VLOOKUP(AC882,R879:T886,3,FALSE))</f>
        <v>0</v>
      </c>
      <c r="AI882" s="419">
        <f>IF(ISNA(MATCH(AC882,L879:L886,0)),0,VLOOKUP(AC882,L879:P886,4,FALSE))</f>
        <v>0</v>
      </c>
      <c r="AJ882" s="419">
        <f>IF(ISNA(MATCH(AC882,R879:R886,0)),0,VLOOKUP(AC882,R879:U886,4,FALSE))</f>
        <v>0</v>
      </c>
      <c r="AK882" s="32">
        <f t="shared" si="789"/>
        <v>0</v>
      </c>
      <c r="AL882" s="32">
        <f t="shared" si="790"/>
        <v>0</v>
      </c>
      <c r="AM882" s="32">
        <f>IF(ISNA(MATCH(AC882,L879:L886,0)),0,VLOOKUP(AC882,L879:W886,AM$1,FALSE))</f>
        <v>0</v>
      </c>
      <c r="AN882" s="146">
        <f>IF(ISNA(MATCH(AC882,R879:R886,0)),0,VLOOKUP(AC882,R879:W886,AN$1,FALSE))</f>
        <v>0</v>
      </c>
      <c r="AP882" s="927"/>
      <c r="AQ882" s="927"/>
    </row>
    <row r="883" spans="1:47" ht="15.6" x14ac:dyDescent="0.3">
      <c r="A883" s="417">
        <f t="shared" si="791"/>
        <v>795</v>
      </c>
      <c r="B883" s="362" t="str">
        <f>'Event Details'!D$26</f>
        <v>M</v>
      </c>
      <c r="C883" s="381" t="str">
        <f>'Event Details'!E$26</f>
        <v>Solihull &amp; S.Heath</v>
      </c>
      <c r="D883" s="379"/>
      <c r="E883" s="378"/>
      <c r="F883" s="363" t="e">
        <f>VLOOKUP($B878,IF($H878="F",TeamSheetFemale,TeamSheetMale),$Y883-1,FALSE)</f>
        <v>#N/A</v>
      </c>
      <c r="G883" s="380" t="e">
        <f>VLOOKUP($B878,IF($H878="F",TeamSheetFemale,TeamSheetMale),$Y883,FALSE)</f>
        <v>#N/A</v>
      </c>
      <c r="H883" s="363" t="e">
        <f>VLOOKUP($B878,IF($H878="F",TeamSheetFemale,TeamSheetMale),$Y883+1,FALSE)</f>
        <v>#N/A</v>
      </c>
      <c r="I883" s="364" t="e">
        <f>VLOOKUP($B878,IF($H878="F",TeamSheetFemale,TeamSheetMale),$Y883+2,FALSE)</f>
        <v>#N/A</v>
      </c>
      <c r="K883" s="341" t="s">
        <v>275</v>
      </c>
      <c r="L883" s="16" t="str">
        <f t="shared" si="784"/>
        <v/>
      </c>
      <c r="M883" s="927"/>
      <c r="N883" s="927"/>
      <c r="O883" s="353" t="str">
        <f>IF(LEN($M883)=1,VLOOKUP(LEFT($M883,1),B879:I886,5,FALSE),IF(LEN($M883)=2,VLOOKUP(LEFT($M883,1),B879:I886,7,FALSE),""))</f>
        <v/>
      </c>
      <c r="P883" s="373" t="str">
        <f>IF(LEN($M883)=1,VLOOKUP(LEFT($M883,1),B879:I886,6,FALSE),IF(LEN($M883)=2,VLOOKUP(LEFT($M883,1),B879:I886,8,FALSE),""))</f>
        <v/>
      </c>
      <c r="Q883" s="341" t="s">
        <v>275</v>
      </c>
      <c r="R883" s="146" t="str">
        <f t="shared" si="785"/>
        <v/>
      </c>
      <c r="S883" s="927"/>
      <c r="T883" s="927"/>
      <c r="U883" s="353" t="str">
        <f>IF(LEN($S883)=1,VLOOKUP(LEFT($S883,1),B879:I886,5,FALSE),IF(LEN($S883)=2,VLOOKUP(LEFT($S883,1),B879:I886,7,FALSE),""))</f>
        <v/>
      </c>
      <c r="V883" s="373" t="str">
        <f>IF(LEN($S883)=1,VLOOKUP(LEFT($S883,1),B879:I886,6,FALSE),IF(LEN($S883)=2,VLOOKUP(LEFT($S883,1),B879:I886,8,FALSE),""))</f>
        <v/>
      </c>
      <c r="W883" s="417">
        <f t="shared" si="792"/>
        <v>4</v>
      </c>
      <c r="Y883" s="417">
        <v>27</v>
      </c>
      <c r="Z883" s="16">
        <f t="shared" si="786"/>
        <v>0</v>
      </c>
      <c r="AA883" s="146">
        <f t="shared" si="787"/>
        <v>0</v>
      </c>
      <c r="AB883" s="32"/>
      <c r="AC883" s="16" t="str">
        <f t="shared" si="788"/>
        <v>M</v>
      </c>
      <c r="AD883" s="419" t="str">
        <f t="shared" si="788"/>
        <v>Solihull &amp; S.Heath</v>
      </c>
      <c r="AE883" s="419">
        <f>IF(ISNA(MATCH(AC883,N879:N888,0)),0,VLOOKUP(AC883,N879:S888,5,FALSE))</f>
        <v>0</v>
      </c>
      <c r="AF883" s="419" t="str">
        <f>IF(ISNA(MATCH(AC883,T879:T888,0))," ",VLOOKUP(AC883,T879:Y888,5,FALSE))</f>
        <v xml:space="preserve"> </v>
      </c>
      <c r="AG883" s="419">
        <f>IF(ISNA(MATCH(AC883,L879:L886,0)),0,VLOOKUP(AC883,L879:N886,3,FALSE))</f>
        <v>0</v>
      </c>
      <c r="AH883" s="419">
        <f>IF(ISNA(MATCH(AC883,R879:R886,0)),0,VLOOKUP(AC883,R879:T886,3,FALSE))</f>
        <v>0</v>
      </c>
      <c r="AI883" s="419">
        <f>IF(ISNA(MATCH(AC883,L879:L886,0)),0,VLOOKUP(AC883,L879:P886,4,FALSE))</f>
        <v>0</v>
      </c>
      <c r="AJ883" s="419">
        <f>IF(ISNA(MATCH(AC883,R879:R886,0)),0,VLOOKUP(AC883,R879:U886,4,FALSE))</f>
        <v>0</v>
      </c>
      <c r="AK883" s="32">
        <f t="shared" si="789"/>
        <v>0</v>
      </c>
      <c r="AL883" s="32">
        <f t="shared" si="790"/>
        <v>0</v>
      </c>
      <c r="AM883" s="32">
        <f>IF(ISNA(MATCH(AC883,L879:L886,0)),0,VLOOKUP(AC883,L879:W886,AM$1,FALSE))</f>
        <v>0</v>
      </c>
      <c r="AN883" s="146">
        <f>IF(ISNA(MATCH(AC883,R879:R886,0)),0,VLOOKUP(AC883,R879:W886,AN$1,FALSE))</f>
        <v>0</v>
      </c>
      <c r="AP883" s="927"/>
      <c r="AQ883" s="927"/>
    </row>
    <row r="884" spans="1:47" ht="15.6" x14ac:dyDescent="0.3">
      <c r="A884" s="417">
        <f t="shared" si="791"/>
        <v>796</v>
      </c>
      <c r="B884" s="362" t="str">
        <f>'Event Details'!D$27</f>
        <v>D</v>
      </c>
      <c r="C884" s="381" t="str">
        <f>'Event Details'!E$27</f>
        <v>Stratford</v>
      </c>
      <c r="D884" s="379"/>
      <c r="E884" s="378"/>
      <c r="F884" s="363" t="e">
        <f>VLOOKUP($B878,IF($H878="F",TeamSheetFemale,TeamSheetMale),$Y884-1,FALSE)</f>
        <v>#N/A</v>
      </c>
      <c r="G884" s="380" t="e">
        <f>VLOOKUP($B878,IF($H878="F",TeamSheetFemale,TeamSheetMale),$Y884,FALSE)</f>
        <v>#N/A</v>
      </c>
      <c r="H884" s="363" t="e">
        <f>VLOOKUP($B878,IF($H878="F",TeamSheetFemale,TeamSheetMale),$Y884+1,FALSE)</f>
        <v>#N/A</v>
      </c>
      <c r="I884" s="364" t="e">
        <f>VLOOKUP($B878,IF($H878="F",TeamSheetFemale,TeamSheetMale),$Y884+2,FALSE)</f>
        <v>#N/A</v>
      </c>
      <c r="K884" s="341" t="s">
        <v>276</v>
      </c>
      <c r="L884" s="16" t="str">
        <f t="shared" si="784"/>
        <v/>
      </c>
      <c r="M884" s="927"/>
      <c r="N884" s="927"/>
      <c r="O884" s="353" t="str">
        <f>IF(LEN($M884)=1,VLOOKUP(LEFT($M884,1),B879:I886,5,FALSE),IF(LEN($M884)=2,VLOOKUP(LEFT($M884,1),B879:I886,7,FALSE),""))</f>
        <v/>
      </c>
      <c r="P884" s="373" t="str">
        <f>IF(LEN($M884)=1,VLOOKUP(LEFT($M884,1),B879:I886,6,FALSE),IF(LEN($M884)=2,VLOOKUP(LEFT($M884,1),B879:I886,8,FALSE),""))</f>
        <v/>
      </c>
      <c r="Q884" s="341" t="s">
        <v>276</v>
      </c>
      <c r="R884" s="146" t="str">
        <f t="shared" si="785"/>
        <v/>
      </c>
      <c r="S884" s="927"/>
      <c r="T884" s="927"/>
      <c r="U884" s="353" t="str">
        <f>IF(LEN($S884)=1,VLOOKUP(LEFT($S884,1),B879:I886,5,FALSE),IF(LEN($S884)=2,VLOOKUP(LEFT($S884,1),B879:I886,7,FALSE),""))</f>
        <v/>
      </c>
      <c r="V884" s="373" t="str">
        <f>IF(LEN($S884)=1,VLOOKUP(LEFT($S884,1),B879:I886,6,FALSE),IF(LEN($S884)=2,VLOOKUP(LEFT($S884,1),B879:I886,8,FALSE),""))</f>
        <v/>
      </c>
      <c r="W884" s="417">
        <f t="shared" si="792"/>
        <v>3</v>
      </c>
      <c r="Y884" s="417">
        <v>32</v>
      </c>
      <c r="Z884" s="16">
        <f t="shared" si="786"/>
        <v>0</v>
      </c>
      <c r="AA884" s="146">
        <f t="shared" si="787"/>
        <v>0</v>
      </c>
      <c r="AB884" s="32"/>
      <c r="AC884" s="16" t="str">
        <f t="shared" si="788"/>
        <v>D</v>
      </c>
      <c r="AD884" s="419" t="str">
        <f t="shared" si="788"/>
        <v>Stratford</v>
      </c>
      <c r="AE884" s="419">
        <f>IF(ISNA(MATCH(AC884,N879:N888,0)),0,VLOOKUP(AC884,N879:S888,5,FALSE))</f>
        <v>0</v>
      </c>
      <c r="AF884" s="419" t="str">
        <f>IF(ISNA(MATCH(AC884,T879:T888,0))," ",VLOOKUP(AC884,T879:Y888,5,FALSE))</f>
        <v xml:space="preserve"> </v>
      </c>
      <c r="AG884" s="419">
        <f>IF(ISNA(MATCH(AC884,L879:L886,0)),0,VLOOKUP(AC884,L879:N886,3,FALSE))</f>
        <v>0</v>
      </c>
      <c r="AH884" s="419">
        <f>IF(ISNA(MATCH(AC884,R879:R886,0)),0,VLOOKUP(AC884,R879:T886,3,FALSE))</f>
        <v>0</v>
      </c>
      <c r="AI884" s="419">
        <f>IF(ISNA(MATCH(AC884,L879:L886,0)),0,VLOOKUP(AC884,L879:P886,4,FALSE))</f>
        <v>0</v>
      </c>
      <c r="AJ884" s="419">
        <f>IF(ISNA(MATCH(AC884,R879:R886,0)),0,VLOOKUP(AC884,R879:U886,4,FALSE))</f>
        <v>0</v>
      </c>
      <c r="AK884" s="32">
        <f t="shared" si="789"/>
        <v>0</v>
      </c>
      <c r="AL884" s="32">
        <f t="shared" si="790"/>
        <v>0</v>
      </c>
      <c r="AM884" s="32">
        <f>IF(ISNA(MATCH(AC884,L879:L886,0)),0,VLOOKUP(AC884,L879:W886,AM$1,FALSE))</f>
        <v>0</v>
      </c>
      <c r="AN884" s="146">
        <f>IF(ISNA(MATCH(AC884,R879:R886,0)),0,VLOOKUP(AC884,R879:W886,AN$1,FALSE))</f>
        <v>0</v>
      </c>
      <c r="AP884" s="927"/>
      <c r="AQ884" s="927"/>
    </row>
    <row r="885" spans="1:47" ht="15.6" x14ac:dyDescent="0.3">
      <c r="A885" s="417">
        <f t="shared" si="791"/>
        <v>797</v>
      </c>
      <c r="B885" s="362" t="str">
        <f>'Event Details'!D$28</f>
        <v>F</v>
      </c>
      <c r="C885" s="381" t="str">
        <f>'Event Details'!E$28</f>
        <v>Tamworth</v>
      </c>
      <c r="D885" s="379"/>
      <c r="E885" s="378"/>
      <c r="F885" s="363" t="e">
        <f>VLOOKUP($B878,IF($H878="F",TeamSheetFemale,TeamSheetMale),$Y885-1,FALSE)</f>
        <v>#N/A</v>
      </c>
      <c r="G885" s="380" t="e">
        <f>VLOOKUP($B878,IF($H878="F",TeamSheetFemale,TeamSheetMale),$Y885,FALSE)</f>
        <v>#N/A</v>
      </c>
      <c r="H885" s="363" t="e">
        <f>VLOOKUP($B878,IF($H878="F",TeamSheetFemale,TeamSheetMale),$Y885+1,FALSE)</f>
        <v>#N/A</v>
      </c>
      <c r="I885" s="364" t="e">
        <f>VLOOKUP($B878,IF($H878="F",TeamSheetFemale,TeamSheetMale),$Y885+2,FALSE)</f>
        <v>#N/A</v>
      </c>
      <c r="K885" s="341" t="s">
        <v>277</v>
      </c>
      <c r="L885" s="16" t="str">
        <f t="shared" si="784"/>
        <v/>
      </c>
      <c r="M885" s="927"/>
      <c r="N885" s="927"/>
      <c r="O885" s="353" t="str">
        <f>IF(LEN($M885)=1,VLOOKUP(LEFT($M885,1),B879:I886,5,FALSE),IF(LEN($M885)=2,VLOOKUP(LEFT($M885,1),B879:I886,7,FALSE),""))</f>
        <v/>
      </c>
      <c r="P885" s="373" t="str">
        <f>IF(LEN($M885)=1,VLOOKUP(LEFT($M885,1),B879:I886,6,FALSE),IF(LEN($M885)=2,VLOOKUP(LEFT($M885,1),B879:I886,8,FALSE),""))</f>
        <v/>
      </c>
      <c r="Q885" s="341" t="s">
        <v>277</v>
      </c>
      <c r="R885" s="146" t="str">
        <f t="shared" si="785"/>
        <v/>
      </c>
      <c r="S885" s="927"/>
      <c r="T885" s="927"/>
      <c r="U885" s="353" t="str">
        <f>IF(LEN($S885)=1,VLOOKUP(LEFT($S885,1),B879:I886,5,FALSE),IF(LEN($S885)=2,VLOOKUP(LEFT($S885,1),B879:I886,7,FALSE),""))</f>
        <v/>
      </c>
      <c r="V885" s="373" t="str">
        <f>IF(LEN($S885)=1,VLOOKUP(LEFT($S885,1),B879:I886,6,FALSE),IF(LEN($S885)=2,VLOOKUP(LEFT($S885,1),B879:I886,8,FALSE),""))</f>
        <v/>
      </c>
      <c r="W885" s="417">
        <f t="shared" si="792"/>
        <v>2</v>
      </c>
      <c r="Y885" s="417">
        <v>37</v>
      </c>
      <c r="Z885" s="16">
        <f t="shared" si="786"/>
        <v>0</v>
      </c>
      <c r="AA885" s="146">
        <f t="shared" si="787"/>
        <v>0</v>
      </c>
      <c r="AB885" s="32"/>
      <c r="AC885" s="16" t="str">
        <f t="shared" si="788"/>
        <v>F</v>
      </c>
      <c r="AD885" s="419" t="str">
        <f t="shared" si="788"/>
        <v>Tamworth</v>
      </c>
      <c r="AE885" s="419">
        <f>IF(ISNA(MATCH(AC885,N877:N886,0)),0,VLOOKUP(AC885,N877:S886,5,FALSE))</f>
        <v>0</v>
      </c>
      <c r="AF885" s="419" t="str">
        <f>IF(ISNA(MATCH(AC885,T877:T886,0))," ",VLOOKUP(AC885,T877:Y886,5,FALSE))</f>
        <v xml:space="preserve"> </v>
      </c>
      <c r="AG885" s="419">
        <f>IF(ISNA(MATCH(AC885,L879:L886,0)),0,VLOOKUP(AC885,L879:N886,3,FALSE))</f>
        <v>0</v>
      </c>
      <c r="AH885" s="419">
        <f>IF(ISNA(MATCH(AC885,R879:R886,0)),0,VLOOKUP(AC885,R879:T886,3,FALSE))</f>
        <v>0</v>
      </c>
      <c r="AI885" s="419">
        <f>IF(ISNA(MATCH(AC885,L879:L886,0)),0,VLOOKUP(AC885,L879:P886,4,FALSE))</f>
        <v>0</v>
      </c>
      <c r="AJ885" s="419">
        <f>IF(ISNA(MATCH(AC885,R879:R886,0)),0,VLOOKUP(AC885,R879:U886,4,FALSE))</f>
        <v>0</v>
      </c>
      <c r="AK885" s="32">
        <f t="shared" si="789"/>
        <v>0</v>
      </c>
      <c r="AL885" s="32">
        <f t="shared" si="790"/>
        <v>0</v>
      </c>
      <c r="AM885" s="32">
        <f>IF(ISNA(MATCH(AC885,L879:L886,0)),0,VLOOKUP(AC885,L879:W886,AM$1,FALSE))</f>
        <v>0</v>
      </c>
      <c r="AN885" s="146">
        <f>IF(ISNA(MATCH(AC885,R879:R886,0)),0,VLOOKUP(AC885,R879:W886,AN$1,FALSE))</f>
        <v>0</v>
      </c>
      <c r="AP885" s="927"/>
      <c r="AQ885" s="927"/>
    </row>
    <row r="886" spans="1:47" ht="16.2" thickBot="1" x14ac:dyDescent="0.35">
      <c r="A886" s="418">
        <f t="shared" si="791"/>
        <v>798</v>
      </c>
      <c r="B886" s="365" t="str">
        <f>'Event Details'!D$29</f>
        <v>Y</v>
      </c>
      <c r="C886" s="366" t="str">
        <f>'Event Details'!E$29</f>
        <v>Worcester</v>
      </c>
      <c r="D886" s="361"/>
      <c r="E886" s="370"/>
      <c r="F886" s="367" t="e">
        <f>VLOOKUP($B878,IF($H878="F",TeamSheetFemale,TeamSheetMale),$Y886-1,FALSE)</f>
        <v>#N/A</v>
      </c>
      <c r="G886" s="368" t="e">
        <f>VLOOKUP($B878,IF($H878="F",TeamSheetFemale,TeamSheetMale),$Y886,FALSE)</f>
        <v>#N/A</v>
      </c>
      <c r="H886" s="367" t="e">
        <f>VLOOKUP($B878,IF($H878="F",TeamSheetFemale,TeamSheetMale),$Y886+1,FALSE)</f>
        <v>#N/A</v>
      </c>
      <c r="I886" s="369" t="e">
        <f>VLOOKUP($B878,IF($H878="F",TeamSheetFemale,TeamSheetMale),$Y886+2,FALSE)</f>
        <v>#N/A</v>
      </c>
      <c r="K886" s="346" t="s">
        <v>278</v>
      </c>
      <c r="L886" s="25" t="str">
        <f t="shared" si="784"/>
        <v/>
      </c>
      <c r="M886" s="932"/>
      <c r="N886" s="932"/>
      <c r="O886" s="375" t="str">
        <f>IF(LEN($M886)=1,VLOOKUP(LEFT($M886,1),B879:I886,5,FALSE),IF(LEN($M886)=2,VLOOKUP(LEFT($M886,1),B879:I886,7,FALSE),""))</f>
        <v/>
      </c>
      <c r="P886" s="376" t="str">
        <f>IF(LEN($M886)=1,VLOOKUP(LEFT($M886,1),B879:I886,6,FALSE),IF(LEN($M886)=2,VLOOKUP(LEFT($M886,1),B879:I886,8,FALSE),""))</f>
        <v/>
      </c>
      <c r="Q886" s="346" t="s">
        <v>278</v>
      </c>
      <c r="R886" s="523" t="str">
        <f t="shared" si="785"/>
        <v/>
      </c>
      <c r="S886" s="932"/>
      <c r="T886" s="932"/>
      <c r="U886" s="375" t="str">
        <f>IF(LEN($S886)=1,VLOOKUP(LEFT($S886,1),B879:I886,5,FALSE),IF(LEN($S886)=2,VLOOKUP(LEFT($S886,1),B879:I886,7,FALSE),""))</f>
        <v/>
      </c>
      <c r="V886" s="376" t="str">
        <f>IF(LEN($S886)=1,VLOOKUP(LEFT($S886,1),B879:I886,6,FALSE),IF(LEN($S886)=2,VLOOKUP(LEFT($S886,1),B879:I886,8,FALSE),""))</f>
        <v/>
      </c>
      <c r="W886" s="418">
        <f t="shared" si="792"/>
        <v>1</v>
      </c>
      <c r="Y886" s="418">
        <v>42</v>
      </c>
      <c r="Z886" s="25">
        <f t="shared" si="786"/>
        <v>0</v>
      </c>
      <c r="AA886" s="523">
        <f t="shared" si="787"/>
        <v>0</v>
      </c>
      <c r="AB886" s="32"/>
      <c r="AC886" s="25" t="str">
        <f t="shared" si="788"/>
        <v>Y</v>
      </c>
      <c r="AD886" s="624" t="str">
        <f t="shared" si="788"/>
        <v>Worcester</v>
      </c>
      <c r="AE886" s="624">
        <f>IF(ISNA(MATCH(AC886,N878:N887,0)),0,VLOOKUP(AC886,N878:S887,5,FALSE))</f>
        <v>0</v>
      </c>
      <c r="AF886" s="624" t="str">
        <f t="shared" ref="AF886" si="793">IF(ISNA(MATCH(AC886,T878:T887,0))," ",VLOOKUP(AC886,T878:Y887,5,FALSE))</f>
        <v xml:space="preserve"> </v>
      </c>
      <c r="AG886" s="624">
        <f>IF(ISNA(MATCH(AC886,L879:L886,0)),0,VLOOKUP(AC886,L879:N886,3,FALSE))</f>
        <v>0</v>
      </c>
      <c r="AH886" s="624">
        <f>IF(ISNA(MATCH(AC886,R879:R886,0)),0,VLOOKUP(AC886,R879:T886,3,FALSE))</f>
        <v>0</v>
      </c>
      <c r="AI886" s="624">
        <f>IF(ISNA(MATCH(AC886,L879:L886,0)),0,VLOOKUP(AC886,L879:P886,4,FALSE))</f>
        <v>0</v>
      </c>
      <c r="AJ886" s="624">
        <f>IF(ISNA(MATCH(AC886,R879:R886,0)),0,VLOOKUP(AC886,R879:U886,4,FALSE))</f>
        <v>0</v>
      </c>
      <c r="AK886" s="116">
        <f t="shared" si="789"/>
        <v>0</v>
      </c>
      <c r="AL886" s="116">
        <f t="shared" si="790"/>
        <v>0</v>
      </c>
      <c r="AM886" s="116">
        <f>IF(ISNA(MATCH(AC886,L879:L886,0)),0,VLOOKUP(AC886,L879:W886,AM$1,FALSE))</f>
        <v>0</v>
      </c>
      <c r="AN886" s="523">
        <f>IF(ISNA(MATCH(AC886,R879:R886,0)),0,VLOOKUP(AC886,R879:W886,AN$1,FALSE))</f>
        <v>0</v>
      </c>
      <c r="AP886" s="932"/>
      <c r="AQ886" s="932"/>
    </row>
    <row r="887" spans="1:47" ht="15" thickBot="1" x14ac:dyDescent="0.35">
      <c r="M887" s="276"/>
      <c r="N887" s="307"/>
      <c r="S887" s="276"/>
      <c r="T887" s="307"/>
      <c r="AP887" s="276"/>
      <c r="AQ887" s="307"/>
    </row>
    <row r="888" spans="1:47" x14ac:dyDescent="0.3">
      <c r="B888" s="400" t="s">
        <v>258</v>
      </c>
      <c r="C888" s="398"/>
      <c r="D888" s="401" t="s">
        <v>165</v>
      </c>
      <c r="E888" s="398"/>
      <c r="F888" s="398"/>
      <c r="G888" s="402" t="s">
        <v>259</v>
      </c>
      <c r="H888" s="403" t="s">
        <v>249</v>
      </c>
      <c r="I888" s="404" t="s">
        <v>168</v>
      </c>
      <c r="K888" s="360"/>
      <c r="L888" s="661"/>
      <c r="M888" s="387" t="s">
        <v>260</v>
      </c>
      <c r="N888" s="387" t="s">
        <v>261</v>
      </c>
      <c r="O888" s="387" t="s">
        <v>262</v>
      </c>
      <c r="P888" s="388" t="s">
        <v>75</v>
      </c>
      <c r="Q888" s="412"/>
      <c r="R888" s="657"/>
      <c r="S888" s="387" t="s">
        <v>260</v>
      </c>
      <c r="T888" s="387" t="s">
        <v>261</v>
      </c>
      <c r="U888" s="387" t="s">
        <v>262</v>
      </c>
      <c r="V888" s="388" t="s">
        <v>75</v>
      </c>
      <c r="W888" s="672" t="s">
        <v>76</v>
      </c>
      <c r="Y888" s="654" t="s">
        <v>263</v>
      </c>
      <c r="Z888" s="656" t="s">
        <v>74</v>
      </c>
      <c r="AA888" s="657" t="s">
        <v>75</v>
      </c>
      <c r="AC888" s="665" t="s">
        <v>71</v>
      </c>
      <c r="AD888" s="657" t="s">
        <v>86</v>
      </c>
      <c r="AE888" s="661" t="s">
        <v>149</v>
      </c>
      <c r="AF888" s="661" t="s">
        <v>94</v>
      </c>
      <c r="AG888" s="661" t="s">
        <v>149</v>
      </c>
      <c r="AH888" s="661" t="s">
        <v>94</v>
      </c>
      <c r="AI888" s="661" t="s">
        <v>149</v>
      </c>
      <c r="AJ888" s="661" t="s">
        <v>94</v>
      </c>
      <c r="AK888" s="1332" t="s">
        <v>149</v>
      </c>
      <c r="AL888" s="661" t="s">
        <v>94</v>
      </c>
      <c r="AM888" s="1406" t="s">
        <v>76</v>
      </c>
      <c r="AN888" s="1407"/>
      <c r="AP888" s="387" t="s">
        <v>260</v>
      </c>
      <c r="AQ888" s="387" t="s">
        <v>261</v>
      </c>
      <c r="AS888" s="1218" t="s">
        <v>165</v>
      </c>
      <c r="AT888" s="1219" t="s">
        <v>79</v>
      </c>
      <c r="AU888" s="1220" t="s">
        <v>80</v>
      </c>
    </row>
    <row r="889" spans="1:47" ht="15" thickBot="1" x14ac:dyDescent="0.35">
      <c r="B889" s="405">
        <v>80</v>
      </c>
      <c r="C889" s="399"/>
      <c r="D889" s="385" t="str">
        <f>VLOOKUP($B889,EventOrder,6,FALSE)</f>
        <v xml:space="preserve">4 x 100m  </v>
      </c>
      <c r="E889" s="399"/>
      <c r="F889" s="385"/>
      <c r="G889" s="386" t="str">
        <f>VLOOKUP($B889,EventOrder,4,FALSE)</f>
        <v>U12 Male</v>
      </c>
      <c r="H889" s="396" t="str">
        <f>IF(MID(G889,5,1)="F","F","M")</f>
        <v>M</v>
      </c>
      <c r="I889" s="397">
        <f>VLOOKUP($B889,EventOrder,2,FALSE)</f>
        <v>4.45</v>
      </c>
      <c r="K889" s="372"/>
      <c r="L889" s="667" t="s">
        <v>149</v>
      </c>
      <c r="M889" s="409" t="s">
        <v>264</v>
      </c>
      <c r="N889" s="409" t="s">
        <v>265</v>
      </c>
      <c r="O889" s="409" t="s">
        <v>266</v>
      </c>
      <c r="P889" s="408"/>
      <c r="Q889" s="413"/>
      <c r="R889" s="659" t="s">
        <v>94</v>
      </c>
      <c r="S889" s="409" t="s">
        <v>264</v>
      </c>
      <c r="T889" s="409" t="s">
        <v>265</v>
      </c>
      <c r="U889" s="409" t="s">
        <v>266</v>
      </c>
      <c r="V889" s="408"/>
      <c r="W889" s="671"/>
      <c r="Y889" s="655" t="s">
        <v>167</v>
      </c>
      <c r="Z889" s="658" t="s">
        <v>149</v>
      </c>
      <c r="AA889" s="659" t="s">
        <v>94</v>
      </c>
      <c r="AC889" s="666"/>
      <c r="AD889" s="668"/>
      <c r="AE889" s="768" t="s">
        <v>75</v>
      </c>
      <c r="AF889" s="768" t="s">
        <v>75</v>
      </c>
      <c r="AG889" s="768" t="s">
        <v>267</v>
      </c>
      <c r="AH889" s="768" t="s">
        <v>267</v>
      </c>
      <c r="AI889" s="768" t="s">
        <v>268</v>
      </c>
      <c r="AJ889" s="768" t="s">
        <v>268</v>
      </c>
      <c r="AK889" s="770" t="s">
        <v>269</v>
      </c>
      <c r="AL889" s="768" t="s">
        <v>269</v>
      </c>
      <c r="AM889" s="667" t="s">
        <v>149</v>
      </c>
      <c r="AN889" s="659" t="s">
        <v>94</v>
      </c>
      <c r="AP889" s="409" t="s">
        <v>264</v>
      </c>
      <c r="AQ889" s="409" t="s">
        <v>265</v>
      </c>
      <c r="AS889" s="1221" t="s">
        <v>270</v>
      </c>
      <c r="AT889" s="1222" t="s">
        <v>270</v>
      </c>
      <c r="AU889" s="1223" t="s">
        <v>270</v>
      </c>
    </row>
    <row r="890" spans="1:47" ht="15.6" x14ac:dyDescent="0.3">
      <c r="A890" s="416">
        <f>(B889*10)+1</f>
        <v>801</v>
      </c>
      <c r="B890" s="362" t="str">
        <f>'Event Details'!D$22</f>
        <v>S</v>
      </c>
      <c r="C890" s="381" t="str">
        <f>'Event Details'!E$22</f>
        <v>BRAT</v>
      </c>
      <c r="D890" s="379"/>
      <c r="E890" s="378"/>
      <c r="F890" s="363" t="str">
        <f>'Event Details'!H$22</f>
        <v>BRAT</v>
      </c>
      <c r="G890" s="380" t="str">
        <f>VLOOKUP($B889,IF($H889="F",TeamSheetFemale,TeamSheetMale),$Y890,FALSE)</f>
        <v>BRAT</v>
      </c>
      <c r="H890" s="363">
        <f>VLOOKUP($B889,IF($H889="F",TeamSheetFemale,TeamSheetMale),$Y890+1,FALSE)</f>
        <v>0</v>
      </c>
      <c r="I890" s="364">
        <f>VLOOKUP($B889,IF($H889="F",TeamSheetFemale,TeamSheetMale),$Y890+2,FALSE)</f>
        <v>0</v>
      </c>
      <c r="K890" s="393" t="s">
        <v>271</v>
      </c>
      <c r="L890" s="16" t="str">
        <f t="shared" ref="L890:L897" si="794">LEFT(M890,1)</f>
        <v>R</v>
      </c>
      <c r="M890" s="926" t="s">
        <v>118</v>
      </c>
      <c r="N890" s="926">
        <v>58.3</v>
      </c>
      <c r="O890" s="394" t="str">
        <f>IF(LEN($M890)=1,VLOOKUP(LEFT($M890,1),B890:I897,5,FALSE),IF(LEN($M890)=2,VLOOKUP(LEFT($M890,1),B890:I897,7,FALSE),""))</f>
        <v>Rugby</v>
      </c>
      <c r="P890" s="395" t="str">
        <f>IF(LEN($M890)=1,VLOOKUP(LEFT($M890,1),B890:I897,6,FALSE),IF(LEN($M890)=2,VLOOKUP(LEFT($M890,1),B890:I897,8,FALSE),""))</f>
        <v>Rugby &amp; N'hampton</v>
      </c>
      <c r="Q890" s="406" t="s">
        <v>271</v>
      </c>
      <c r="R890" s="146" t="str">
        <f t="shared" ref="R890:R897" si="795">LEFT(S890,1)</f>
        <v/>
      </c>
      <c r="S890" s="926"/>
      <c r="T890" s="926"/>
      <c r="U890" s="394" t="str">
        <f>IF(LEN($S890)=1,VLOOKUP(LEFT($S890,1),B890:I897,5,FALSE),IF(LEN($S890)=2,VLOOKUP(LEFT($S890,1),B890:I897,7,FALSE),""))</f>
        <v/>
      </c>
      <c r="V890" s="395" t="str">
        <f>IF(LEN($S890)=1,VLOOKUP(LEFT($S890,1),B890:I897,6,FALSE),IF(LEN($S890)=2,VLOOKUP(LEFT($S890,1),B890:I897,8,FALSE),""))</f>
        <v/>
      </c>
      <c r="W890" s="417">
        <f>AN$6</f>
        <v>8</v>
      </c>
      <c r="Y890" s="653">
        <v>7</v>
      </c>
      <c r="Z890" s="653" t="str">
        <f t="shared" ref="Z890:Z897" si="796">IF(LEN(M890)&gt;0,VLOOKUP(LEFT(M890,1),ShortName,5,FALSE),0)</f>
        <v>Rugby</v>
      </c>
      <c r="AA890" s="138">
        <f t="shared" ref="AA890:AA897" si="797">IF(LEN(S890)&gt;0,VLOOKUP(LEFT(S890,1),ShortName,5,FALSE),0)</f>
        <v>0</v>
      </c>
      <c r="AC890" s="16" t="str">
        <f t="shared" ref="AC890:AD897" si="798">B890</f>
        <v>S</v>
      </c>
      <c r="AD890" s="419" t="str">
        <f t="shared" si="798"/>
        <v>BRAT</v>
      </c>
      <c r="AE890" s="635">
        <f>IF(ISNA(MATCH(AC890,N890:N899,0)),0,VLOOKUP(AC890,N890:S899,5,FALSE))</f>
        <v>0</v>
      </c>
      <c r="AF890" s="635" t="str">
        <f>IF(ISNA(MATCH(AC890,T890:T899,0))," ",VLOOKUP(AC890,T890:Y899,5,FALSE))</f>
        <v xml:space="preserve"> </v>
      </c>
      <c r="AG890" s="635">
        <f>IF(ISNA(MATCH(AC890,L890:L897,0)),0,VLOOKUP(AC890,L890:N897,3,FALSE))</f>
        <v>59.6</v>
      </c>
      <c r="AH890" s="635">
        <f>IF(ISNA(MATCH(AC890,R890:R897,0)),0,VLOOKUP(AC890,R890:T897,3,FALSE))</f>
        <v>0</v>
      </c>
      <c r="AI890" s="635" t="str">
        <f>IF(ISNA(MATCH(AC890,L890:L897,0)),0,VLOOKUP(AC890,L890:P897,4,FALSE))</f>
        <v>BRAT</v>
      </c>
      <c r="AJ890" s="635">
        <f>IF(ISNA(MATCH(AC890,R890:R897,0)),0,VLOOKUP(AC890,R890:U897,4,FALSE))</f>
        <v>0</v>
      </c>
      <c r="AK890" s="49">
        <f t="shared" ref="AK890:AK897" si="799">IF(AM890=0,0,AN$6-(AM890-1))</f>
        <v>2</v>
      </c>
      <c r="AL890" s="49">
        <f t="shared" ref="AL890:AL897" si="800">IF(AN890=0,0,AN$6-(AN890-1))</f>
        <v>0</v>
      </c>
      <c r="AM890" s="49">
        <f>IF(ISNA(MATCH(AC890,L890:L897,0)),0,VLOOKUP(AC890,L890:W897,AM$1,FALSE))</f>
        <v>7</v>
      </c>
      <c r="AN890" s="138">
        <f>IF(ISNA(MATCH(AC890,R890:R897,0)),0,VLOOKUP(AC890,R890:W897,AN$1,FALSE))</f>
        <v>0</v>
      </c>
      <c r="AP890" s="926"/>
      <c r="AQ890" s="926"/>
      <c r="AS890" s="32">
        <f>IF(LEN(N890)&gt;0,1,0)</f>
        <v>1</v>
      </c>
      <c r="AT890" s="32">
        <f>IF(AND(AS890=1,H889="M"),1,0)</f>
        <v>1</v>
      </c>
      <c r="AU890" s="32">
        <f>IF(AND(AS890=1,H889="F"),1,0)</f>
        <v>0</v>
      </c>
    </row>
    <row r="891" spans="1:47" ht="15.6" x14ac:dyDescent="0.3">
      <c r="A891" s="417">
        <f>A890+1</f>
        <v>802</v>
      </c>
      <c r="B891" s="362" t="str">
        <f>'Event Details'!D$23</f>
        <v>U</v>
      </c>
      <c r="C891" s="381" t="str">
        <f>'Event Details'!E$23</f>
        <v>Kidder &amp; Stourport</v>
      </c>
      <c r="D891" s="379"/>
      <c r="E891" s="378"/>
      <c r="F891" s="363" t="str">
        <f>'Event Details'!H$23</f>
        <v>K&amp;S</v>
      </c>
      <c r="G891" s="380" t="str">
        <f>VLOOKUP($B889,IF($H889="F",TeamSheetFemale,TeamSheetMale),$Y891,FALSE)</f>
        <v>Kidder &amp; Stourport</v>
      </c>
      <c r="H891" s="363">
        <f>VLOOKUP($B889,IF($H889="F",TeamSheetFemale,TeamSheetMale),$Y891+1,FALSE)</f>
        <v>0</v>
      </c>
      <c r="I891" s="364">
        <f>VLOOKUP($B889,IF($H889="F",TeamSheetFemale,TeamSheetMale),$Y891+2,FALSE)</f>
        <v>0</v>
      </c>
      <c r="K891" s="341" t="s">
        <v>272</v>
      </c>
      <c r="L891" s="16" t="str">
        <f t="shared" si="794"/>
        <v>S</v>
      </c>
      <c r="M891" s="927" t="s">
        <v>100</v>
      </c>
      <c r="N891" s="927">
        <v>59.6</v>
      </c>
      <c r="O891" s="354" t="str">
        <f>IF(LEN($M891)=1,VLOOKUP(LEFT($M891,1),B890:I897,5,FALSE),IF(LEN($M891)=2,VLOOKUP(LEFT($M891,1),B890:I897,7,FALSE),""))</f>
        <v>BRAT</v>
      </c>
      <c r="P891" s="410" t="str">
        <f>IF(LEN($M891)=1,VLOOKUP(LEFT($M891,1),B890:I897,6,FALSE),IF(LEN($M891)=2,VLOOKUP(LEFT($M891,1),B890:I897,8,FALSE),""))</f>
        <v>BRAT</v>
      </c>
      <c r="Q891" s="371" t="s">
        <v>272</v>
      </c>
      <c r="R891" s="146" t="str">
        <f t="shared" si="795"/>
        <v/>
      </c>
      <c r="S891" s="927"/>
      <c r="T891" s="927"/>
      <c r="U891" s="354" t="str">
        <f>IF(LEN($S891)=1,VLOOKUP(LEFT($S891,1),B890:I897,5,FALSE),IF(LEN($S891)=2,VLOOKUP(LEFT($S891,1),B890:I897,7,FALSE),""))</f>
        <v/>
      </c>
      <c r="V891" s="410" t="str">
        <f>IF(LEN($S891)=1,VLOOKUP(LEFT($S891,1),B890:I897,6,FALSE),IF(LEN($S891)=2,VLOOKUP(LEFT($S891,1),B890:I897,8,FALSE),""))</f>
        <v/>
      </c>
      <c r="W891" s="417">
        <f>W890-1</f>
        <v>7</v>
      </c>
      <c r="Y891" s="16">
        <v>12</v>
      </c>
      <c r="Z891" s="16" t="str">
        <f t="shared" si="796"/>
        <v>BRAT</v>
      </c>
      <c r="AA891" s="146">
        <f t="shared" si="797"/>
        <v>0</v>
      </c>
      <c r="AC891" s="16" t="str">
        <f t="shared" si="798"/>
        <v>U</v>
      </c>
      <c r="AD891" s="419" t="str">
        <f t="shared" si="798"/>
        <v>Kidder &amp; Stourport</v>
      </c>
      <c r="AE891" s="419">
        <f>IF(ISNA(MATCH(AC891,N890:N899,0)),0,VLOOKUP(AC891,N890:S899,5,FALSE))</f>
        <v>0</v>
      </c>
      <c r="AF891" s="419" t="str">
        <f>IF(ISNA(MATCH(AC891,T890:T899,0))," ",VLOOKUP(AC891,T890:Y899,5,FALSE))</f>
        <v xml:space="preserve"> </v>
      </c>
      <c r="AG891" s="419">
        <f>IF(ISNA(MATCH(AC891,L890:L897,0)),0,VLOOKUP(AC891,L890:N897,3,FALSE))</f>
        <v>0</v>
      </c>
      <c r="AH891" s="419">
        <f>IF(ISNA(MATCH(AC891,R890:R897,0)),0,VLOOKUP(AC891,R890:T897,3,FALSE))</f>
        <v>0</v>
      </c>
      <c r="AI891" s="419">
        <f>IF(ISNA(MATCH(AC891,L890:L897,0)),0,VLOOKUP(AC891,L890:P897,4,FALSE))</f>
        <v>0</v>
      </c>
      <c r="AJ891" s="419">
        <f>IF(ISNA(MATCH(AC891,R890:R897,0)),0,VLOOKUP(AC891,R890:U897,4,FALSE))</f>
        <v>0</v>
      </c>
      <c r="AK891" s="32">
        <f t="shared" si="799"/>
        <v>0</v>
      </c>
      <c r="AL891" s="32">
        <f t="shared" si="800"/>
        <v>0</v>
      </c>
      <c r="AM891" s="32">
        <f>IF(ISNA(MATCH(AC891,L890:L897,0)),0,VLOOKUP(AC891,L890:W897,AM$1,FALSE))</f>
        <v>0</v>
      </c>
      <c r="AN891" s="146">
        <f>IF(ISNA(MATCH(AC891,R890:R897,0)),0,VLOOKUP(AC891,R890:W897,AN$1,FALSE))</f>
        <v>0</v>
      </c>
      <c r="AP891" s="927"/>
      <c r="AQ891" s="927"/>
    </row>
    <row r="892" spans="1:47" ht="15.6" x14ac:dyDescent="0.3">
      <c r="A892" s="417">
        <f t="shared" ref="A892:A897" si="801">A891+1</f>
        <v>803</v>
      </c>
      <c r="B892" s="362" t="str">
        <f>'Event Details'!D$24</f>
        <v>G</v>
      </c>
      <c r="C892" s="381" t="str">
        <f>'Event Details'!E$24</f>
        <v>Royal Sutton</v>
      </c>
      <c r="D892" s="379"/>
      <c r="E892" s="378"/>
      <c r="F892" s="363" t="str">
        <f>'Event Details'!H$24</f>
        <v>Royal</v>
      </c>
      <c r="G892" s="380" t="str">
        <f>VLOOKUP($B889,IF($H889="F",TeamSheetFemale,TeamSheetMale),$Y892,FALSE)</f>
        <v>Royal Sutton</v>
      </c>
      <c r="H892" s="363">
        <f>VLOOKUP($B889,IF($H889="F",TeamSheetFemale,TeamSheetMale),$Y892+1,FALSE)</f>
        <v>0</v>
      </c>
      <c r="I892" s="364">
        <f>VLOOKUP($B889,IF($H889="F",TeamSheetFemale,TeamSheetMale),$Y892+2,FALSE)</f>
        <v>0</v>
      </c>
      <c r="K892" s="341" t="s">
        <v>273</v>
      </c>
      <c r="L892" s="16" t="str">
        <f t="shared" si="794"/>
        <v>Y</v>
      </c>
      <c r="M892" s="927" t="s">
        <v>151</v>
      </c>
      <c r="N892" s="927">
        <v>60.4</v>
      </c>
      <c r="O892" s="354" t="str">
        <f>IF(LEN($M892)=1,VLOOKUP(LEFT($M892,1),B890:I897,5,FALSE),IF(LEN($M892)=2,VLOOKUP(LEFT($M892,1),B890:I897,7,FALSE),""))</f>
        <v>Worc</v>
      </c>
      <c r="P892" s="410" t="str">
        <f>IF(LEN($M892)=1,VLOOKUP(LEFT($M892,1),B890:I897,6,FALSE),IF(LEN($M892)=2,VLOOKUP(LEFT($M892,1),B890:I897,8,FALSE),""))</f>
        <v>Worcester</v>
      </c>
      <c r="Q892" s="371" t="s">
        <v>273</v>
      </c>
      <c r="R892" s="146" t="str">
        <f t="shared" si="795"/>
        <v/>
      </c>
      <c r="S892" s="927"/>
      <c r="T892" s="927"/>
      <c r="U892" s="354" t="str">
        <f>IF(LEN($S892)=1,VLOOKUP(LEFT($S892,1),B890:I897,5,FALSE),IF(LEN($S892)=2,VLOOKUP(LEFT($S892,1),B890:I897,7,FALSE),""))</f>
        <v/>
      </c>
      <c r="V892" s="410" t="str">
        <f>IF(LEN($S892)=1,VLOOKUP(LEFT($S892,1),B890:I897,6,FALSE),IF(LEN($S892)=2,VLOOKUP(LEFT($S892,1),B890:I897,8,FALSE),""))</f>
        <v/>
      </c>
      <c r="W892" s="417">
        <f t="shared" ref="W892:W897" si="802">W891-1</f>
        <v>6</v>
      </c>
      <c r="Y892" s="16">
        <v>17</v>
      </c>
      <c r="Z892" s="16" t="str">
        <f t="shared" si="796"/>
        <v>Worc</v>
      </c>
      <c r="AA892" s="146">
        <f t="shared" si="797"/>
        <v>0</v>
      </c>
      <c r="AC892" s="16" t="str">
        <f t="shared" si="798"/>
        <v>G</v>
      </c>
      <c r="AD892" s="419" t="str">
        <f t="shared" si="798"/>
        <v>Royal Sutton</v>
      </c>
      <c r="AE892" s="419">
        <f>IF(ISNA(MATCH(AC892,N890:N899,0)),0,VLOOKUP(AC892,N890:S899,5,FALSE))</f>
        <v>0</v>
      </c>
      <c r="AF892" s="419" t="str">
        <f>IF(ISNA(MATCH(AC892,T890:T899,0))," ",VLOOKUP(AC892,T890:Y899,5,FALSE))</f>
        <v xml:space="preserve"> </v>
      </c>
      <c r="AG892" s="419">
        <f>IF(ISNA(MATCH(AC892,L890:L897,0)),0,VLOOKUP(AC892,L890:N897,3,FALSE))</f>
        <v>0</v>
      </c>
      <c r="AH892" s="419">
        <f>IF(ISNA(MATCH(AC892,R890:R897,0)),0,VLOOKUP(AC892,R890:T897,3,FALSE))</f>
        <v>0</v>
      </c>
      <c r="AI892" s="419">
        <f>IF(ISNA(MATCH(AC892,L890:L897,0)),0,VLOOKUP(AC892,L890:P897,4,FALSE))</f>
        <v>0</v>
      </c>
      <c r="AJ892" s="419">
        <f>IF(ISNA(MATCH(AC892,R890:R897,0)),0,VLOOKUP(AC892,R890:U897,4,FALSE))</f>
        <v>0</v>
      </c>
      <c r="AK892" s="32">
        <f t="shared" si="799"/>
        <v>0</v>
      </c>
      <c r="AL892" s="32">
        <f t="shared" si="800"/>
        <v>0</v>
      </c>
      <c r="AM892" s="32">
        <f>IF(ISNA(MATCH(AC892,L890:L897,0)),0,VLOOKUP(AC892,L890:W897,AM$1,FALSE))</f>
        <v>0</v>
      </c>
      <c r="AN892" s="146">
        <f>IF(ISNA(MATCH(AC892,R890:R897,0)),0,VLOOKUP(AC892,R890:W897,AN$1,FALSE))</f>
        <v>0</v>
      </c>
      <c r="AP892" s="927"/>
      <c r="AQ892" s="927"/>
    </row>
    <row r="893" spans="1:47" ht="15.6" x14ac:dyDescent="0.3">
      <c r="A893" s="417">
        <f t="shared" si="801"/>
        <v>804</v>
      </c>
      <c r="B893" s="362" t="str">
        <f>'Event Details'!D$25</f>
        <v>R</v>
      </c>
      <c r="C893" s="381" t="str">
        <f>'Event Details'!E$25</f>
        <v>Rugby &amp; N'hampton</v>
      </c>
      <c r="D893" s="379"/>
      <c r="E893" s="378"/>
      <c r="F893" s="363" t="str">
        <f>'Event Details'!H$25</f>
        <v>Rugby</v>
      </c>
      <c r="G893" s="380" t="str">
        <f>VLOOKUP($B889,IF($H889="F",TeamSheetFemale,TeamSheetMale),$Y893,FALSE)</f>
        <v>Rugby &amp; N'hampton</v>
      </c>
      <c r="H893" s="363">
        <f>VLOOKUP($B889,IF($H889="F",TeamSheetFemale,TeamSheetMale),$Y893+1,FALSE)</f>
        <v>0</v>
      </c>
      <c r="I893" s="364">
        <f>VLOOKUP($B889,IF($H889="F",TeamSheetFemale,TeamSheetMale),$Y893+2,FALSE)</f>
        <v>0</v>
      </c>
      <c r="K893" s="341" t="s">
        <v>274</v>
      </c>
      <c r="L893" s="16" t="str">
        <f t="shared" si="794"/>
        <v>D</v>
      </c>
      <c r="M893" s="927" t="s">
        <v>136</v>
      </c>
      <c r="N893" s="927">
        <v>60.5</v>
      </c>
      <c r="O893" s="354" t="str">
        <f>IF(LEN($M893)=1,VLOOKUP(LEFT($M893,1),B890:I897,5,FALSE),IF(LEN($M893)=2,VLOOKUP(LEFT($M893,1),B890:I897,7,FALSE),""))</f>
        <v>Strat</v>
      </c>
      <c r="P893" s="410" t="str">
        <f>IF(LEN($M893)=1,VLOOKUP(LEFT($M893,1),B890:I897,6,FALSE),IF(LEN($M893)=2,VLOOKUP(LEFT($M893,1),B890:I897,8,FALSE),""))</f>
        <v>Stratford</v>
      </c>
      <c r="Q893" s="371" t="s">
        <v>274</v>
      </c>
      <c r="R893" s="146" t="str">
        <f t="shared" si="795"/>
        <v/>
      </c>
      <c r="S893" s="927"/>
      <c r="T893" s="927"/>
      <c r="U893" s="354" t="str">
        <f>IF(LEN($S893)=1,VLOOKUP(LEFT($S893,1),B890:I897,5,FALSE),IF(LEN($S893)=2,VLOOKUP(LEFT($S893,1),B890:I897,7,FALSE),""))</f>
        <v/>
      </c>
      <c r="V893" s="410" t="str">
        <f>IF(LEN($S893)=1,VLOOKUP(LEFT($S893,1),B890:I897,6,FALSE),IF(LEN($S893)=2,VLOOKUP(LEFT($S893,1),B890:I897,8,FALSE),""))</f>
        <v/>
      </c>
      <c r="W893" s="417">
        <f t="shared" si="802"/>
        <v>5</v>
      </c>
      <c r="Y893" s="16">
        <v>22</v>
      </c>
      <c r="Z893" s="16" t="str">
        <f t="shared" si="796"/>
        <v>Strat</v>
      </c>
      <c r="AA893" s="146">
        <f t="shared" si="797"/>
        <v>0</v>
      </c>
      <c r="AC893" s="16" t="str">
        <f t="shared" si="798"/>
        <v>R</v>
      </c>
      <c r="AD893" s="419" t="str">
        <f t="shared" si="798"/>
        <v>Rugby &amp; N'hampton</v>
      </c>
      <c r="AE893" s="419">
        <f>IF(ISNA(MATCH(AC893,N890:N899,0)),0,VLOOKUP(AC893,N890:S899,5,FALSE))</f>
        <v>0</v>
      </c>
      <c r="AF893" s="419" t="str">
        <f>IF(ISNA(MATCH(AC893,T890:T899,0))," ",VLOOKUP(AC893,T890:Y899,5,FALSE))</f>
        <v xml:space="preserve"> </v>
      </c>
      <c r="AG893" s="419">
        <f>IF(ISNA(MATCH(AC893,L890:L897,0)),0,VLOOKUP(AC893,L890:N897,3,FALSE))</f>
        <v>58.3</v>
      </c>
      <c r="AH893" s="419">
        <f>IF(ISNA(MATCH(AC893,R890:R897,0)),0,VLOOKUP(AC893,R890:T897,3,FALSE))</f>
        <v>0</v>
      </c>
      <c r="AI893" s="419" t="str">
        <f>IF(ISNA(MATCH(AC893,L890:L897,0)),0,VLOOKUP(AC893,L890:P897,4,FALSE))</f>
        <v>Rugby</v>
      </c>
      <c r="AJ893" s="419">
        <f>IF(ISNA(MATCH(AC893,R890:R897,0)),0,VLOOKUP(AC893,R890:U897,4,FALSE))</f>
        <v>0</v>
      </c>
      <c r="AK893" s="32">
        <f t="shared" si="799"/>
        <v>1</v>
      </c>
      <c r="AL893" s="32">
        <f t="shared" si="800"/>
        <v>0</v>
      </c>
      <c r="AM893" s="32">
        <f>IF(ISNA(MATCH(AC893,L890:L897,0)),0,VLOOKUP(AC893,L890:W897,AM$1,FALSE))</f>
        <v>8</v>
      </c>
      <c r="AN893" s="146">
        <f>IF(ISNA(MATCH(AC893,R890:R897,0)),0,VLOOKUP(AC893,R890:W897,AN$1,FALSE))</f>
        <v>0</v>
      </c>
      <c r="AP893" s="927"/>
      <c r="AQ893" s="927"/>
    </row>
    <row r="894" spans="1:47" ht="15.6" x14ac:dyDescent="0.3">
      <c r="A894" s="417">
        <f t="shared" si="801"/>
        <v>805</v>
      </c>
      <c r="B894" s="362" t="str">
        <f>'Event Details'!D$26</f>
        <v>M</v>
      </c>
      <c r="C894" s="381" t="str">
        <f>'Event Details'!E$26</f>
        <v>Solihull &amp; S.Heath</v>
      </c>
      <c r="D894" s="379"/>
      <c r="E894" s="378"/>
      <c r="F894" s="363" t="str">
        <f>'Event Details'!H$26</f>
        <v>Sol</v>
      </c>
      <c r="G894" s="380" t="str">
        <f>VLOOKUP($B889,IF($H889="F",TeamSheetFemale,TeamSheetMale),$Y894,FALSE)</f>
        <v>Solihull &amp; S.Heath</v>
      </c>
      <c r="H894" s="363">
        <f>VLOOKUP($B889,IF($H889="F",TeamSheetFemale,TeamSheetMale),$Y894+1,FALSE)</f>
        <v>0</v>
      </c>
      <c r="I894" s="364">
        <f>VLOOKUP($B889,IF($H889="F",TeamSheetFemale,TeamSheetMale),$Y894+2,FALSE)</f>
        <v>0</v>
      </c>
      <c r="K894" s="341" t="s">
        <v>275</v>
      </c>
      <c r="L894" s="16" t="str">
        <f t="shared" si="794"/>
        <v>M</v>
      </c>
      <c r="M894" s="927" t="s">
        <v>127</v>
      </c>
      <c r="N894" s="927">
        <v>60.8</v>
      </c>
      <c r="O894" s="354" t="str">
        <f>IF(LEN($M894)=1,VLOOKUP(LEFT($M894,1),B890:I897,5,FALSE),IF(LEN($M894)=2,VLOOKUP(LEFT($M894,1),B890:I897,7,FALSE),""))</f>
        <v>Sol</v>
      </c>
      <c r="P894" s="410" t="str">
        <f>IF(LEN($M894)=1,VLOOKUP(LEFT($M894,1),B890:I897,6,FALSE),IF(LEN($M894)=2,VLOOKUP(LEFT($M894,1),B890:I897,8,FALSE),""))</f>
        <v>Solihull &amp; S.Heath</v>
      </c>
      <c r="Q894" s="371" t="s">
        <v>275</v>
      </c>
      <c r="R894" s="146" t="str">
        <f t="shared" si="795"/>
        <v/>
      </c>
      <c r="S894" s="927"/>
      <c r="T894" s="927"/>
      <c r="U894" s="354" t="str">
        <f>IF(LEN($S894)=1,VLOOKUP(LEFT($S894,1),B890:I897,5,FALSE),IF(LEN($S894)=2,VLOOKUP(LEFT($S894,1),B890:I897,7,FALSE),""))</f>
        <v/>
      </c>
      <c r="V894" s="410" t="str">
        <f>IF(LEN($S894)=1,VLOOKUP(LEFT($S894,1),B890:I897,6,FALSE),IF(LEN($S894)=2,VLOOKUP(LEFT($S894,1),B890:I897,8,FALSE),""))</f>
        <v/>
      </c>
      <c r="W894" s="417">
        <f t="shared" si="802"/>
        <v>4</v>
      </c>
      <c r="Y894" s="16">
        <v>27</v>
      </c>
      <c r="Z894" s="16" t="str">
        <f t="shared" si="796"/>
        <v>Sol</v>
      </c>
      <c r="AA894" s="146">
        <f t="shared" si="797"/>
        <v>0</v>
      </c>
      <c r="AC894" s="16" t="str">
        <f t="shared" si="798"/>
        <v>M</v>
      </c>
      <c r="AD894" s="419" t="str">
        <f t="shared" si="798"/>
        <v>Solihull &amp; S.Heath</v>
      </c>
      <c r="AE894" s="419">
        <f>IF(ISNA(MATCH(AC894,N890:N899,0)),0,VLOOKUP(AC894,N890:S899,5,FALSE))</f>
        <v>0</v>
      </c>
      <c r="AF894" s="419" t="str">
        <f>IF(ISNA(MATCH(AC894,T890:T899,0))," ",VLOOKUP(AC894,T890:Y899,5,FALSE))</f>
        <v xml:space="preserve"> </v>
      </c>
      <c r="AG894" s="419">
        <f>IF(ISNA(MATCH(AC894,L890:L897,0)),0,VLOOKUP(AC894,L890:N897,3,FALSE))</f>
        <v>60.8</v>
      </c>
      <c r="AH894" s="419">
        <f>IF(ISNA(MATCH(AC894,R890:R897,0)),0,VLOOKUP(AC894,R890:T897,3,FALSE))</f>
        <v>0</v>
      </c>
      <c r="AI894" s="419" t="str">
        <f>IF(ISNA(MATCH(AC894,L890:L897,0)),0,VLOOKUP(AC894,L890:P897,4,FALSE))</f>
        <v>Sol</v>
      </c>
      <c r="AJ894" s="419">
        <f>IF(ISNA(MATCH(AC894,R890:R897,0)),0,VLOOKUP(AC894,R890:U897,4,FALSE))</f>
        <v>0</v>
      </c>
      <c r="AK894" s="32">
        <f t="shared" si="799"/>
        <v>5</v>
      </c>
      <c r="AL894" s="32">
        <f t="shared" si="800"/>
        <v>0</v>
      </c>
      <c r="AM894" s="32">
        <f>IF(ISNA(MATCH(AC894,L890:L897,0)),0,VLOOKUP(AC894,L890:W897,AM$1,FALSE))</f>
        <v>4</v>
      </c>
      <c r="AN894" s="146">
        <f>IF(ISNA(MATCH(AC894,R890:R897,0)),0,VLOOKUP(AC894,R890:W897,AN$1,FALSE))</f>
        <v>0</v>
      </c>
      <c r="AP894" s="927"/>
      <c r="AQ894" s="927"/>
    </row>
    <row r="895" spans="1:47" ht="15.6" x14ac:dyDescent="0.3">
      <c r="A895" s="417">
        <f t="shared" si="801"/>
        <v>806</v>
      </c>
      <c r="B895" s="362" t="str">
        <f>'Event Details'!D$27</f>
        <v>D</v>
      </c>
      <c r="C895" s="381" t="str">
        <f>'Event Details'!E$27</f>
        <v>Stratford</v>
      </c>
      <c r="D895" s="379"/>
      <c r="E895" s="378"/>
      <c r="F895" s="363" t="str">
        <f>'Event Details'!H$27</f>
        <v>Strat</v>
      </c>
      <c r="G895" s="380" t="str">
        <f>VLOOKUP($B889,IF($H889="F",TeamSheetFemale,TeamSheetMale),$Y895,FALSE)</f>
        <v>Stratford</v>
      </c>
      <c r="H895" s="363">
        <f>VLOOKUP($B889,IF($H889="F",TeamSheetFemale,TeamSheetMale),$Y895+1,FALSE)</f>
        <v>0</v>
      </c>
      <c r="I895" s="364">
        <f>VLOOKUP($B889,IF($H889="F",TeamSheetFemale,TeamSheetMale),$Y895+2,FALSE)</f>
        <v>0</v>
      </c>
      <c r="K895" s="341" t="s">
        <v>276</v>
      </c>
      <c r="L895" s="16" t="str">
        <f t="shared" si="794"/>
        <v>F</v>
      </c>
      <c r="M895" s="927" t="s">
        <v>142</v>
      </c>
      <c r="N895" s="927">
        <v>67.5</v>
      </c>
      <c r="O895" s="354" t="str">
        <f>IF(LEN($M895)=1,VLOOKUP(LEFT($M895,1),B890:I897,5,FALSE),IF(LEN($M895)=2,VLOOKUP(LEFT($M895,1),B890:I897,7,FALSE),""))</f>
        <v>Tam</v>
      </c>
      <c r="P895" s="410" t="str">
        <f>IF(LEN($M895)=1,VLOOKUP(LEFT($M895,1),B890:I897,6,FALSE),IF(LEN($M895)=2,VLOOKUP(LEFT($M895,1),B890:I897,8,FALSE),""))</f>
        <v>Tamworth</v>
      </c>
      <c r="Q895" s="371" t="s">
        <v>276</v>
      </c>
      <c r="R895" s="146" t="str">
        <f t="shared" si="795"/>
        <v/>
      </c>
      <c r="S895" s="927"/>
      <c r="T895" s="927"/>
      <c r="U895" s="354" t="str">
        <f>IF(LEN($S895)=1,VLOOKUP(LEFT($S895,1),B890:I897,5,FALSE),IF(LEN($S895)=2,VLOOKUP(LEFT($S895,1),B890:I897,7,FALSE),""))</f>
        <v/>
      </c>
      <c r="V895" s="410" t="str">
        <f>IF(LEN($S895)=1,VLOOKUP(LEFT($S895,1),B890:I897,6,FALSE),IF(LEN($S895)=2,VLOOKUP(LEFT($S895,1),B890:I897,8,FALSE),""))</f>
        <v/>
      </c>
      <c r="W895" s="417">
        <f t="shared" si="802"/>
        <v>3</v>
      </c>
      <c r="Y895" s="16">
        <v>32</v>
      </c>
      <c r="Z895" s="16" t="str">
        <f t="shared" si="796"/>
        <v>Tam</v>
      </c>
      <c r="AA895" s="146">
        <f t="shared" si="797"/>
        <v>0</v>
      </c>
      <c r="AC895" s="16" t="str">
        <f t="shared" si="798"/>
        <v>D</v>
      </c>
      <c r="AD895" s="419" t="str">
        <f t="shared" si="798"/>
        <v>Stratford</v>
      </c>
      <c r="AE895" s="419">
        <f>IF(ISNA(MATCH(AC895,N890:N899,0)),0,VLOOKUP(AC895,N890:S899,5,FALSE))</f>
        <v>0</v>
      </c>
      <c r="AF895" s="419" t="str">
        <f>IF(ISNA(MATCH(AC895,T890:T899,0))," ",VLOOKUP(AC895,T890:Y899,5,FALSE))</f>
        <v xml:space="preserve"> </v>
      </c>
      <c r="AG895" s="419">
        <f>IF(ISNA(MATCH(AC895,L890:L897,0)),0,VLOOKUP(AC895,L890:N897,3,FALSE))</f>
        <v>60.5</v>
      </c>
      <c r="AH895" s="419">
        <f>IF(ISNA(MATCH(AC895,R890:R897,0)),0,VLOOKUP(AC895,R890:T897,3,FALSE))</f>
        <v>0</v>
      </c>
      <c r="AI895" s="419" t="str">
        <f>IF(ISNA(MATCH(AC895,L890:L897,0)),0,VLOOKUP(AC895,L890:P897,4,FALSE))</f>
        <v>Strat</v>
      </c>
      <c r="AJ895" s="419">
        <f>IF(ISNA(MATCH(AC895,R890:R897,0)),0,VLOOKUP(AC895,R890:U897,4,FALSE))</f>
        <v>0</v>
      </c>
      <c r="AK895" s="32">
        <f t="shared" si="799"/>
        <v>4</v>
      </c>
      <c r="AL895" s="32">
        <f t="shared" si="800"/>
        <v>0</v>
      </c>
      <c r="AM895" s="32">
        <f>IF(ISNA(MATCH(AC895,L890:L897,0)),0,VLOOKUP(AC895,L890:W897,AM$1,FALSE))</f>
        <v>5</v>
      </c>
      <c r="AN895" s="146">
        <f>IF(ISNA(MATCH(AC895,R890:R897,0)),0,VLOOKUP(AC895,R890:W897,AN$1,FALSE))</f>
        <v>0</v>
      </c>
      <c r="AP895" s="927"/>
      <c r="AQ895" s="927"/>
    </row>
    <row r="896" spans="1:47" ht="15.6" x14ac:dyDescent="0.3">
      <c r="A896" s="417">
        <f t="shared" si="801"/>
        <v>807</v>
      </c>
      <c r="B896" s="362" t="str">
        <f>'Event Details'!D$28</f>
        <v>F</v>
      </c>
      <c r="C896" s="381" t="str">
        <f>'Event Details'!E$28</f>
        <v>Tamworth</v>
      </c>
      <c r="D896" s="379"/>
      <c r="E896" s="378"/>
      <c r="F896" s="363" t="str">
        <f>'Event Details'!H$28</f>
        <v>Tam</v>
      </c>
      <c r="G896" s="380" t="str">
        <f>VLOOKUP($B889,IF($H889="F",TeamSheetFemale,TeamSheetMale),$Y896,FALSE)</f>
        <v>Tamworth</v>
      </c>
      <c r="H896" s="363">
        <f>VLOOKUP($B889,IF($H889="F",TeamSheetFemale,TeamSheetMale),$Y896+1,FALSE)</f>
        <v>0</v>
      </c>
      <c r="I896" s="364">
        <f>VLOOKUP($B889,IF($H889="F",TeamSheetFemale,TeamSheetMale),$Y896+2,FALSE)</f>
        <v>0</v>
      </c>
      <c r="K896" s="341" t="s">
        <v>277</v>
      </c>
      <c r="L896" s="16" t="str">
        <f t="shared" si="794"/>
        <v/>
      </c>
      <c r="M896" s="927"/>
      <c r="N896" s="927"/>
      <c r="O896" s="354" t="str">
        <f>IF(LEN($M896)=1,VLOOKUP(LEFT($M896,1),B890:I897,5,FALSE),IF(LEN($M896)=2,VLOOKUP(LEFT($M896,1),B890:I897,7,FALSE),""))</f>
        <v/>
      </c>
      <c r="P896" s="410" t="str">
        <f>IF(LEN($M896)=1,VLOOKUP(LEFT($M896,1),B890:I897,6,FALSE),IF(LEN($M896)=2,VLOOKUP(LEFT($M896,1),B890:I897,8,FALSE),""))</f>
        <v/>
      </c>
      <c r="Q896" s="371" t="s">
        <v>277</v>
      </c>
      <c r="R896" s="146" t="str">
        <f t="shared" si="795"/>
        <v/>
      </c>
      <c r="S896" s="927"/>
      <c r="T896" s="927"/>
      <c r="U896" s="354" t="str">
        <f>IF(LEN($S896)=1,VLOOKUP(LEFT($S896,1),B890:I897,5,FALSE),IF(LEN($S896)=2,VLOOKUP(LEFT($S896,1),B890:I897,7,FALSE),""))</f>
        <v/>
      </c>
      <c r="V896" s="410" t="str">
        <f>IF(LEN($S896)=1,VLOOKUP(LEFT($S896,1),B890:I897,6,FALSE),IF(LEN($S896)=2,VLOOKUP(LEFT($S896,1),B890:I897,8,FALSE),""))</f>
        <v/>
      </c>
      <c r="W896" s="417">
        <f t="shared" si="802"/>
        <v>2</v>
      </c>
      <c r="Y896" s="16">
        <v>37</v>
      </c>
      <c r="Z896" s="16">
        <f t="shared" si="796"/>
        <v>0</v>
      </c>
      <c r="AA896" s="146">
        <f t="shared" si="797"/>
        <v>0</v>
      </c>
      <c r="AC896" s="16" t="str">
        <f t="shared" si="798"/>
        <v>F</v>
      </c>
      <c r="AD896" s="419" t="str">
        <f t="shared" si="798"/>
        <v>Tamworth</v>
      </c>
      <c r="AE896" s="419">
        <f>IF(ISNA(MATCH(AC896,N888:N897,0)),0,VLOOKUP(AC896,N888:S897,5,FALSE))</f>
        <v>0</v>
      </c>
      <c r="AF896" s="419" t="str">
        <f>IF(ISNA(MATCH(AC896,T888:T897,0))," ",VLOOKUP(AC896,T888:Y897,5,FALSE))</f>
        <v xml:space="preserve"> </v>
      </c>
      <c r="AG896" s="419">
        <f>IF(ISNA(MATCH(AC896,L890:L897,0)),0,VLOOKUP(AC896,L890:N897,3,FALSE))</f>
        <v>67.5</v>
      </c>
      <c r="AH896" s="419">
        <f>IF(ISNA(MATCH(AC896,R890:R897,0)),0,VLOOKUP(AC896,R890:T897,3,FALSE))</f>
        <v>0</v>
      </c>
      <c r="AI896" s="419" t="str">
        <f>IF(ISNA(MATCH(AC896,L890:L897,0)),0,VLOOKUP(AC896,L890:P897,4,FALSE))</f>
        <v>Tam</v>
      </c>
      <c r="AJ896" s="419">
        <f>IF(ISNA(MATCH(AC896,R890:R897,0)),0,VLOOKUP(AC896,R890:U897,4,FALSE))</f>
        <v>0</v>
      </c>
      <c r="AK896" s="32">
        <f t="shared" si="799"/>
        <v>6</v>
      </c>
      <c r="AL896" s="32">
        <f t="shared" si="800"/>
        <v>0</v>
      </c>
      <c r="AM896" s="32">
        <f>IF(ISNA(MATCH(AC896,L890:L897,0)),0,VLOOKUP(AC896,L890:W897,AM$1,FALSE))</f>
        <v>3</v>
      </c>
      <c r="AN896" s="146">
        <f>IF(ISNA(MATCH(AC896,R890:R897,0)),0,VLOOKUP(AC896,R890:W897,AN$1,FALSE))</f>
        <v>0</v>
      </c>
      <c r="AP896" s="927"/>
      <c r="AQ896" s="927"/>
    </row>
    <row r="897" spans="1:47" ht="16.2" thickBot="1" x14ac:dyDescent="0.35">
      <c r="A897" s="418">
        <f t="shared" si="801"/>
        <v>808</v>
      </c>
      <c r="B897" s="365" t="str">
        <f>'Event Details'!D$29</f>
        <v>Y</v>
      </c>
      <c r="C897" s="366" t="str">
        <f>'Event Details'!E$29</f>
        <v>Worcester</v>
      </c>
      <c r="D897" s="361"/>
      <c r="E897" s="370"/>
      <c r="F897" s="367" t="str">
        <f>'Event Details'!H$29</f>
        <v>Worc</v>
      </c>
      <c r="G897" s="368" t="str">
        <f>VLOOKUP($B889,IF($H889="F",TeamSheetFemale,TeamSheetMale),$Y897,FALSE)</f>
        <v>Worcester</v>
      </c>
      <c r="H897" s="367">
        <f>VLOOKUP($B889,IF($H889="F",TeamSheetFemale,TeamSheetMale),$Y897+1,FALSE)</f>
        <v>0</v>
      </c>
      <c r="I897" s="369">
        <f>VLOOKUP($B889,IF($H889="F",TeamSheetFemale,TeamSheetMale),$Y897+2,FALSE)</f>
        <v>0</v>
      </c>
      <c r="K897" s="346" t="s">
        <v>278</v>
      </c>
      <c r="L897" s="25" t="str">
        <f t="shared" si="794"/>
        <v/>
      </c>
      <c r="M897" s="932"/>
      <c r="N897" s="932"/>
      <c r="O897" s="374" t="str">
        <f>IF(LEN($M897)=1,VLOOKUP(LEFT($M897,1),B890:I897,5,FALSE),IF(LEN($M897)=2,VLOOKUP(LEFT($M897,1),B890:I897,7,FALSE),""))</f>
        <v/>
      </c>
      <c r="P897" s="411" t="str">
        <f>IF(LEN($M897)=1,VLOOKUP(LEFT($M897,1),B890:I897,6,FALSE),IF(LEN($M897)=2,VLOOKUP(LEFT($M897,1),B890:I897,8,FALSE),""))</f>
        <v/>
      </c>
      <c r="Q897" s="407" t="s">
        <v>278</v>
      </c>
      <c r="R897" s="523" t="str">
        <f t="shared" si="795"/>
        <v/>
      </c>
      <c r="S897" s="932"/>
      <c r="T897" s="932"/>
      <c r="U897" s="374" t="str">
        <f>IF(LEN($S897)=1,VLOOKUP(LEFT($S897,1),B890:I897,5,FALSE),IF(LEN($S897)=2,VLOOKUP(LEFT($S897,1),B890:I897,7,FALSE),""))</f>
        <v/>
      </c>
      <c r="V897" s="411" t="str">
        <f>IF(LEN($S897)=1,VLOOKUP(LEFT($S897,1),B890:I897,6,FALSE),IF(LEN($S897)=2,VLOOKUP(LEFT($S897,1),B890:I897,8,FALSE),""))</f>
        <v/>
      </c>
      <c r="W897" s="418">
        <f t="shared" si="802"/>
        <v>1</v>
      </c>
      <c r="Y897" s="25">
        <v>42</v>
      </c>
      <c r="Z897" s="25">
        <f t="shared" si="796"/>
        <v>0</v>
      </c>
      <c r="AA897" s="523">
        <f t="shared" si="797"/>
        <v>0</v>
      </c>
      <c r="AC897" s="25" t="str">
        <f t="shared" si="798"/>
        <v>Y</v>
      </c>
      <c r="AD897" s="624" t="str">
        <f t="shared" si="798"/>
        <v>Worcester</v>
      </c>
      <c r="AE897" s="624">
        <f>IF(ISNA(MATCH(AC897,N889:N898,0)),0,VLOOKUP(AC897,N889:S898,5,FALSE))</f>
        <v>0</v>
      </c>
      <c r="AF897" s="624" t="str">
        <f t="shared" ref="AF897" si="803">IF(ISNA(MATCH(AC897,T889:T898,0))," ",VLOOKUP(AC897,T889:Y898,5,FALSE))</f>
        <v xml:space="preserve"> </v>
      </c>
      <c r="AG897" s="624">
        <f>IF(ISNA(MATCH(AC897,L890:L897,0)),0,VLOOKUP(AC897,L890:N897,3,FALSE))</f>
        <v>60.4</v>
      </c>
      <c r="AH897" s="624">
        <f>IF(ISNA(MATCH(AC897,R890:R897,0)),0,VLOOKUP(AC897,R890:T897,3,FALSE))</f>
        <v>0</v>
      </c>
      <c r="AI897" s="624" t="str">
        <f>IF(ISNA(MATCH(AC897,L890:L897,0)),0,VLOOKUP(AC897,L890:P897,4,FALSE))</f>
        <v>Worc</v>
      </c>
      <c r="AJ897" s="624">
        <f>IF(ISNA(MATCH(AC897,R890:R897,0)),0,VLOOKUP(AC897,R890:U897,4,FALSE))</f>
        <v>0</v>
      </c>
      <c r="AK897" s="116">
        <f t="shared" si="799"/>
        <v>3</v>
      </c>
      <c r="AL897" s="116">
        <f t="shared" si="800"/>
        <v>0</v>
      </c>
      <c r="AM897" s="116">
        <f>IF(ISNA(MATCH(AC897,L890:L897,0)),0,VLOOKUP(AC897,L890:W897,AM$1,FALSE))</f>
        <v>6</v>
      </c>
      <c r="AN897" s="523">
        <f>IF(ISNA(MATCH(AC897,R890:R897,0)),0,VLOOKUP(AC897,R890:W897,AN$1,FALSE))</f>
        <v>0</v>
      </c>
      <c r="AP897" s="932"/>
      <c r="AQ897" s="932"/>
    </row>
    <row r="898" spans="1:47" ht="15" thickBot="1" x14ac:dyDescent="0.35">
      <c r="M898" s="276"/>
      <c r="N898" s="276"/>
      <c r="S898" s="276"/>
      <c r="T898" s="276"/>
      <c r="AP898" s="276"/>
      <c r="AQ898" s="276"/>
    </row>
    <row r="899" spans="1:47" x14ac:dyDescent="0.3">
      <c r="B899" s="400" t="s">
        <v>258</v>
      </c>
      <c r="C899" s="398"/>
      <c r="D899" s="401" t="s">
        <v>165</v>
      </c>
      <c r="E899" s="398"/>
      <c r="F899" s="398"/>
      <c r="G899" s="402" t="s">
        <v>259</v>
      </c>
      <c r="H899" s="403" t="s">
        <v>249</v>
      </c>
      <c r="I899" s="404" t="s">
        <v>168</v>
      </c>
      <c r="K899" s="360"/>
      <c r="L899" s="661"/>
      <c r="M899" s="387" t="s">
        <v>260</v>
      </c>
      <c r="N899" s="387" t="s">
        <v>261</v>
      </c>
      <c r="O899" s="387" t="s">
        <v>262</v>
      </c>
      <c r="P899" s="388" t="s">
        <v>75</v>
      </c>
      <c r="Q899" s="389"/>
      <c r="R899" s="657"/>
      <c r="S899" s="387" t="s">
        <v>260</v>
      </c>
      <c r="T899" s="387" t="s">
        <v>261</v>
      </c>
      <c r="U899" s="387" t="s">
        <v>262</v>
      </c>
      <c r="V899" s="388" t="s">
        <v>75</v>
      </c>
      <c r="W899" s="672" t="s">
        <v>76</v>
      </c>
      <c r="Y899" s="414" t="s">
        <v>263</v>
      </c>
      <c r="Z899" s="656" t="s">
        <v>74</v>
      </c>
      <c r="AA899" s="657" t="s">
        <v>75</v>
      </c>
      <c r="AC899" s="665" t="s">
        <v>71</v>
      </c>
      <c r="AD899" s="657" t="s">
        <v>86</v>
      </c>
      <c r="AE899" s="661" t="s">
        <v>149</v>
      </c>
      <c r="AF899" s="661" t="s">
        <v>94</v>
      </c>
      <c r="AG899" s="661" t="s">
        <v>149</v>
      </c>
      <c r="AH899" s="661" t="s">
        <v>94</v>
      </c>
      <c r="AI899" s="661" t="s">
        <v>149</v>
      </c>
      <c r="AJ899" s="661" t="s">
        <v>94</v>
      </c>
      <c r="AK899" s="1332" t="s">
        <v>149</v>
      </c>
      <c r="AL899" s="661" t="s">
        <v>94</v>
      </c>
      <c r="AM899" s="1406" t="s">
        <v>76</v>
      </c>
      <c r="AN899" s="1407"/>
      <c r="AP899" s="387" t="s">
        <v>260</v>
      </c>
      <c r="AQ899" s="387" t="s">
        <v>261</v>
      </c>
      <c r="AS899" s="1218" t="s">
        <v>165</v>
      </c>
      <c r="AT899" s="1219" t="s">
        <v>79</v>
      </c>
      <c r="AU899" s="1220" t="s">
        <v>80</v>
      </c>
    </row>
    <row r="900" spans="1:47" ht="15" thickBot="1" x14ac:dyDescent="0.35">
      <c r="B900" s="405">
        <v>81</v>
      </c>
      <c r="C900" s="399"/>
      <c r="D900" s="385" t="str">
        <f>VLOOKUP($B900,EventOrder,6,FALSE)</f>
        <v xml:space="preserve">4 x 100m  </v>
      </c>
      <c r="E900" s="399"/>
      <c r="F900" s="385"/>
      <c r="G900" s="386" t="str">
        <f>VLOOKUP($B900,EventOrder,4,FALSE)</f>
        <v>U12 Female</v>
      </c>
      <c r="H900" s="396" t="str">
        <f>IF(MID(G900,5,1)="F","F","M")</f>
        <v>F</v>
      </c>
      <c r="I900" s="397">
        <f>VLOOKUP($B900,EventOrder,2,FALSE)</f>
        <v>4.4000000000000004</v>
      </c>
      <c r="K900" s="377"/>
      <c r="L900" s="667" t="s">
        <v>149</v>
      </c>
      <c r="M900" s="409" t="s">
        <v>264</v>
      </c>
      <c r="N900" s="409" t="s">
        <v>265</v>
      </c>
      <c r="O900" s="390" t="s">
        <v>266</v>
      </c>
      <c r="P900" s="391"/>
      <c r="Q900" s="392"/>
      <c r="R900" s="659" t="s">
        <v>94</v>
      </c>
      <c r="S900" s="409" t="s">
        <v>264</v>
      </c>
      <c r="T900" s="409" t="s">
        <v>265</v>
      </c>
      <c r="U900" s="390" t="s">
        <v>266</v>
      </c>
      <c r="V900" s="391"/>
      <c r="W900" s="671"/>
      <c r="Y900" s="415" t="s">
        <v>167</v>
      </c>
      <c r="Z900" s="658" t="s">
        <v>149</v>
      </c>
      <c r="AA900" s="659" t="s">
        <v>94</v>
      </c>
      <c r="AC900" s="666"/>
      <c r="AD900" s="668"/>
      <c r="AE900" s="768" t="s">
        <v>75</v>
      </c>
      <c r="AF900" s="768" t="s">
        <v>75</v>
      </c>
      <c r="AG900" s="768" t="s">
        <v>267</v>
      </c>
      <c r="AH900" s="768" t="s">
        <v>267</v>
      </c>
      <c r="AI900" s="768" t="s">
        <v>268</v>
      </c>
      <c r="AJ900" s="768" t="s">
        <v>268</v>
      </c>
      <c r="AK900" s="770" t="s">
        <v>269</v>
      </c>
      <c r="AL900" s="768" t="s">
        <v>269</v>
      </c>
      <c r="AM900" s="667" t="s">
        <v>149</v>
      </c>
      <c r="AN900" s="659" t="s">
        <v>94</v>
      </c>
      <c r="AP900" s="409" t="s">
        <v>264</v>
      </c>
      <c r="AQ900" s="409" t="s">
        <v>265</v>
      </c>
      <c r="AS900" s="1221" t="s">
        <v>270</v>
      </c>
      <c r="AT900" s="1222" t="s">
        <v>270</v>
      </c>
      <c r="AU900" s="1223" t="s">
        <v>270</v>
      </c>
    </row>
    <row r="901" spans="1:47" ht="15.6" x14ac:dyDescent="0.3">
      <c r="A901" s="416">
        <f>(B900*10)+1</f>
        <v>811</v>
      </c>
      <c r="B901" s="362" t="str">
        <f>'Event Details'!D$22</f>
        <v>S</v>
      </c>
      <c r="C901" s="381" t="str">
        <f>'Event Details'!E$22</f>
        <v>BRAT</v>
      </c>
      <c r="D901" s="379"/>
      <c r="E901" s="378"/>
      <c r="F901" s="363" t="str">
        <f>'Event Details'!H$22</f>
        <v>BRAT</v>
      </c>
      <c r="G901" s="380" t="str">
        <f>VLOOKUP($B900,IF($H900="F",TeamSheetFemale,TeamSheetMale),$Y901,FALSE)</f>
        <v>BRAT</v>
      </c>
      <c r="H901" s="363">
        <f>VLOOKUP($B900,IF($H900="F",TeamSheetFemale,TeamSheetMale),$Y901+1,FALSE)</f>
        <v>0</v>
      </c>
      <c r="I901" s="364">
        <f>VLOOKUP($B900,IF($H900="F",TeamSheetFemale,TeamSheetMale),$Y901+2,FALSE)</f>
        <v>0</v>
      </c>
      <c r="K901" s="393" t="s">
        <v>271</v>
      </c>
      <c r="L901" s="16" t="str">
        <f t="shared" ref="L901:L908" si="804">LEFT(M901,1)</f>
        <v>G</v>
      </c>
      <c r="M901" s="926" t="s">
        <v>110</v>
      </c>
      <c r="N901" s="926">
        <v>59.2</v>
      </c>
      <c r="O901" s="1241" t="str">
        <f>IF(N901&gt;1,M901&amp;" - "&amp;VLOOKUP($M901,B901:I908,5,FALSE),"")</f>
        <v>G - Royal</v>
      </c>
      <c r="P901" s="395" t="str">
        <f>IF(LEN($M901)=1,VLOOKUP(LEFT($M901,1),B901:I908,6,FALSE),IF(LEN($M901)=2,VLOOKUP(LEFT($M901,1),B901:I908,8,FALSE),""))</f>
        <v>Royal Sutton</v>
      </c>
      <c r="Q901" s="393" t="s">
        <v>271</v>
      </c>
      <c r="R901" s="146" t="str">
        <f t="shared" ref="R901:R908" si="805">LEFT(S901,1)</f>
        <v/>
      </c>
      <c r="S901" s="926"/>
      <c r="T901" s="926"/>
      <c r="U901" s="394" t="str">
        <f>IF(LEN($S901)=1,VLOOKUP(LEFT($S901,1),B901:I908,5,FALSE),IF(LEN($S901)=2,VLOOKUP(LEFT($S901,1),B901:I908,7,FALSE),""))</f>
        <v/>
      </c>
      <c r="V901" s="395" t="str">
        <f>IF(LEN($S901)=1,VLOOKUP(LEFT($S901,1),B901:I908,6,FALSE),IF(LEN($S901)=2,VLOOKUP(LEFT($S901,1),B901:I908,8,FALSE),""))</f>
        <v/>
      </c>
      <c r="W901" s="417">
        <f>AN$6</f>
        <v>8</v>
      </c>
      <c r="Y901" s="416">
        <v>7</v>
      </c>
      <c r="Z901" s="653" t="str">
        <f t="shared" ref="Z901:Z908" si="806">IF(LEN(M901)&gt;0,VLOOKUP(LEFT(M901,1),ShortName,5,FALSE),0)</f>
        <v>Royal</v>
      </c>
      <c r="AA901" s="138">
        <f t="shared" ref="AA901:AA908" si="807">IF(LEN(S901)&gt;0,VLOOKUP(LEFT(S901,1),ShortName,5,FALSE),0)</f>
        <v>0</v>
      </c>
      <c r="AC901" s="16" t="str">
        <f t="shared" ref="AC901:AD908" si="808">B901</f>
        <v>S</v>
      </c>
      <c r="AD901" s="419" t="str">
        <f t="shared" si="808"/>
        <v>BRAT</v>
      </c>
      <c r="AE901" s="635">
        <f>IF(ISNA(MATCH(AC901,N901:N910,0)),0,VLOOKUP(AC901,N901:S910,5,FALSE))</f>
        <v>0</v>
      </c>
      <c r="AF901" s="635" t="str">
        <f>IF(ISNA(MATCH(AC901,T901:T910,0))," ",VLOOKUP(AC901,T901:Y910,5,FALSE))</f>
        <v xml:space="preserve"> </v>
      </c>
      <c r="AG901" s="635">
        <f>IF(ISNA(MATCH(AC901,L901:L908,0)),0,VLOOKUP(AC901,L901:N908,3,FALSE))</f>
        <v>69.2</v>
      </c>
      <c r="AH901" s="635">
        <f>IF(ISNA(MATCH(AC901,R901:R908,0)),0,VLOOKUP(AC901,R901:T908,3,FALSE))</f>
        <v>0</v>
      </c>
      <c r="AI901" s="635" t="str">
        <f>IF(ISNA(MATCH(AC901,L901:L908,0)),0,VLOOKUP(AC901,L901:P908,4,FALSE))</f>
        <v>S - BRAT</v>
      </c>
      <c r="AJ901" s="635">
        <f>IF(ISNA(MATCH(AC901,R901:R908,0)),0,VLOOKUP(AC901,R901:U908,4,FALSE))</f>
        <v>0</v>
      </c>
      <c r="AK901" s="49">
        <f t="shared" ref="AK901:AK908" si="809">IF(AM901=0,0,AN$6-(AM901-1))</f>
        <v>8</v>
      </c>
      <c r="AL901" s="49">
        <f t="shared" ref="AL901:AL908" si="810">IF(AN901=0,0,AN$6-(AN901-1))</f>
        <v>0</v>
      </c>
      <c r="AM901" s="49">
        <f>IF(ISNA(MATCH(AC901,L901:L908,0)),0,VLOOKUP(AC901,L901:W908,AM$1,FALSE))</f>
        <v>1</v>
      </c>
      <c r="AN901" s="138">
        <f>IF(ISNA(MATCH(AC901,R901:R908,0)),0,VLOOKUP(AC901,R901:W908,AN$1,FALSE))</f>
        <v>0</v>
      </c>
      <c r="AP901" s="926"/>
      <c r="AQ901" s="926"/>
      <c r="AS901" s="32">
        <f>IF(LEN(N901)&gt;0,1,0)</f>
        <v>1</v>
      </c>
      <c r="AT901" s="32">
        <f>IF(AND(AS901=1,H900="M"),1,0)</f>
        <v>0</v>
      </c>
      <c r="AU901" s="32">
        <f>IF(AND(AS901=1,H900="F"),1,0)</f>
        <v>1</v>
      </c>
    </row>
    <row r="902" spans="1:47" ht="15.6" x14ac:dyDescent="0.3">
      <c r="A902" s="417">
        <f>A901+1</f>
        <v>812</v>
      </c>
      <c r="B902" s="362" t="str">
        <f>'Event Details'!D$23</f>
        <v>U</v>
      </c>
      <c r="C902" s="381" t="str">
        <f>'Event Details'!E$23</f>
        <v>Kidder &amp; Stourport</v>
      </c>
      <c r="D902" s="379"/>
      <c r="E902" s="378"/>
      <c r="F902" s="363" t="str">
        <f>'Event Details'!H$23</f>
        <v>K&amp;S</v>
      </c>
      <c r="G902" s="380" t="str">
        <f>VLOOKUP($B900,IF($H900="F",TeamSheetFemale,TeamSheetMale),$Y902,FALSE)</f>
        <v>Kidder &amp; Stourport</v>
      </c>
      <c r="H902" s="363">
        <f>VLOOKUP($B900,IF($H900="F",TeamSheetFemale,TeamSheetMale),$Y902+1,FALSE)</f>
        <v>0</v>
      </c>
      <c r="I902" s="364">
        <f>VLOOKUP($B900,IF($H900="F",TeamSheetFemale,TeamSheetMale),$Y902+2,FALSE)</f>
        <v>0</v>
      </c>
      <c r="K902" s="341" t="s">
        <v>272</v>
      </c>
      <c r="L902" s="16" t="str">
        <f t="shared" si="804"/>
        <v>R</v>
      </c>
      <c r="M902" s="927" t="s">
        <v>118</v>
      </c>
      <c r="N902" s="927">
        <v>61.3</v>
      </c>
      <c r="O902" s="1242" t="str">
        <f>IF(N902&gt;1,M902&amp;" - "&amp;VLOOKUP($M902,B901:I908,5,FALSE),"")</f>
        <v>R - Rugby</v>
      </c>
      <c r="P902" s="373" t="str">
        <f>IF(LEN($M902)=1,VLOOKUP(LEFT($M902,1),B901:I908,6,FALSE),IF(LEN($M902)=2,VLOOKUP(LEFT($M902,1),B901:I908,8,FALSE),""))</f>
        <v>Rugby &amp; N'hampton</v>
      </c>
      <c r="Q902" s="341" t="s">
        <v>272</v>
      </c>
      <c r="R902" s="146" t="str">
        <f t="shared" si="805"/>
        <v/>
      </c>
      <c r="S902" s="927"/>
      <c r="T902" s="927"/>
      <c r="U902" s="353" t="str">
        <f>IF(LEN($S902)=1,VLOOKUP(LEFT($S902,1),B901:I908,5,FALSE),IF(LEN($S902)=2,VLOOKUP(LEFT($S902,1),B901:I908,7,FALSE),""))</f>
        <v/>
      </c>
      <c r="V902" s="373" t="str">
        <f>IF(LEN($S902)=1,VLOOKUP(LEFT($S902,1),B901:I908,6,FALSE),IF(LEN($S902)=2,VLOOKUP(LEFT($S902,1),B901:I908,8,FALSE),""))</f>
        <v/>
      </c>
      <c r="W902" s="417">
        <f>W901-1</f>
        <v>7</v>
      </c>
      <c r="Y902" s="417">
        <v>12</v>
      </c>
      <c r="Z902" s="16" t="str">
        <f t="shared" si="806"/>
        <v>Rugby</v>
      </c>
      <c r="AA902" s="146">
        <f t="shared" si="807"/>
        <v>0</v>
      </c>
      <c r="AC902" s="16" t="str">
        <f t="shared" si="808"/>
        <v>U</v>
      </c>
      <c r="AD902" s="419" t="str">
        <f t="shared" si="808"/>
        <v>Kidder &amp; Stourport</v>
      </c>
      <c r="AE902" s="419">
        <f>IF(ISNA(MATCH(AC902,N901:N910,0)),0,VLOOKUP(AC902,N901:S910,5,FALSE))</f>
        <v>0</v>
      </c>
      <c r="AF902" s="419" t="str">
        <f>IF(ISNA(MATCH(AC902,T901:T910,0))," ",VLOOKUP(AC902,T901:Y910,5,FALSE))</f>
        <v xml:space="preserve"> </v>
      </c>
      <c r="AG902" s="419">
        <f>IF(ISNA(MATCH(AC902,L901:L908,0)),0,VLOOKUP(AC902,L901:N908,3,FALSE))</f>
        <v>63.7</v>
      </c>
      <c r="AH902" s="419">
        <f>IF(ISNA(MATCH(AC902,R901:R908,0)),0,VLOOKUP(AC902,R901:T908,3,FALSE))</f>
        <v>0</v>
      </c>
      <c r="AI902" s="419" t="str">
        <f>IF(ISNA(MATCH(AC902,L901:L908,0)),0,VLOOKUP(AC902,L901:P908,4,FALSE))</f>
        <v>U - K&amp;S</v>
      </c>
      <c r="AJ902" s="419">
        <f>IF(ISNA(MATCH(AC902,R901:R908,0)),0,VLOOKUP(AC902,R901:U908,4,FALSE))</f>
        <v>0</v>
      </c>
      <c r="AK902" s="32">
        <f t="shared" si="809"/>
        <v>5</v>
      </c>
      <c r="AL902" s="32">
        <f t="shared" si="810"/>
        <v>0</v>
      </c>
      <c r="AM902" s="32">
        <f>IF(ISNA(MATCH(AC902,L901:L908,0)),0,VLOOKUP(AC902,L901:W908,AM$1,FALSE))</f>
        <v>4</v>
      </c>
      <c r="AN902" s="146">
        <f>IF(ISNA(MATCH(AC902,R901:R908,0)),0,VLOOKUP(AC902,R901:W908,AN$1,FALSE))</f>
        <v>0</v>
      </c>
      <c r="AP902" s="927"/>
      <c r="AQ902" s="927"/>
    </row>
    <row r="903" spans="1:47" ht="15.6" x14ac:dyDescent="0.3">
      <c r="A903" s="417">
        <f t="shared" ref="A903:A908" si="811">A902+1</f>
        <v>813</v>
      </c>
      <c r="B903" s="362" t="str">
        <f>'Event Details'!D$24</f>
        <v>G</v>
      </c>
      <c r="C903" s="381" t="str">
        <f>'Event Details'!E$24</f>
        <v>Royal Sutton</v>
      </c>
      <c r="D903" s="379"/>
      <c r="E903" s="378"/>
      <c r="F903" s="363" t="str">
        <f>'Event Details'!H$24</f>
        <v>Royal</v>
      </c>
      <c r="G903" s="380" t="str">
        <f>VLOOKUP($B900,IF($H900="F",TeamSheetFemale,TeamSheetMale),$Y903,FALSE)</f>
        <v>Royal Sutton</v>
      </c>
      <c r="H903" s="363">
        <f>VLOOKUP($B900,IF($H900="F",TeamSheetFemale,TeamSheetMale),$Y903+1,FALSE)</f>
        <v>0</v>
      </c>
      <c r="I903" s="364">
        <f>VLOOKUP($B900,IF($H900="F",TeamSheetFemale,TeamSheetMale),$Y903+2,FALSE)</f>
        <v>0</v>
      </c>
      <c r="K903" s="341" t="s">
        <v>273</v>
      </c>
      <c r="L903" s="16" t="str">
        <f t="shared" si="804"/>
        <v>D</v>
      </c>
      <c r="M903" s="927" t="s">
        <v>136</v>
      </c>
      <c r="N903" s="927">
        <v>62.4</v>
      </c>
      <c r="O903" s="1242" t="str">
        <f>IF(N903&gt;1,M903&amp;" - "&amp;VLOOKUP($M903,B901:I908,5,FALSE),"")</f>
        <v>D - Strat</v>
      </c>
      <c r="P903" s="373" t="str">
        <f>IF(LEN($M903)=1,VLOOKUP(LEFT($M903,1),B901:I908,6,FALSE),IF(LEN($M903)=2,VLOOKUP(LEFT($M903,1),B901:I908,8,FALSE),""))</f>
        <v>Stratford</v>
      </c>
      <c r="Q903" s="341" t="s">
        <v>273</v>
      </c>
      <c r="R903" s="146" t="str">
        <f t="shared" si="805"/>
        <v/>
      </c>
      <c r="S903" s="927"/>
      <c r="T903" s="927"/>
      <c r="U903" s="353" t="str">
        <f>IF(LEN($S903)=1,VLOOKUP(LEFT($S903,1),B901:I908,5,FALSE),IF(LEN($S903)=2,VLOOKUP(LEFT($S903,1),B901:I908,7,FALSE),""))</f>
        <v/>
      </c>
      <c r="V903" s="373" t="str">
        <f>IF(LEN($S903)=1,VLOOKUP(LEFT($S903,1),B901:I908,6,FALSE),IF(LEN($S903)=2,VLOOKUP(LEFT($S903,1),B901:I908,8,FALSE),""))</f>
        <v/>
      </c>
      <c r="W903" s="417">
        <f t="shared" ref="W903:W908" si="812">W902-1</f>
        <v>6</v>
      </c>
      <c r="Y903" s="417">
        <v>17</v>
      </c>
      <c r="Z903" s="16" t="str">
        <f t="shared" si="806"/>
        <v>Strat</v>
      </c>
      <c r="AA903" s="146">
        <f t="shared" si="807"/>
        <v>0</v>
      </c>
      <c r="AB903" s="32"/>
      <c r="AC903" s="16" t="str">
        <f t="shared" si="808"/>
        <v>G</v>
      </c>
      <c r="AD903" s="419" t="str">
        <f t="shared" si="808"/>
        <v>Royal Sutton</v>
      </c>
      <c r="AE903" s="419">
        <f>IF(ISNA(MATCH(AC903,N901:N910,0)),0,VLOOKUP(AC903,N901:S910,5,FALSE))</f>
        <v>0</v>
      </c>
      <c r="AF903" s="419" t="str">
        <f>IF(ISNA(MATCH(AC903,T901:T910,0))," ",VLOOKUP(AC903,T901:Y910,5,FALSE))</f>
        <v xml:space="preserve"> </v>
      </c>
      <c r="AG903" s="419">
        <f>IF(ISNA(MATCH(AC903,L901:L908,0)),0,VLOOKUP(AC903,L901:N908,3,FALSE))</f>
        <v>59.2</v>
      </c>
      <c r="AH903" s="419">
        <f>IF(ISNA(MATCH(AC903,R901:R908,0)),0,VLOOKUP(AC903,R901:T908,3,FALSE))</f>
        <v>0</v>
      </c>
      <c r="AI903" s="419" t="str">
        <f>IF(ISNA(MATCH(AC903,L901:L908,0)),0,VLOOKUP(AC903,L901:P908,4,FALSE))</f>
        <v>G - Royal</v>
      </c>
      <c r="AJ903" s="419">
        <f>IF(ISNA(MATCH(AC903,R901:R908,0)),0,VLOOKUP(AC903,R901:U908,4,FALSE))</f>
        <v>0</v>
      </c>
      <c r="AK903" s="32">
        <f t="shared" si="809"/>
        <v>1</v>
      </c>
      <c r="AL903" s="32">
        <f t="shared" si="810"/>
        <v>0</v>
      </c>
      <c r="AM903" s="32">
        <f>IF(ISNA(MATCH(AC903,L901:L908,0)),0,VLOOKUP(AC903,L901:W908,AM$1,FALSE))</f>
        <v>8</v>
      </c>
      <c r="AN903" s="146">
        <f>IF(ISNA(MATCH(AC903,R901:R908,0)),0,VLOOKUP(AC903,R901:W908,AN$1,FALSE))</f>
        <v>0</v>
      </c>
      <c r="AP903" s="927"/>
      <c r="AQ903" s="927"/>
    </row>
    <row r="904" spans="1:47" ht="15.6" x14ac:dyDescent="0.3">
      <c r="A904" s="417">
        <f t="shared" si="811"/>
        <v>814</v>
      </c>
      <c r="B904" s="362" t="str">
        <f>'Event Details'!D$25</f>
        <v>R</v>
      </c>
      <c r="C904" s="381" t="str">
        <f>'Event Details'!E$25</f>
        <v>Rugby &amp; N'hampton</v>
      </c>
      <c r="D904" s="379"/>
      <c r="E904" s="378"/>
      <c r="F904" s="363" t="str">
        <f>'Event Details'!H$25</f>
        <v>Rugby</v>
      </c>
      <c r="G904" s="380" t="str">
        <f>VLOOKUP($B900,IF($H900="F",TeamSheetFemale,TeamSheetMale),$Y904,FALSE)</f>
        <v>Rugby &amp; N'hampton</v>
      </c>
      <c r="H904" s="363">
        <f>VLOOKUP($B900,IF($H900="F",TeamSheetFemale,TeamSheetMale),$Y904+1,FALSE)</f>
        <v>0</v>
      </c>
      <c r="I904" s="364">
        <f>VLOOKUP($B900,IF($H900="F",TeamSheetFemale,TeamSheetMale),$Y904+2,FALSE)</f>
        <v>0</v>
      </c>
      <c r="K904" s="341" t="s">
        <v>274</v>
      </c>
      <c r="L904" s="16" t="str">
        <f t="shared" si="804"/>
        <v>F</v>
      </c>
      <c r="M904" s="927" t="s">
        <v>142</v>
      </c>
      <c r="N904" s="927">
        <v>63.6</v>
      </c>
      <c r="O904" s="1242" t="str">
        <f>IF(N904&gt;1,M904&amp;" - "&amp;VLOOKUP($M904,B901:I908,5,FALSE),"")</f>
        <v>F - Tam</v>
      </c>
      <c r="P904" s="373" t="str">
        <f>IF(LEN($M904)=1,VLOOKUP(LEFT($M904,1),B901:I908,6,FALSE),IF(LEN($M904)=2,VLOOKUP(LEFT($M904,1),B901:I908,8,FALSE),""))</f>
        <v>Tamworth</v>
      </c>
      <c r="Q904" s="341" t="s">
        <v>274</v>
      </c>
      <c r="R904" s="146" t="str">
        <f t="shared" si="805"/>
        <v/>
      </c>
      <c r="S904" s="927"/>
      <c r="T904" s="927"/>
      <c r="U904" s="353" t="str">
        <f>IF(LEN($S904)=1,VLOOKUP(LEFT($S904,1),B901:I908,5,FALSE),IF(LEN($S904)=2,VLOOKUP(LEFT($S904,1),B901:I908,7,FALSE),""))</f>
        <v/>
      </c>
      <c r="V904" s="373" t="str">
        <f>IF(LEN($S904)=1,VLOOKUP(LEFT($S904,1),B901:I908,6,FALSE),IF(LEN($S904)=2,VLOOKUP(LEFT($S904,1),B901:I908,8,FALSE),""))</f>
        <v/>
      </c>
      <c r="W904" s="417">
        <f t="shared" si="812"/>
        <v>5</v>
      </c>
      <c r="Y904" s="417">
        <v>22</v>
      </c>
      <c r="Z904" s="16" t="str">
        <f t="shared" si="806"/>
        <v>Tam</v>
      </c>
      <c r="AA904" s="146">
        <f t="shared" si="807"/>
        <v>0</v>
      </c>
      <c r="AB904" s="32"/>
      <c r="AC904" s="16" t="str">
        <f t="shared" si="808"/>
        <v>R</v>
      </c>
      <c r="AD904" s="419" t="str">
        <f t="shared" si="808"/>
        <v>Rugby &amp; N'hampton</v>
      </c>
      <c r="AE904" s="419">
        <f>IF(ISNA(MATCH(AC904,N901:N910,0)),0,VLOOKUP(AC904,N901:S910,5,FALSE))</f>
        <v>0</v>
      </c>
      <c r="AF904" s="419" t="str">
        <f>IF(ISNA(MATCH(AC904,T901:T910,0))," ",VLOOKUP(AC904,T901:Y910,5,FALSE))</f>
        <v xml:space="preserve"> </v>
      </c>
      <c r="AG904" s="419">
        <f>IF(ISNA(MATCH(AC904,L901:L908,0)),0,VLOOKUP(AC904,L901:N908,3,FALSE))</f>
        <v>61.3</v>
      </c>
      <c r="AH904" s="419">
        <f>IF(ISNA(MATCH(AC904,R901:R908,0)),0,VLOOKUP(AC904,R901:T908,3,FALSE))</f>
        <v>0</v>
      </c>
      <c r="AI904" s="419" t="str">
        <f>IF(ISNA(MATCH(AC904,L901:L908,0)),0,VLOOKUP(AC904,L901:P908,4,FALSE))</f>
        <v>R - Rugby</v>
      </c>
      <c r="AJ904" s="419">
        <f>IF(ISNA(MATCH(AC904,R901:R908,0)),0,VLOOKUP(AC904,R901:U908,4,FALSE))</f>
        <v>0</v>
      </c>
      <c r="AK904" s="32">
        <f t="shared" si="809"/>
        <v>2</v>
      </c>
      <c r="AL904" s="32">
        <f t="shared" si="810"/>
        <v>0</v>
      </c>
      <c r="AM904" s="32">
        <f>IF(ISNA(MATCH(AC904,L901:L908,0)),0,VLOOKUP(AC904,L901:W908,AM$1,FALSE))</f>
        <v>7</v>
      </c>
      <c r="AN904" s="146">
        <f>IF(ISNA(MATCH(AC904,R901:R908,0)),0,VLOOKUP(AC904,R901:W908,AN$1,FALSE))</f>
        <v>0</v>
      </c>
      <c r="AP904" s="927"/>
      <c r="AQ904" s="927"/>
    </row>
    <row r="905" spans="1:47" ht="15.6" x14ac:dyDescent="0.3">
      <c r="A905" s="417">
        <f t="shared" si="811"/>
        <v>815</v>
      </c>
      <c r="B905" s="362" t="str">
        <f>'Event Details'!D$26</f>
        <v>M</v>
      </c>
      <c r="C905" s="381" t="str">
        <f>'Event Details'!E$26</f>
        <v>Solihull &amp; S.Heath</v>
      </c>
      <c r="D905" s="379"/>
      <c r="E905" s="378"/>
      <c r="F905" s="363" t="str">
        <f>'Event Details'!H$26</f>
        <v>Sol</v>
      </c>
      <c r="G905" s="380" t="str">
        <f>VLOOKUP($B900,IF($H900="F",TeamSheetFemale,TeamSheetMale),$Y905,FALSE)</f>
        <v>Solihull &amp; S.Heath</v>
      </c>
      <c r="H905" s="363">
        <f>VLOOKUP($B900,IF($H900="F",TeamSheetFemale,TeamSheetMale),$Y905+1,FALSE)</f>
        <v>0</v>
      </c>
      <c r="I905" s="364">
        <f>VLOOKUP($B900,IF($H900="F",TeamSheetFemale,TeamSheetMale),$Y905+2,FALSE)</f>
        <v>0</v>
      </c>
      <c r="K905" s="341" t="s">
        <v>275</v>
      </c>
      <c r="L905" s="16" t="str">
        <f t="shared" si="804"/>
        <v>U</v>
      </c>
      <c r="M905" s="927" t="s">
        <v>130</v>
      </c>
      <c r="N905" s="927">
        <v>63.7</v>
      </c>
      <c r="O905" s="1242" t="str">
        <f>IF(N905&gt;1,M905&amp;" - "&amp;VLOOKUP($M905,B901:I908,5,FALSE),"")</f>
        <v>U - K&amp;S</v>
      </c>
      <c r="P905" s="373" t="str">
        <f>IF(LEN($M905)=1,VLOOKUP(LEFT($M905,1),B901:I908,6,FALSE),IF(LEN($M905)=2,VLOOKUP(LEFT($M905,1),B901:I908,8,FALSE),""))</f>
        <v>Kidder &amp; Stourport</v>
      </c>
      <c r="Q905" s="341" t="s">
        <v>275</v>
      </c>
      <c r="R905" s="146" t="str">
        <f t="shared" si="805"/>
        <v/>
      </c>
      <c r="S905" s="927"/>
      <c r="T905" s="927"/>
      <c r="U905" s="353" t="str">
        <f>IF(LEN($S905)=1,VLOOKUP(LEFT($S905,1),B901:I908,5,FALSE),IF(LEN($S905)=2,VLOOKUP(LEFT($S905,1),B901:I908,7,FALSE),""))</f>
        <v/>
      </c>
      <c r="V905" s="373" t="str">
        <f>IF(LEN($S905)=1,VLOOKUP(LEFT($S905,1),B901:I908,6,FALSE),IF(LEN($S905)=2,VLOOKUP(LEFT($S905,1),B901:I908,8,FALSE),""))</f>
        <v/>
      </c>
      <c r="W905" s="417">
        <f t="shared" si="812"/>
        <v>4</v>
      </c>
      <c r="Y905" s="417">
        <v>27</v>
      </c>
      <c r="Z905" s="16" t="str">
        <f t="shared" si="806"/>
        <v>K&amp;S</v>
      </c>
      <c r="AA905" s="146">
        <f t="shared" si="807"/>
        <v>0</v>
      </c>
      <c r="AB905" s="32"/>
      <c r="AC905" s="16" t="str">
        <f t="shared" si="808"/>
        <v>M</v>
      </c>
      <c r="AD905" s="419" t="str">
        <f t="shared" si="808"/>
        <v>Solihull &amp; S.Heath</v>
      </c>
      <c r="AE905" s="419">
        <f>IF(ISNA(MATCH(AC905,N901:N910,0)),0,VLOOKUP(AC905,N901:S910,5,FALSE))</f>
        <v>0</v>
      </c>
      <c r="AF905" s="419" t="str">
        <f>IF(ISNA(MATCH(AC905,T901:T910,0))," ",VLOOKUP(AC905,T901:Y910,5,FALSE))</f>
        <v xml:space="preserve"> </v>
      </c>
      <c r="AG905" s="419">
        <f>IF(ISNA(MATCH(AC905,L901:L908,0)),0,VLOOKUP(AC905,L901:N908,3,FALSE))</f>
        <v>65.5</v>
      </c>
      <c r="AH905" s="419">
        <f>IF(ISNA(MATCH(AC905,R901:R908,0)),0,VLOOKUP(AC905,R901:T908,3,FALSE))</f>
        <v>0</v>
      </c>
      <c r="AI905" s="419" t="str">
        <f>IF(ISNA(MATCH(AC905,L901:L908,0)),0,VLOOKUP(AC905,L901:P908,4,FALSE))</f>
        <v>M - Sol</v>
      </c>
      <c r="AJ905" s="419">
        <f>IF(ISNA(MATCH(AC905,R901:R908,0)),0,VLOOKUP(AC905,R901:U908,4,FALSE))</f>
        <v>0</v>
      </c>
      <c r="AK905" s="32">
        <f t="shared" si="809"/>
        <v>7</v>
      </c>
      <c r="AL905" s="32">
        <f t="shared" si="810"/>
        <v>0</v>
      </c>
      <c r="AM905" s="32">
        <f>IF(ISNA(MATCH(AC905,L901:L908,0)),0,VLOOKUP(AC905,L901:W908,AM$1,FALSE))</f>
        <v>2</v>
      </c>
      <c r="AN905" s="146">
        <f>IF(ISNA(MATCH(AC905,R901:R908,0)),0,VLOOKUP(AC905,R901:W908,AN$1,FALSE))</f>
        <v>0</v>
      </c>
      <c r="AP905" s="927"/>
      <c r="AQ905" s="927"/>
    </row>
    <row r="906" spans="1:47" ht="15.6" x14ac:dyDescent="0.3">
      <c r="A906" s="417">
        <f t="shared" si="811"/>
        <v>816</v>
      </c>
      <c r="B906" s="362" t="str">
        <f>'Event Details'!D$27</f>
        <v>D</v>
      </c>
      <c r="C906" s="381" t="str">
        <f>'Event Details'!E$27</f>
        <v>Stratford</v>
      </c>
      <c r="D906" s="379"/>
      <c r="E906" s="378"/>
      <c r="F906" s="363" t="str">
        <f>'Event Details'!H$27</f>
        <v>Strat</v>
      </c>
      <c r="G906" s="380" t="str">
        <f>VLOOKUP($B900,IF($H900="F",TeamSheetFemale,TeamSheetMale),$Y906,FALSE)</f>
        <v>Stratford</v>
      </c>
      <c r="H906" s="363">
        <f>VLOOKUP($B900,IF($H900="F",TeamSheetFemale,TeamSheetMale),$Y906+1,FALSE)</f>
        <v>0</v>
      </c>
      <c r="I906" s="364">
        <f>VLOOKUP($B900,IF($H900="F",TeamSheetFemale,TeamSheetMale),$Y906+2,FALSE)</f>
        <v>0</v>
      </c>
      <c r="K906" s="341" t="s">
        <v>276</v>
      </c>
      <c r="L906" s="16" t="str">
        <f t="shared" si="804"/>
        <v>Y</v>
      </c>
      <c r="M906" s="927" t="s">
        <v>151</v>
      </c>
      <c r="N906" s="927">
        <v>64.400000000000006</v>
      </c>
      <c r="O906" s="1242" t="str">
        <f>IF(N906&gt;1,M906&amp;" - "&amp;VLOOKUP($M906,B901:I908,5,FALSE),"")</f>
        <v>Y - Worc</v>
      </c>
      <c r="P906" s="373" t="str">
        <f>IF(LEN($M906)=1,VLOOKUP(LEFT($M906,1),B901:I908,6,FALSE),IF(LEN($M906)=2,VLOOKUP(LEFT($M906,1),B901:I908,8,FALSE),""))</f>
        <v>Worcester</v>
      </c>
      <c r="Q906" s="341" t="s">
        <v>276</v>
      </c>
      <c r="R906" s="146" t="str">
        <f t="shared" si="805"/>
        <v/>
      </c>
      <c r="S906" s="927"/>
      <c r="T906" s="927"/>
      <c r="U906" s="353" t="str">
        <f>IF(LEN($S906)=1,VLOOKUP(LEFT($S906,1),B901:I908,5,FALSE),IF(LEN($S906)=2,VLOOKUP(LEFT($S906,1),B901:I908,7,FALSE),""))</f>
        <v/>
      </c>
      <c r="V906" s="373" t="str">
        <f>IF(LEN($S906)=1,VLOOKUP(LEFT($S906,1),B901:I908,6,FALSE),IF(LEN($S906)=2,VLOOKUP(LEFT($S906,1),B901:I908,8,FALSE),""))</f>
        <v/>
      </c>
      <c r="W906" s="417">
        <f t="shared" si="812"/>
        <v>3</v>
      </c>
      <c r="Y906" s="417">
        <v>32</v>
      </c>
      <c r="Z906" s="16" t="str">
        <f t="shared" si="806"/>
        <v>Worc</v>
      </c>
      <c r="AA906" s="146">
        <f t="shared" si="807"/>
        <v>0</v>
      </c>
      <c r="AB906" s="32"/>
      <c r="AC906" s="16" t="str">
        <f t="shared" si="808"/>
        <v>D</v>
      </c>
      <c r="AD906" s="419" t="str">
        <f t="shared" si="808"/>
        <v>Stratford</v>
      </c>
      <c r="AE906" s="419">
        <f>IF(ISNA(MATCH(AC906,N901:N910,0)),0,VLOOKUP(AC906,N901:S910,5,FALSE))</f>
        <v>0</v>
      </c>
      <c r="AF906" s="419" t="str">
        <f>IF(ISNA(MATCH(AC906,T901:T910,0))," ",VLOOKUP(AC906,T901:Y910,5,FALSE))</f>
        <v xml:space="preserve"> </v>
      </c>
      <c r="AG906" s="419">
        <f>IF(ISNA(MATCH(AC906,L901:L908,0)),0,VLOOKUP(AC906,L901:N908,3,FALSE))</f>
        <v>62.4</v>
      </c>
      <c r="AH906" s="419">
        <f>IF(ISNA(MATCH(AC906,R901:R908,0)),0,VLOOKUP(AC906,R901:T908,3,FALSE))</f>
        <v>0</v>
      </c>
      <c r="AI906" s="419" t="str">
        <f>IF(ISNA(MATCH(AC906,L901:L908,0)),0,VLOOKUP(AC906,L901:P908,4,FALSE))</f>
        <v>D - Strat</v>
      </c>
      <c r="AJ906" s="419">
        <f>IF(ISNA(MATCH(AC906,R901:R908,0)),0,VLOOKUP(AC906,R901:U908,4,FALSE))</f>
        <v>0</v>
      </c>
      <c r="AK906" s="32">
        <f t="shared" si="809"/>
        <v>3</v>
      </c>
      <c r="AL906" s="32">
        <f t="shared" si="810"/>
        <v>0</v>
      </c>
      <c r="AM906" s="32">
        <f>IF(ISNA(MATCH(AC906,L901:L908,0)),0,VLOOKUP(AC906,L901:W908,AM$1,FALSE))</f>
        <v>6</v>
      </c>
      <c r="AN906" s="146">
        <f>IF(ISNA(MATCH(AC906,R901:R908,0)),0,VLOOKUP(AC906,R901:W908,AN$1,FALSE))</f>
        <v>0</v>
      </c>
      <c r="AP906" s="927"/>
      <c r="AQ906" s="927"/>
    </row>
    <row r="907" spans="1:47" ht="15.6" x14ac:dyDescent="0.3">
      <c r="A907" s="417">
        <f t="shared" si="811"/>
        <v>817</v>
      </c>
      <c r="B907" s="362" t="str">
        <f>'Event Details'!D$28</f>
        <v>F</v>
      </c>
      <c r="C907" s="381" t="str">
        <f>'Event Details'!E$28</f>
        <v>Tamworth</v>
      </c>
      <c r="D907" s="379"/>
      <c r="E907" s="378"/>
      <c r="F907" s="363" t="str">
        <f>'Event Details'!H$28</f>
        <v>Tam</v>
      </c>
      <c r="G907" s="380" t="str">
        <f>VLOOKUP($B900,IF($H900="F",TeamSheetFemale,TeamSheetMale),$Y907,FALSE)</f>
        <v>Tamworth</v>
      </c>
      <c r="H907" s="363">
        <f>VLOOKUP($B900,IF($H900="F",TeamSheetFemale,TeamSheetMale),$Y907+1,FALSE)</f>
        <v>0</v>
      </c>
      <c r="I907" s="364">
        <f>VLOOKUP($B900,IF($H900="F",TeamSheetFemale,TeamSheetMale),$Y907+2,FALSE)</f>
        <v>0</v>
      </c>
      <c r="K907" s="341" t="s">
        <v>277</v>
      </c>
      <c r="L907" s="16" t="str">
        <f t="shared" si="804"/>
        <v>M</v>
      </c>
      <c r="M907" s="927" t="s">
        <v>127</v>
      </c>
      <c r="N907" s="927">
        <v>65.5</v>
      </c>
      <c r="O907" s="1242" t="str">
        <f>IF(N907&gt;1,M907&amp;" - "&amp;VLOOKUP($M907,B901:I908,5,FALSE),"")</f>
        <v>M - Sol</v>
      </c>
      <c r="P907" s="373" t="str">
        <f>IF(LEN($M907)=1,VLOOKUP(LEFT($M907,1),B901:I908,6,FALSE),IF(LEN($M907)=2,VLOOKUP(LEFT($M907,1),B901:I908,8,FALSE),""))</f>
        <v>Solihull &amp; S.Heath</v>
      </c>
      <c r="Q907" s="341" t="s">
        <v>277</v>
      </c>
      <c r="R907" s="146" t="str">
        <f t="shared" si="805"/>
        <v/>
      </c>
      <c r="S907" s="927"/>
      <c r="T907" s="927"/>
      <c r="U907" s="353" t="str">
        <f>IF(LEN($S907)=1,VLOOKUP(LEFT($S907,1),B901:I908,5,FALSE),IF(LEN($S907)=2,VLOOKUP(LEFT($S907,1),B901:I908,7,FALSE),""))</f>
        <v/>
      </c>
      <c r="V907" s="373" t="str">
        <f>IF(LEN($S907)=1,VLOOKUP(LEFT($S907,1),B901:I908,6,FALSE),IF(LEN($S907)=2,VLOOKUP(LEFT($S907,1),B901:I908,8,FALSE),""))</f>
        <v/>
      </c>
      <c r="W907" s="417">
        <f t="shared" si="812"/>
        <v>2</v>
      </c>
      <c r="Y907" s="417">
        <v>37</v>
      </c>
      <c r="Z907" s="16" t="str">
        <f t="shared" si="806"/>
        <v>Sol</v>
      </c>
      <c r="AA907" s="146">
        <f t="shared" si="807"/>
        <v>0</v>
      </c>
      <c r="AB907" s="32"/>
      <c r="AC907" s="16" t="str">
        <f t="shared" si="808"/>
        <v>F</v>
      </c>
      <c r="AD907" s="419" t="str">
        <f t="shared" si="808"/>
        <v>Tamworth</v>
      </c>
      <c r="AE907" s="419">
        <f>IF(ISNA(MATCH(AC907,N899:N908,0)),0,VLOOKUP(AC907,N899:S908,5,FALSE))</f>
        <v>0</v>
      </c>
      <c r="AF907" s="419" t="str">
        <f>IF(ISNA(MATCH(AC907,T899:T908,0))," ",VLOOKUP(AC907,T899:Y908,5,FALSE))</f>
        <v xml:space="preserve"> </v>
      </c>
      <c r="AG907" s="419">
        <f>IF(ISNA(MATCH(AC907,L901:L908,0)),0,VLOOKUP(AC907,L901:N908,3,FALSE))</f>
        <v>63.6</v>
      </c>
      <c r="AH907" s="419">
        <f>IF(ISNA(MATCH(AC907,R901:R908,0)),0,VLOOKUP(AC907,R901:T908,3,FALSE))</f>
        <v>0</v>
      </c>
      <c r="AI907" s="419" t="str">
        <f>IF(ISNA(MATCH(AC907,L901:L908,0)),0,VLOOKUP(AC907,L901:P908,4,FALSE))</f>
        <v>F - Tam</v>
      </c>
      <c r="AJ907" s="419">
        <f>IF(ISNA(MATCH(AC907,R901:R908,0)),0,VLOOKUP(AC907,R901:U908,4,FALSE))</f>
        <v>0</v>
      </c>
      <c r="AK907" s="32">
        <f t="shared" si="809"/>
        <v>4</v>
      </c>
      <c r="AL907" s="32">
        <f t="shared" si="810"/>
        <v>0</v>
      </c>
      <c r="AM907" s="32">
        <f>IF(ISNA(MATCH(AC907,L901:L908,0)),0,VLOOKUP(AC907,L901:W908,AM$1,FALSE))</f>
        <v>5</v>
      </c>
      <c r="AN907" s="146">
        <f>IF(ISNA(MATCH(AC907,R901:R908,0)),0,VLOOKUP(AC907,R901:W908,AN$1,FALSE))</f>
        <v>0</v>
      </c>
      <c r="AP907" s="927"/>
      <c r="AQ907" s="927"/>
    </row>
    <row r="908" spans="1:47" ht="16.2" thickBot="1" x14ac:dyDescent="0.35">
      <c r="A908" s="418">
        <f t="shared" si="811"/>
        <v>818</v>
      </c>
      <c r="B908" s="365" t="str">
        <f>'Event Details'!D$29</f>
        <v>Y</v>
      </c>
      <c r="C908" s="366" t="str">
        <f>'Event Details'!E$29</f>
        <v>Worcester</v>
      </c>
      <c r="D908" s="361"/>
      <c r="E908" s="370"/>
      <c r="F908" s="367" t="str">
        <f>'Event Details'!H$29</f>
        <v>Worc</v>
      </c>
      <c r="G908" s="368" t="str">
        <f>VLOOKUP($B900,IF($H900="F",TeamSheetFemale,TeamSheetMale),$Y908,FALSE)</f>
        <v>Worcester</v>
      </c>
      <c r="H908" s="367">
        <f>VLOOKUP($B900,IF($H900="F",TeamSheetFemale,TeamSheetMale),$Y908+1,FALSE)</f>
        <v>0</v>
      </c>
      <c r="I908" s="369">
        <f>VLOOKUP($B900,IF($H900="F",TeamSheetFemale,TeamSheetMale),$Y908+2,FALSE)</f>
        <v>0</v>
      </c>
      <c r="K908" s="346" t="s">
        <v>278</v>
      </c>
      <c r="L908" s="25" t="str">
        <f t="shared" si="804"/>
        <v>S</v>
      </c>
      <c r="M908" s="928" t="s">
        <v>100</v>
      </c>
      <c r="N908" s="932">
        <v>69.2</v>
      </c>
      <c r="O908" s="1243" t="str">
        <f>IF(N908&gt;1,M908&amp;" - "&amp;VLOOKUP($M908,B901:I908,5,FALSE),"")</f>
        <v>S - BRAT</v>
      </c>
      <c r="P908" s="376" t="str">
        <f>IF(LEN($M908)=1,VLOOKUP(LEFT($M908,1),B901:I908,6,FALSE),IF(LEN($M908)=2,VLOOKUP(LEFT($M908,1),B901:I908,8,FALSE),""))</f>
        <v>BRAT</v>
      </c>
      <c r="Q908" s="346" t="s">
        <v>278</v>
      </c>
      <c r="R908" s="523" t="str">
        <f t="shared" si="805"/>
        <v/>
      </c>
      <c r="S908" s="928"/>
      <c r="T908" s="932"/>
      <c r="U908" s="375" t="str">
        <f>IF(LEN($S908)=1,VLOOKUP(LEFT($S908,1),B901:I908,5,FALSE),IF(LEN($S908)=2,VLOOKUP(LEFT($S908,1),B901:I908,7,FALSE),""))</f>
        <v/>
      </c>
      <c r="V908" s="376" t="str">
        <f>IF(LEN($S908)=1,VLOOKUP(LEFT($S908,1),B901:I908,6,FALSE),IF(LEN($S908)=2,VLOOKUP(LEFT($S908,1),B901:I908,8,FALSE),""))</f>
        <v/>
      </c>
      <c r="W908" s="418">
        <f t="shared" si="812"/>
        <v>1</v>
      </c>
      <c r="Y908" s="418">
        <v>42</v>
      </c>
      <c r="Z908" s="25" t="str">
        <f t="shared" si="806"/>
        <v>BRAT</v>
      </c>
      <c r="AA908" s="523">
        <f t="shared" si="807"/>
        <v>0</v>
      </c>
      <c r="AB908" s="32"/>
      <c r="AC908" s="25" t="str">
        <f t="shared" si="808"/>
        <v>Y</v>
      </c>
      <c r="AD908" s="624" t="str">
        <f t="shared" si="808"/>
        <v>Worcester</v>
      </c>
      <c r="AE908" s="624">
        <f>IF(ISNA(MATCH(AC908,N900:N909,0)),0,VLOOKUP(AC908,N900:S909,5,FALSE))</f>
        <v>0</v>
      </c>
      <c r="AF908" s="624" t="str">
        <f t="shared" ref="AF908" si="813">IF(ISNA(MATCH(AC908,T900:T909,0))," ",VLOOKUP(AC908,T900:Y909,5,FALSE))</f>
        <v xml:space="preserve"> </v>
      </c>
      <c r="AG908" s="624">
        <f>IF(ISNA(MATCH(AC908,L901:L908,0)),0,VLOOKUP(AC908,L901:N908,3,FALSE))</f>
        <v>64.400000000000006</v>
      </c>
      <c r="AH908" s="624">
        <f>IF(ISNA(MATCH(AC908,R901:R908,0)),0,VLOOKUP(AC908,R901:T908,3,FALSE))</f>
        <v>0</v>
      </c>
      <c r="AI908" s="624" t="str">
        <f>IF(ISNA(MATCH(AC908,L901:L908,0)),0,VLOOKUP(AC908,L901:P908,4,FALSE))</f>
        <v>Y - Worc</v>
      </c>
      <c r="AJ908" s="624">
        <f>IF(ISNA(MATCH(AC908,R901:R908,0)),0,VLOOKUP(AC908,R901:U908,4,FALSE))</f>
        <v>0</v>
      </c>
      <c r="AK908" s="116">
        <f t="shared" si="809"/>
        <v>6</v>
      </c>
      <c r="AL908" s="116">
        <f t="shared" si="810"/>
        <v>0</v>
      </c>
      <c r="AM908" s="116">
        <f>IF(ISNA(MATCH(AC908,L901:L908,0)),0,VLOOKUP(AC908,L901:W908,AM$1,FALSE))</f>
        <v>3</v>
      </c>
      <c r="AN908" s="523">
        <f>IF(ISNA(MATCH(AC908,R901:R908,0)),0,VLOOKUP(AC908,R901:W908,AN$1,FALSE))</f>
        <v>0</v>
      </c>
      <c r="AP908" s="928"/>
      <c r="AQ908" s="932"/>
    </row>
    <row r="909" spans="1:47" ht="15" thickBot="1" x14ac:dyDescent="0.35">
      <c r="M909" s="276"/>
      <c r="N909" s="307"/>
      <c r="S909" s="276"/>
      <c r="T909" s="307"/>
      <c r="AP909" s="276"/>
      <c r="AQ909" s="307"/>
    </row>
    <row r="910" spans="1:47" x14ac:dyDescent="0.3">
      <c r="B910" s="400" t="s">
        <v>258</v>
      </c>
      <c r="C910" s="398"/>
      <c r="D910" s="401" t="s">
        <v>165</v>
      </c>
      <c r="E910" s="398"/>
      <c r="F910" s="398"/>
      <c r="G910" s="402" t="s">
        <v>259</v>
      </c>
      <c r="H910" s="403" t="s">
        <v>249</v>
      </c>
      <c r="I910" s="404" t="s">
        <v>168</v>
      </c>
      <c r="K910" s="360"/>
      <c r="L910" s="661"/>
      <c r="M910" s="929" t="s">
        <v>260</v>
      </c>
      <c r="N910" s="929" t="s">
        <v>261</v>
      </c>
      <c r="O910" s="387" t="s">
        <v>262</v>
      </c>
      <c r="P910" s="388" t="s">
        <v>75</v>
      </c>
      <c r="Q910" s="412"/>
      <c r="R910" s="657"/>
      <c r="S910" s="929" t="s">
        <v>260</v>
      </c>
      <c r="T910" s="929" t="s">
        <v>261</v>
      </c>
      <c r="U910" s="387" t="s">
        <v>262</v>
      </c>
      <c r="V910" s="388" t="s">
        <v>75</v>
      </c>
      <c r="W910" s="672" t="s">
        <v>76</v>
      </c>
      <c r="Y910" s="654" t="s">
        <v>263</v>
      </c>
      <c r="Z910" s="656" t="s">
        <v>74</v>
      </c>
      <c r="AA910" s="657" t="s">
        <v>75</v>
      </c>
      <c r="AC910" s="665" t="s">
        <v>71</v>
      </c>
      <c r="AD910" s="657" t="s">
        <v>86</v>
      </c>
      <c r="AE910" s="661" t="s">
        <v>149</v>
      </c>
      <c r="AF910" s="661" t="s">
        <v>94</v>
      </c>
      <c r="AG910" s="661" t="s">
        <v>149</v>
      </c>
      <c r="AH910" s="661" t="s">
        <v>94</v>
      </c>
      <c r="AI910" s="661" t="s">
        <v>149</v>
      </c>
      <c r="AJ910" s="661" t="s">
        <v>94</v>
      </c>
      <c r="AK910" s="1332" t="s">
        <v>149</v>
      </c>
      <c r="AL910" s="661" t="s">
        <v>94</v>
      </c>
      <c r="AM910" s="1406" t="s">
        <v>76</v>
      </c>
      <c r="AN910" s="1407"/>
      <c r="AP910" s="929" t="s">
        <v>260</v>
      </c>
      <c r="AQ910" s="929" t="s">
        <v>261</v>
      </c>
      <c r="AS910" s="1218" t="s">
        <v>165</v>
      </c>
      <c r="AT910" s="1219" t="s">
        <v>79</v>
      </c>
      <c r="AU910" s="1220" t="s">
        <v>80</v>
      </c>
    </row>
    <row r="911" spans="1:47" ht="15" thickBot="1" x14ac:dyDescent="0.35">
      <c r="B911" s="405">
        <v>82</v>
      </c>
      <c r="C911" s="399"/>
      <c r="D911" s="385" t="str">
        <f>VLOOKUP($B911,EventOrder,6,FALSE)</f>
        <v xml:space="preserve">4 x 100m </v>
      </c>
      <c r="E911" s="399"/>
      <c r="F911" s="385"/>
      <c r="G911" s="386" t="str">
        <f>VLOOKUP($B911,EventOrder,4,FALSE)</f>
        <v>U14 Female</v>
      </c>
      <c r="H911" s="396" t="str">
        <f>IF(MID(G911,5,1)="F","F","M")</f>
        <v>F</v>
      </c>
      <c r="I911" s="397">
        <f>VLOOKUP($B911,EventOrder,2,FALSE)</f>
        <v>4.5</v>
      </c>
      <c r="K911" s="372"/>
      <c r="L911" s="667" t="s">
        <v>149</v>
      </c>
      <c r="M911" s="930" t="s">
        <v>264</v>
      </c>
      <c r="N911" s="930" t="s">
        <v>265</v>
      </c>
      <c r="O911" s="409" t="s">
        <v>266</v>
      </c>
      <c r="P911" s="408"/>
      <c r="Q911" s="413"/>
      <c r="R911" s="659" t="s">
        <v>94</v>
      </c>
      <c r="S911" s="930" t="s">
        <v>264</v>
      </c>
      <c r="T911" s="930" t="s">
        <v>265</v>
      </c>
      <c r="U911" s="409" t="s">
        <v>266</v>
      </c>
      <c r="V911" s="408"/>
      <c r="W911" s="671"/>
      <c r="Y911" s="655" t="s">
        <v>167</v>
      </c>
      <c r="Z911" s="658" t="s">
        <v>149</v>
      </c>
      <c r="AA911" s="659" t="s">
        <v>94</v>
      </c>
      <c r="AC911" s="666"/>
      <c r="AD911" s="668"/>
      <c r="AE911" s="768" t="s">
        <v>75</v>
      </c>
      <c r="AF911" s="768" t="s">
        <v>75</v>
      </c>
      <c r="AG911" s="768" t="s">
        <v>267</v>
      </c>
      <c r="AH911" s="768" t="s">
        <v>267</v>
      </c>
      <c r="AI911" s="768" t="s">
        <v>268</v>
      </c>
      <c r="AJ911" s="768" t="s">
        <v>268</v>
      </c>
      <c r="AK911" s="770" t="s">
        <v>269</v>
      </c>
      <c r="AL911" s="768" t="s">
        <v>269</v>
      </c>
      <c r="AM911" s="667" t="s">
        <v>149</v>
      </c>
      <c r="AN911" s="659" t="s">
        <v>94</v>
      </c>
      <c r="AP911" s="930" t="s">
        <v>264</v>
      </c>
      <c r="AQ911" s="930" t="s">
        <v>265</v>
      </c>
      <c r="AS911" s="1221" t="s">
        <v>270</v>
      </c>
      <c r="AT911" s="1222" t="s">
        <v>270</v>
      </c>
      <c r="AU911" s="1223" t="s">
        <v>270</v>
      </c>
    </row>
    <row r="912" spans="1:47" ht="15.6" x14ac:dyDescent="0.3">
      <c r="A912" s="416">
        <f>(B911*10)+1</f>
        <v>821</v>
      </c>
      <c r="B912" s="362" t="str">
        <f>'Event Details'!D$22</f>
        <v>S</v>
      </c>
      <c r="C912" s="381" t="str">
        <f>'Event Details'!E$22</f>
        <v>BRAT</v>
      </c>
      <c r="D912" s="379"/>
      <c r="E912" s="378"/>
      <c r="F912" s="363" t="str">
        <f>'Event Details'!H$22</f>
        <v>BRAT</v>
      </c>
      <c r="G912" s="380" t="str">
        <f>VLOOKUP($B911,IF($H911="F",TeamSheetFemale,TeamSheetMale),$Y912,FALSE)</f>
        <v>BRAT</v>
      </c>
      <c r="H912" s="363">
        <f>VLOOKUP($B911,IF($H911="F",TeamSheetFemale,TeamSheetMale),$Y912+1,FALSE)</f>
        <v>0</v>
      </c>
      <c r="I912" s="364">
        <f>VLOOKUP($B911,IF($H911="F",TeamSheetFemale,TeamSheetMale),$Y912+2,FALSE)</f>
        <v>0</v>
      </c>
      <c r="K912" s="393" t="s">
        <v>271</v>
      </c>
      <c r="L912" s="16" t="str">
        <f t="shared" ref="L912:L919" si="814">LEFT(M912,1)</f>
        <v>G</v>
      </c>
      <c r="M912" s="926" t="s">
        <v>110</v>
      </c>
      <c r="N912" s="926">
        <v>55</v>
      </c>
      <c r="O912" s="1241" t="str">
        <f>IF(N912&gt;1,M912&amp;" - "&amp;VLOOKUP($M912,B912:I919,5,FALSE),"")</f>
        <v>G - Royal</v>
      </c>
      <c r="P912" s="395" t="str">
        <f>IF(LEN($M912)=1,VLOOKUP(LEFT($M912,1),B912:I919,6,FALSE),IF(LEN($M912)=2,VLOOKUP(LEFT($M912,1),B912:I919,8,FALSE),""))</f>
        <v>Royal Sutton</v>
      </c>
      <c r="Q912" s="406" t="s">
        <v>271</v>
      </c>
      <c r="R912" s="146" t="str">
        <f t="shared" ref="R912:R919" si="815">LEFT(S912,1)</f>
        <v/>
      </c>
      <c r="S912" s="926"/>
      <c r="T912" s="926"/>
      <c r="U912" s="394" t="str">
        <f>IF(LEN($S912)=1,VLOOKUP(LEFT($S912,1),B912:I919,5,FALSE),IF(LEN($S912)=2,VLOOKUP(LEFT($S912,1),B912:I919,7,FALSE),""))</f>
        <v/>
      </c>
      <c r="V912" s="395" t="str">
        <f>IF(LEN($S912)=1,VLOOKUP(LEFT($S912,1),B912:I919,6,FALSE),IF(LEN($S912)=2,VLOOKUP(LEFT($S912,1),B912:I919,8,FALSE),""))</f>
        <v/>
      </c>
      <c r="W912" s="417">
        <f>AN$6</f>
        <v>8</v>
      </c>
      <c r="Y912" s="653">
        <v>7</v>
      </c>
      <c r="Z912" s="653" t="str">
        <f t="shared" ref="Z912:Z919" si="816">IF(LEN(M912)&gt;0,VLOOKUP(LEFT(M912,1),ShortName,5,FALSE),0)</f>
        <v>Royal</v>
      </c>
      <c r="AA912" s="138">
        <f t="shared" ref="AA912:AA919" si="817">IF(LEN(S912)&gt;0,VLOOKUP(LEFT(S912,1),ShortName,5,FALSE),0)</f>
        <v>0</v>
      </c>
      <c r="AC912" s="16" t="str">
        <f t="shared" ref="AC912:AD919" si="818">B912</f>
        <v>S</v>
      </c>
      <c r="AD912" s="419" t="str">
        <f t="shared" si="818"/>
        <v>BRAT</v>
      </c>
      <c r="AE912" s="635">
        <f>IF(ISNA(MATCH(AC912,N912:N921,0)),0,VLOOKUP(AC912,N912:S921,5,FALSE))</f>
        <v>0</v>
      </c>
      <c r="AF912" s="635" t="str">
        <f>IF(ISNA(MATCH(AC912,T912:T921,0))," ",VLOOKUP(AC912,T912:Y921,5,FALSE))</f>
        <v xml:space="preserve"> </v>
      </c>
      <c r="AG912" s="635">
        <f>IF(ISNA(MATCH(AC912,L912:L919,0)),0,VLOOKUP(AC912,L912:N919,3,FALSE))</f>
        <v>57.5</v>
      </c>
      <c r="AH912" s="635">
        <f>IF(ISNA(MATCH(AC912,R912:R919,0)),0,VLOOKUP(AC912,R912:T919,3,FALSE))</f>
        <v>0</v>
      </c>
      <c r="AI912" s="635" t="str">
        <f>IF(ISNA(MATCH(AC912,L912:L919,0)),0,VLOOKUP(AC912,L912:P919,4,FALSE))</f>
        <v>S - BRAT</v>
      </c>
      <c r="AJ912" s="635">
        <f>IF(ISNA(MATCH(AC912,R912:R919,0)),0,VLOOKUP(AC912,R912:U919,4,FALSE))</f>
        <v>0</v>
      </c>
      <c r="AK912" s="49">
        <f t="shared" ref="AK912:AK919" si="819">IF(AM912=0,0,AN$6-(AM912-1))</f>
        <v>5</v>
      </c>
      <c r="AL912" s="49">
        <f t="shared" ref="AL912:AL919" si="820">IF(AN912=0,0,AN$6-(AN912-1))</f>
        <v>0</v>
      </c>
      <c r="AM912" s="49">
        <f>IF(ISNA(MATCH(AC912,L912:L919,0)),0,VLOOKUP(AC912,L912:W919,AM$1,FALSE))</f>
        <v>4</v>
      </c>
      <c r="AN912" s="138">
        <f>IF(ISNA(MATCH(AC912,R912:R919,0)),0,VLOOKUP(AC912,R912:W919,AN$1,FALSE))</f>
        <v>0</v>
      </c>
      <c r="AP912" s="926"/>
      <c r="AQ912" s="926"/>
      <c r="AS912" s="32">
        <f>IF(LEN(N912)&gt;0,1,0)</f>
        <v>1</v>
      </c>
      <c r="AT912" s="32">
        <f>IF(AND(AS912=1,H911="M"),1,0)</f>
        <v>0</v>
      </c>
      <c r="AU912" s="32">
        <f>IF(AND(AS912=1,H911="F"),1,0)</f>
        <v>1</v>
      </c>
    </row>
    <row r="913" spans="1:47" ht="15.6" x14ac:dyDescent="0.3">
      <c r="A913" s="417">
        <f>A912+1</f>
        <v>822</v>
      </c>
      <c r="B913" s="362" t="str">
        <f>'Event Details'!D$23</f>
        <v>U</v>
      </c>
      <c r="C913" s="381" t="str">
        <f>'Event Details'!E$23</f>
        <v>Kidder &amp; Stourport</v>
      </c>
      <c r="D913" s="379"/>
      <c r="E913" s="378"/>
      <c r="F913" s="363" t="str">
        <f>'Event Details'!H$23</f>
        <v>K&amp;S</v>
      </c>
      <c r="G913" s="380" t="str">
        <f>VLOOKUP($B911,IF($H911="F",TeamSheetFemale,TeamSheetMale),$Y913,FALSE)</f>
        <v>Kidder &amp; Stourport</v>
      </c>
      <c r="H913" s="363">
        <f>VLOOKUP($B911,IF($H911="F",TeamSheetFemale,TeamSheetMale),$Y913+1,FALSE)</f>
        <v>0</v>
      </c>
      <c r="I913" s="364">
        <f>VLOOKUP($B911,IF($H911="F",TeamSheetFemale,TeamSheetMale),$Y913+2,FALSE)</f>
        <v>0</v>
      </c>
      <c r="K913" s="341" t="s">
        <v>272</v>
      </c>
      <c r="L913" s="16" t="str">
        <f t="shared" si="814"/>
        <v>R</v>
      </c>
      <c r="M913" s="927" t="s">
        <v>118</v>
      </c>
      <c r="N913" s="927">
        <v>55.9</v>
      </c>
      <c r="O913" s="1242" t="str">
        <f>IF(N913&gt;1,M913&amp;" - "&amp;VLOOKUP($M913,B912:I919,5,FALSE),"")</f>
        <v>R - Rugby</v>
      </c>
      <c r="P913" s="410" t="str">
        <f>IF(LEN($M913)=1,VLOOKUP(LEFT($M913,1),B912:I919,6,FALSE),IF(LEN($M913)=2,VLOOKUP(LEFT($M913,1),B912:I919,8,FALSE),""))</f>
        <v>Rugby &amp; N'hampton</v>
      </c>
      <c r="Q913" s="371" t="s">
        <v>272</v>
      </c>
      <c r="R913" s="146" t="str">
        <f t="shared" si="815"/>
        <v/>
      </c>
      <c r="S913" s="927"/>
      <c r="T913" s="927"/>
      <c r="U913" s="354" t="str">
        <f>IF(LEN($S913)=1,VLOOKUP(LEFT($S913,1),B912:I919,5,FALSE),IF(LEN($S913)=2,VLOOKUP(LEFT($S913,1),B912:I919,7,FALSE),""))</f>
        <v/>
      </c>
      <c r="V913" s="410" t="str">
        <f>IF(LEN($S913)=1,VLOOKUP(LEFT($S913,1),B912:I919,6,FALSE),IF(LEN($S913)=2,VLOOKUP(LEFT($S913,1),B912:I919,8,FALSE),""))</f>
        <v/>
      </c>
      <c r="W913" s="417">
        <f>W912-1</f>
        <v>7</v>
      </c>
      <c r="Y913" s="16">
        <v>12</v>
      </c>
      <c r="Z913" s="16" t="str">
        <f t="shared" si="816"/>
        <v>Rugby</v>
      </c>
      <c r="AA913" s="146">
        <f t="shared" si="817"/>
        <v>0</v>
      </c>
      <c r="AC913" s="16" t="str">
        <f t="shared" si="818"/>
        <v>U</v>
      </c>
      <c r="AD913" s="419" t="str">
        <f t="shared" si="818"/>
        <v>Kidder &amp; Stourport</v>
      </c>
      <c r="AE913" s="419">
        <f>IF(ISNA(MATCH(AC913,N912:N921,0)),0,VLOOKUP(AC913,N912:S921,5,FALSE))</f>
        <v>0</v>
      </c>
      <c r="AF913" s="419" t="str">
        <f>IF(ISNA(MATCH(AC913,T912:T921,0))," ",VLOOKUP(AC913,T912:Y921,5,FALSE))</f>
        <v xml:space="preserve"> </v>
      </c>
      <c r="AG913" s="419">
        <f>IF(ISNA(MATCH(AC913,L912:L919,0)),0,VLOOKUP(AC913,L912:N919,3,FALSE))</f>
        <v>56.8</v>
      </c>
      <c r="AH913" s="419">
        <f>IF(ISNA(MATCH(AC913,R912:R919,0)),0,VLOOKUP(AC913,R912:T919,3,FALSE))</f>
        <v>0</v>
      </c>
      <c r="AI913" s="419" t="str">
        <f>IF(ISNA(MATCH(AC913,L912:L919,0)),0,VLOOKUP(AC913,L912:P919,4,FALSE))</f>
        <v>U - K&amp;S</v>
      </c>
      <c r="AJ913" s="419">
        <f>IF(ISNA(MATCH(AC913,R912:R919,0)),0,VLOOKUP(AC913,R912:U919,4,FALSE))</f>
        <v>0</v>
      </c>
      <c r="AK913" s="32">
        <f t="shared" si="819"/>
        <v>3</v>
      </c>
      <c r="AL913" s="32">
        <f t="shared" si="820"/>
        <v>0</v>
      </c>
      <c r="AM913" s="32">
        <f>IF(ISNA(MATCH(AC913,L912:L919,0)),0,VLOOKUP(AC913,L912:W919,AM$1,FALSE))</f>
        <v>6</v>
      </c>
      <c r="AN913" s="146">
        <f>IF(ISNA(MATCH(AC913,R912:R919,0)),0,VLOOKUP(AC913,R912:W919,AN$1,FALSE))</f>
        <v>0</v>
      </c>
      <c r="AP913" s="927"/>
      <c r="AQ913" s="927"/>
    </row>
    <row r="914" spans="1:47" ht="15.6" x14ac:dyDescent="0.3">
      <c r="A914" s="417">
        <f t="shared" ref="A914:A919" si="821">A913+1</f>
        <v>823</v>
      </c>
      <c r="B914" s="362" t="str">
        <f>'Event Details'!D$24</f>
        <v>G</v>
      </c>
      <c r="C914" s="381" t="str">
        <f>'Event Details'!E$24</f>
        <v>Royal Sutton</v>
      </c>
      <c r="D914" s="379"/>
      <c r="E914" s="378"/>
      <c r="F914" s="363" t="str">
        <f>'Event Details'!H$24</f>
        <v>Royal</v>
      </c>
      <c r="G914" s="380" t="str">
        <f>VLOOKUP($B911,IF($H911="F",TeamSheetFemale,TeamSheetMale),$Y914,FALSE)</f>
        <v>Royal Sutton</v>
      </c>
      <c r="H914" s="363">
        <f>VLOOKUP($B911,IF($H911="F",TeamSheetFemale,TeamSheetMale),$Y914+1,FALSE)</f>
        <v>0</v>
      </c>
      <c r="I914" s="364">
        <f>VLOOKUP($B911,IF($H911="F",TeamSheetFemale,TeamSheetMale),$Y914+2,FALSE)</f>
        <v>0</v>
      </c>
      <c r="K914" s="341" t="s">
        <v>273</v>
      </c>
      <c r="L914" s="16" t="str">
        <f t="shared" si="814"/>
        <v>U</v>
      </c>
      <c r="M914" s="927" t="s">
        <v>130</v>
      </c>
      <c r="N914" s="927">
        <v>56.8</v>
      </c>
      <c r="O914" s="1242" t="str">
        <f>IF(N914&gt;1,M914&amp;" - "&amp;VLOOKUP($M914,B912:I919,5,FALSE),"")</f>
        <v>U - K&amp;S</v>
      </c>
      <c r="P914" s="410" t="str">
        <f>IF(LEN($M914)=1,VLOOKUP(LEFT($M914,1),B912:I919,6,FALSE),IF(LEN($M914)=2,VLOOKUP(LEFT($M914,1),B912:I919,8,FALSE),""))</f>
        <v>Kidder &amp; Stourport</v>
      </c>
      <c r="Q914" s="371" t="s">
        <v>273</v>
      </c>
      <c r="R914" s="146" t="str">
        <f t="shared" si="815"/>
        <v/>
      </c>
      <c r="S914" s="927"/>
      <c r="T914" s="927"/>
      <c r="U914" s="354" t="str">
        <f>IF(LEN($S914)=1,VLOOKUP(LEFT($S914,1),B912:I919,5,FALSE),IF(LEN($S914)=2,VLOOKUP(LEFT($S914,1),B912:I919,7,FALSE),""))</f>
        <v/>
      </c>
      <c r="V914" s="410" t="str">
        <f>IF(LEN($S914)=1,VLOOKUP(LEFT($S914,1),B912:I919,6,FALSE),IF(LEN($S914)=2,VLOOKUP(LEFT($S914,1),B912:I919,8,FALSE),""))</f>
        <v/>
      </c>
      <c r="W914" s="417">
        <f t="shared" ref="W914:W919" si="822">W913-1</f>
        <v>6</v>
      </c>
      <c r="Y914" s="16">
        <v>17</v>
      </c>
      <c r="Z914" s="16" t="str">
        <f t="shared" si="816"/>
        <v>K&amp;S</v>
      </c>
      <c r="AA914" s="146">
        <f t="shared" si="817"/>
        <v>0</v>
      </c>
      <c r="AC914" s="16" t="str">
        <f t="shared" si="818"/>
        <v>G</v>
      </c>
      <c r="AD914" s="419" t="str">
        <f t="shared" si="818"/>
        <v>Royal Sutton</v>
      </c>
      <c r="AE914" s="419">
        <f>IF(ISNA(MATCH(AC914,N912:N921,0)),0,VLOOKUP(AC914,N912:S921,5,FALSE))</f>
        <v>0</v>
      </c>
      <c r="AF914" s="419" t="str">
        <f>IF(ISNA(MATCH(AC914,T912:T921,0))," ",VLOOKUP(AC914,T912:Y921,5,FALSE))</f>
        <v xml:space="preserve"> </v>
      </c>
      <c r="AG914" s="419">
        <f>IF(ISNA(MATCH(AC914,L912:L919,0)),0,VLOOKUP(AC914,L912:N919,3,FALSE))</f>
        <v>55</v>
      </c>
      <c r="AH914" s="419">
        <f>IF(ISNA(MATCH(AC914,R912:R919,0)),0,VLOOKUP(AC914,R912:T919,3,FALSE))</f>
        <v>0</v>
      </c>
      <c r="AI914" s="419" t="str">
        <f>IF(ISNA(MATCH(AC914,L912:L919,0)),0,VLOOKUP(AC914,L912:P919,4,FALSE))</f>
        <v>G - Royal</v>
      </c>
      <c r="AJ914" s="419">
        <f>IF(ISNA(MATCH(AC914,R912:R919,0)),0,VLOOKUP(AC914,R912:U919,4,FALSE))</f>
        <v>0</v>
      </c>
      <c r="AK914" s="32">
        <f t="shared" si="819"/>
        <v>1</v>
      </c>
      <c r="AL914" s="32">
        <f t="shared" si="820"/>
        <v>0</v>
      </c>
      <c r="AM914" s="32">
        <f>IF(ISNA(MATCH(AC914,L912:L919,0)),0,VLOOKUP(AC914,L912:W919,AM$1,FALSE))</f>
        <v>8</v>
      </c>
      <c r="AN914" s="146">
        <f>IF(ISNA(MATCH(AC914,R912:R919,0)),0,VLOOKUP(AC914,R912:W919,AN$1,FALSE))</f>
        <v>0</v>
      </c>
      <c r="AP914" s="927"/>
      <c r="AQ914" s="927"/>
    </row>
    <row r="915" spans="1:47" ht="15.6" x14ac:dyDescent="0.3">
      <c r="A915" s="417">
        <f t="shared" si="821"/>
        <v>824</v>
      </c>
      <c r="B915" s="362" t="str">
        <f>'Event Details'!D$25</f>
        <v>R</v>
      </c>
      <c r="C915" s="381" t="str">
        <f>'Event Details'!E$25</f>
        <v>Rugby &amp; N'hampton</v>
      </c>
      <c r="D915" s="379"/>
      <c r="E915" s="378"/>
      <c r="F915" s="363" t="str">
        <f>'Event Details'!H$25</f>
        <v>Rugby</v>
      </c>
      <c r="G915" s="380" t="str">
        <f>VLOOKUP($B911,IF($H911="F",TeamSheetFemale,TeamSheetMale),$Y915,FALSE)</f>
        <v>Rugby &amp; N'hampton</v>
      </c>
      <c r="H915" s="363">
        <f>VLOOKUP($B911,IF($H911="F",TeamSheetFemale,TeamSheetMale),$Y915+1,FALSE)</f>
        <v>0</v>
      </c>
      <c r="I915" s="364">
        <f>VLOOKUP($B911,IF($H911="F",TeamSheetFemale,TeamSheetMale),$Y915+2,FALSE)</f>
        <v>0</v>
      </c>
      <c r="K915" s="341" t="s">
        <v>274</v>
      </c>
      <c r="L915" s="16" t="str">
        <f t="shared" si="814"/>
        <v>M</v>
      </c>
      <c r="M915" s="927" t="s">
        <v>127</v>
      </c>
      <c r="N915" s="927">
        <v>56.8</v>
      </c>
      <c r="O915" s="1242" t="str">
        <f>IF(N915&gt;1,M915&amp;" - "&amp;VLOOKUP($M915,B912:I919,5,FALSE),"")</f>
        <v>M - Sol</v>
      </c>
      <c r="P915" s="410" t="str">
        <f>IF(LEN($M915)=1,VLOOKUP(LEFT($M915,1),B912:I919,6,FALSE),IF(LEN($M915)=2,VLOOKUP(LEFT($M915,1),B912:I919,8,FALSE),""))</f>
        <v>Solihull &amp; S.Heath</v>
      </c>
      <c r="Q915" s="371" t="s">
        <v>274</v>
      </c>
      <c r="R915" s="146" t="str">
        <f t="shared" si="815"/>
        <v/>
      </c>
      <c r="S915" s="927"/>
      <c r="T915" s="927"/>
      <c r="U915" s="354" t="str">
        <f>IF(LEN($S915)=1,VLOOKUP(LEFT($S915,1),B912:I919,5,FALSE),IF(LEN($S915)=2,VLOOKUP(LEFT($S915,1),B912:I919,7,FALSE),""))</f>
        <v/>
      </c>
      <c r="V915" s="410" t="str">
        <f>IF(LEN($S915)=1,VLOOKUP(LEFT($S915,1),B912:I919,6,FALSE),IF(LEN($S915)=2,VLOOKUP(LEFT($S915,1),B912:I919,8,FALSE),""))</f>
        <v/>
      </c>
      <c r="W915" s="417">
        <f t="shared" si="822"/>
        <v>5</v>
      </c>
      <c r="Y915" s="16">
        <v>22</v>
      </c>
      <c r="Z915" s="16" t="str">
        <f t="shared" si="816"/>
        <v>Sol</v>
      </c>
      <c r="AA915" s="146">
        <f t="shared" si="817"/>
        <v>0</v>
      </c>
      <c r="AC915" s="16" t="str">
        <f t="shared" si="818"/>
        <v>R</v>
      </c>
      <c r="AD915" s="419" t="str">
        <f t="shared" si="818"/>
        <v>Rugby &amp; N'hampton</v>
      </c>
      <c r="AE915" s="419">
        <f>IF(ISNA(MATCH(AC915,N912:N921,0)),0,VLOOKUP(AC915,N912:S921,5,FALSE))</f>
        <v>0</v>
      </c>
      <c r="AF915" s="419" t="str">
        <f>IF(ISNA(MATCH(AC915,T912:T921,0))," ",VLOOKUP(AC915,T912:Y921,5,FALSE))</f>
        <v xml:space="preserve"> </v>
      </c>
      <c r="AG915" s="419">
        <f>IF(ISNA(MATCH(AC915,L912:L919,0)),0,VLOOKUP(AC915,L912:N919,3,FALSE))</f>
        <v>55.9</v>
      </c>
      <c r="AH915" s="419">
        <f>IF(ISNA(MATCH(AC915,R912:R919,0)),0,VLOOKUP(AC915,R912:T919,3,FALSE))</f>
        <v>0</v>
      </c>
      <c r="AI915" s="419" t="str">
        <f>IF(ISNA(MATCH(AC915,L912:L919,0)),0,VLOOKUP(AC915,L912:P919,4,FALSE))</f>
        <v>R - Rugby</v>
      </c>
      <c r="AJ915" s="419">
        <f>IF(ISNA(MATCH(AC915,R912:R919,0)),0,VLOOKUP(AC915,R912:U919,4,FALSE))</f>
        <v>0</v>
      </c>
      <c r="AK915" s="32">
        <f t="shared" si="819"/>
        <v>2</v>
      </c>
      <c r="AL915" s="32">
        <f t="shared" si="820"/>
        <v>0</v>
      </c>
      <c r="AM915" s="32">
        <f>IF(ISNA(MATCH(AC915,L912:L919,0)),0,VLOOKUP(AC915,L912:W919,AM$1,FALSE))</f>
        <v>7</v>
      </c>
      <c r="AN915" s="146">
        <f>IF(ISNA(MATCH(AC915,R912:R919,0)),0,VLOOKUP(AC915,R912:W919,AN$1,FALSE))</f>
        <v>0</v>
      </c>
      <c r="AP915" s="927"/>
      <c r="AQ915" s="927"/>
    </row>
    <row r="916" spans="1:47" ht="15.6" x14ac:dyDescent="0.3">
      <c r="A916" s="417">
        <f t="shared" si="821"/>
        <v>825</v>
      </c>
      <c r="B916" s="362" t="str">
        <f>'Event Details'!D$26</f>
        <v>M</v>
      </c>
      <c r="C916" s="381" t="str">
        <f>'Event Details'!E$26</f>
        <v>Solihull &amp; S.Heath</v>
      </c>
      <c r="D916" s="379"/>
      <c r="E916" s="378"/>
      <c r="F916" s="363" t="str">
        <f>'Event Details'!H$26</f>
        <v>Sol</v>
      </c>
      <c r="G916" s="380" t="str">
        <f>VLOOKUP($B911,IF($H911="F",TeamSheetFemale,TeamSheetMale),$Y916,FALSE)</f>
        <v>Solihull &amp; S.Heath</v>
      </c>
      <c r="H916" s="363">
        <f>VLOOKUP($B911,IF($H911="F",TeamSheetFemale,TeamSheetMale),$Y916+1,FALSE)</f>
        <v>0</v>
      </c>
      <c r="I916" s="364">
        <f>VLOOKUP($B911,IF($H911="F",TeamSheetFemale,TeamSheetMale),$Y916+2,FALSE)</f>
        <v>0</v>
      </c>
      <c r="K916" s="341" t="s">
        <v>275</v>
      </c>
      <c r="L916" s="16" t="str">
        <f t="shared" si="814"/>
        <v>S</v>
      </c>
      <c r="M916" s="927" t="s">
        <v>100</v>
      </c>
      <c r="N916" s="927">
        <v>57.5</v>
      </c>
      <c r="O916" s="1242" t="str">
        <f>IF(N916&gt;1,M916&amp;" - "&amp;VLOOKUP($M916,B912:I919,5,FALSE),"")</f>
        <v>S - BRAT</v>
      </c>
      <c r="P916" s="410" t="str">
        <f>IF(LEN($M916)=1,VLOOKUP(LEFT($M916,1),B912:I919,6,FALSE),IF(LEN($M916)=2,VLOOKUP(LEFT($M916,1),B912:I919,8,FALSE),""))</f>
        <v>BRAT</v>
      </c>
      <c r="Q916" s="371" t="s">
        <v>275</v>
      </c>
      <c r="R916" s="146" t="str">
        <f t="shared" si="815"/>
        <v/>
      </c>
      <c r="S916" s="927"/>
      <c r="T916" s="927"/>
      <c r="U916" s="354" t="str">
        <f>IF(LEN($S916)=1,VLOOKUP(LEFT($S916,1),B912:I919,5,FALSE),IF(LEN($S916)=2,VLOOKUP(LEFT($S916,1),B912:I919,7,FALSE),""))</f>
        <v/>
      </c>
      <c r="V916" s="410" t="str">
        <f>IF(LEN($S916)=1,VLOOKUP(LEFT($S916,1),B912:I919,6,FALSE),IF(LEN($S916)=2,VLOOKUP(LEFT($S916,1),B912:I919,8,FALSE),""))</f>
        <v/>
      </c>
      <c r="W916" s="417">
        <f t="shared" si="822"/>
        <v>4</v>
      </c>
      <c r="Y916" s="16">
        <v>27</v>
      </c>
      <c r="Z916" s="16" t="str">
        <f t="shared" si="816"/>
        <v>BRAT</v>
      </c>
      <c r="AA916" s="146">
        <f t="shared" si="817"/>
        <v>0</v>
      </c>
      <c r="AC916" s="16" t="str">
        <f t="shared" si="818"/>
        <v>M</v>
      </c>
      <c r="AD916" s="419" t="str">
        <f t="shared" si="818"/>
        <v>Solihull &amp; S.Heath</v>
      </c>
      <c r="AE916" s="419">
        <f>IF(ISNA(MATCH(AC916,N912:N921,0)),0,VLOOKUP(AC916,N912:S921,5,FALSE))</f>
        <v>0</v>
      </c>
      <c r="AF916" s="419" t="str">
        <f>IF(ISNA(MATCH(AC916,T912:T921,0))," ",VLOOKUP(AC916,T912:Y921,5,FALSE))</f>
        <v xml:space="preserve"> </v>
      </c>
      <c r="AG916" s="419">
        <f>IF(ISNA(MATCH(AC916,L912:L919,0)),0,VLOOKUP(AC916,L912:N919,3,FALSE))</f>
        <v>56.8</v>
      </c>
      <c r="AH916" s="419">
        <f>IF(ISNA(MATCH(AC916,R912:R919,0)),0,VLOOKUP(AC916,R912:T919,3,FALSE))</f>
        <v>0</v>
      </c>
      <c r="AI916" s="419" t="str">
        <f>IF(ISNA(MATCH(AC916,L912:L919,0)),0,VLOOKUP(AC916,L912:P919,4,FALSE))</f>
        <v>M - Sol</v>
      </c>
      <c r="AJ916" s="419">
        <f>IF(ISNA(MATCH(AC916,R912:R919,0)),0,VLOOKUP(AC916,R912:U919,4,FALSE))</f>
        <v>0</v>
      </c>
      <c r="AK916" s="32">
        <f t="shared" si="819"/>
        <v>4</v>
      </c>
      <c r="AL916" s="32">
        <f t="shared" si="820"/>
        <v>0</v>
      </c>
      <c r="AM916" s="32">
        <f>IF(ISNA(MATCH(AC916,L912:L919,0)),0,VLOOKUP(AC916,L912:W919,AM$1,FALSE))</f>
        <v>5</v>
      </c>
      <c r="AN916" s="146">
        <f>IF(ISNA(MATCH(AC916,R912:R919,0)),0,VLOOKUP(AC916,R912:W919,AN$1,FALSE))</f>
        <v>0</v>
      </c>
      <c r="AP916" s="927"/>
      <c r="AQ916" s="927"/>
    </row>
    <row r="917" spans="1:47" ht="15.6" x14ac:dyDescent="0.3">
      <c r="A917" s="417">
        <f t="shared" si="821"/>
        <v>826</v>
      </c>
      <c r="B917" s="362" t="str">
        <f>'Event Details'!D$27</f>
        <v>D</v>
      </c>
      <c r="C917" s="381" t="str">
        <f>'Event Details'!E$27</f>
        <v>Stratford</v>
      </c>
      <c r="D917" s="379"/>
      <c r="E917" s="378"/>
      <c r="F917" s="363" t="str">
        <f>'Event Details'!H$27</f>
        <v>Strat</v>
      </c>
      <c r="G917" s="380" t="str">
        <f>VLOOKUP($B911,IF($H911="F",TeamSheetFemale,TeamSheetMale),$Y917,FALSE)</f>
        <v>Stratford</v>
      </c>
      <c r="H917" s="363">
        <f>VLOOKUP($B911,IF($H911="F",TeamSheetFemale,TeamSheetMale),$Y917+1,FALSE)</f>
        <v>0</v>
      </c>
      <c r="I917" s="364">
        <f>VLOOKUP($B911,IF($H911="F",TeamSheetFemale,TeamSheetMale),$Y917+2,FALSE)</f>
        <v>0</v>
      </c>
      <c r="K917" s="341" t="s">
        <v>276</v>
      </c>
      <c r="L917" s="16" t="str">
        <f t="shared" si="814"/>
        <v>Y</v>
      </c>
      <c r="M917" s="927" t="s">
        <v>151</v>
      </c>
      <c r="N917" s="927">
        <v>59.1</v>
      </c>
      <c r="O917" s="1242" t="str">
        <f>IF(N917&gt;1,M917&amp;" - "&amp;VLOOKUP($M917,B912:I919,5,FALSE),"")</f>
        <v>Y - Worc</v>
      </c>
      <c r="P917" s="410" t="str">
        <f>IF(LEN($M917)=1,VLOOKUP(LEFT($M917,1),B912:I919,6,FALSE),IF(LEN($M917)=2,VLOOKUP(LEFT($M917,1),B912:I919,8,FALSE),""))</f>
        <v>Worcester</v>
      </c>
      <c r="Q917" s="371" t="s">
        <v>276</v>
      </c>
      <c r="R917" s="146" t="str">
        <f t="shared" si="815"/>
        <v/>
      </c>
      <c r="S917" s="927"/>
      <c r="T917" s="927"/>
      <c r="U917" s="354" t="str">
        <f>IF(LEN($S917)=1,VLOOKUP(LEFT($S917,1),B912:I919,5,FALSE),IF(LEN($S917)=2,VLOOKUP(LEFT($S917,1),B912:I919,7,FALSE),""))</f>
        <v/>
      </c>
      <c r="V917" s="410" t="str">
        <f>IF(LEN($S917)=1,VLOOKUP(LEFT($S917,1),B912:I919,6,FALSE),IF(LEN($S917)=2,VLOOKUP(LEFT($S917,1),B912:I919,8,FALSE),""))</f>
        <v/>
      </c>
      <c r="W917" s="417">
        <f t="shared" si="822"/>
        <v>3</v>
      </c>
      <c r="Y917" s="16">
        <v>32</v>
      </c>
      <c r="Z917" s="16" t="str">
        <f t="shared" si="816"/>
        <v>Worc</v>
      </c>
      <c r="AA917" s="146">
        <f t="shared" si="817"/>
        <v>0</v>
      </c>
      <c r="AC917" s="16" t="str">
        <f t="shared" si="818"/>
        <v>D</v>
      </c>
      <c r="AD917" s="419" t="str">
        <f t="shared" si="818"/>
        <v>Stratford</v>
      </c>
      <c r="AE917" s="419">
        <f>IF(ISNA(MATCH(AC917,N912:N921,0)),0,VLOOKUP(AC917,N912:S921,5,FALSE))</f>
        <v>0</v>
      </c>
      <c r="AF917" s="419" t="str">
        <f>IF(ISNA(MATCH(AC917,T912:T921,0))," ",VLOOKUP(AC917,T912:Y921,5,FALSE))</f>
        <v xml:space="preserve"> </v>
      </c>
      <c r="AG917" s="419">
        <f>IF(ISNA(MATCH(AC917,L912:L919,0)),0,VLOOKUP(AC917,L912:N919,3,FALSE))</f>
        <v>63.4</v>
      </c>
      <c r="AH917" s="419">
        <f>IF(ISNA(MATCH(AC917,R912:R919,0)),0,VLOOKUP(AC917,R912:T919,3,FALSE))</f>
        <v>0</v>
      </c>
      <c r="AI917" s="419" t="str">
        <f>IF(ISNA(MATCH(AC917,L912:L919,0)),0,VLOOKUP(AC917,L912:P919,4,FALSE))</f>
        <v>D - Strat</v>
      </c>
      <c r="AJ917" s="419">
        <f>IF(ISNA(MATCH(AC917,R912:R919,0)),0,VLOOKUP(AC917,R912:U919,4,FALSE))</f>
        <v>0</v>
      </c>
      <c r="AK917" s="32">
        <f t="shared" si="819"/>
        <v>7</v>
      </c>
      <c r="AL917" s="32">
        <f t="shared" si="820"/>
        <v>0</v>
      </c>
      <c r="AM917" s="32">
        <f>IF(ISNA(MATCH(AC917,L912:L919,0)),0,VLOOKUP(AC917,L912:W919,AM$1,FALSE))</f>
        <v>2</v>
      </c>
      <c r="AN917" s="146">
        <f>IF(ISNA(MATCH(AC917,R912:R919,0)),0,VLOOKUP(AC917,R912:W919,AN$1,FALSE))</f>
        <v>0</v>
      </c>
      <c r="AP917" s="927"/>
      <c r="AQ917" s="927"/>
    </row>
    <row r="918" spans="1:47" ht="15.6" x14ac:dyDescent="0.3">
      <c r="A918" s="417">
        <f t="shared" si="821"/>
        <v>827</v>
      </c>
      <c r="B918" s="362" t="str">
        <f>'Event Details'!D$28</f>
        <v>F</v>
      </c>
      <c r="C918" s="381" t="str">
        <f>'Event Details'!E$28</f>
        <v>Tamworth</v>
      </c>
      <c r="D918" s="379"/>
      <c r="E918" s="378"/>
      <c r="F918" s="363" t="str">
        <f>'Event Details'!H$28</f>
        <v>Tam</v>
      </c>
      <c r="G918" s="380" t="str">
        <f>VLOOKUP($B911,IF($H911="F",TeamSheetFemale,TeamSheetMale),$Y918,FALSE)</f>
        <v>Tamworth</v>
      </c>
      <c r="H918" s="363">
        <f>VLOOKUP($B911,IF($H911="F",TeamSheetFemale,TeamSheetMale),$Y918+1,FALSE)</f>
        <v>0</v>
      </c>
      <c r="I918" s="364">
        <f>VLOOKUP($B911,IF($H911="F",TeamSheetFemale,TeamSheetMale),$Y918+2,FALSE)</f>
        <v>0</v>
      </c>
      <c r="K918" s="341" t="s">
        <v>277</v>
      </c>
      <c r="L918" s="16" t="str">
        <f t="shared" si="814"/>
        <v>D</v>
      </c>
      <c r="M918" s="931" t="s">
        <v>136</v>
      </c>
      <c r="N918" s="927">
        <v>63.4</v>
      </c>
      <c r="O918" s="1242" t="str">
        <f>IF(N918&gt;1,M918&amp;" - "&amp;VLOOKUP($M918,B912:I919,5,FALSE),"")</f>
        <v>D - Strat</v>
      </c>
      <c r="P918" s="410" t="str">
        <f>IF(LEN($M918)=1,VLOOKUP(LEFT($M918,1),B912:I919,6,FALSE),IF(LEN($M918)=2,VLOOKUP(LEFT($M918,1),B912:I919,8,FALSE),""))</f>
        <v>Stratford</v>
      </c>
      <c r="Q918" s="371" t="s">
        <v>277</v>
      </c>
      <c r="R918" s="146" t="str">
        <f t="shared" si="815"/>
        <v/>
      </c>
      <c r="S918" s="931"/>
      <c r="T918" s="927"/>
      <c r="U918" s="354" t="str">
        <f>IF(LEN($S918)=1,VLOOKUP(LEFT($S918,1),B912:I919,5,FALSE),IF(LEN($S918)=2,VLOOKUP(LEFT($S918,1),B912:I919,7,FALSE),""))</f>
        <v/>
      </c>
      <c r="V918" s="410" t="str">
        <f>IF(LEN($S918)=1,VLOOKUP(LEFT($S918,1),B912:I919,6,FALSE),IF(LEN($S918)=2,VLOOKUP(LEFT($S918,1),B912:I919,8,FALSE),""))</f>
        <v/>
      </c>
      <c r="W918" s="417">
        <f t="shared" si="822"/>
        <v>2</v>
      </c>
      <c r="Y918" s="16">
        <v>37</v>
      </c>
      <c r="Z918" s="16" t="str">
        <f t="shared" si="816"/>
        <v>Strat</v>
      </c>
      <c r="AA918" s="146">
        <f t="shared" si="817"/>
        <v>0</v>
      </c>
      <c r="AC918" s="16" t="str">
        <f t="shared" si="818"/>
        <v>F</v>
      </c>
      <c r="AD918" s="419" t="str">
        <f t="shared" si="818"/>
        <v>Tamworth</v>
      </c>
      <c r="AE918" s="419">
        <f>IF(ISNA(MATCH(AC918,N910:N919,0)),0,VLOOKUP(AC918,N910:S919,5,FALSE))</f>
        <v>0</v>
      </c>
      <c r="AF918" s="419" t="str">
        <f>IF(ISNA(MATCH(AC918,T910:T919,0))," ",VLOOKUP(AC918,T910:Y919,5,FALSE))</f>
        <v xml:space="preserve"> </v>
      </c>
      <c r="AG918" s="419">
        <f>IF(ISNA(MATCH(AC918,L912:L919,0)),0,VLOOKUP(AC918,L912:N919,3,FALSE))</f>
        <v>0</v>
      </c>
      <c r="AH918" s="419">
        <f>IF(ISNA(MATCH(AC918,R912:R919,0)),0,VLOOKUP(AC918,R912:T919,3,FALSE))</f>
        <v>0</v>
      </c>
      <c r="AI918" s="419">
        <f>IF(ISNA(MATCH(AC918,L912:L919,0)),0,VLOOKUP(AC918,L912:P919,4,FALSE))</f>
        <v>0</v>
      </c>
      <c r="AJ918" s="419">
        <f>IF(ISNA(MATCH(AC918,R912:R919,0)),0,VLOOKUP(AC918,R912:U919,4,FALSE))</f>
        <v>0</v>
      </c>
      <c r="AK918" s="32">
        <f t="shared" si="819"/>
        <v>0</v>
      </c>
      <c r="AL918" s="32">
        <f t="shared" si="820"/>
        <v>0</v>
      </c>
      <c r="AM918" s="32">
        <f>IF(ISNA(MATCH(AC918,L912:L919,0)),0,VLOOKUP(AC918,L912:W919,AM$1,FALSE))</f>
        <v>0</v>
      </c>
      <c r="AN918" s="146">
        <f>IF(ISNA(MATCH(AC918,R912:R919,0)),0,VLOOKUP(AC918,R912:W919,AN$1,FALSE))</f>
        <v>0</v>
      </c>
      <c r="AP918" s="931"/>
      <c r="AQ918" s="927"/>
    </row>
    <row r="919" spans="1:47" ht="16.2" thickBot="1" x14ac:dyDescent="0.35">
      <c r="A919" s="418">
        <f t="shared" si="821"/>
        <v>828</v>
      </c>
      <c r="B919" s="365" t="str">
        <f>'Event Details'!D$29</f>
        <v>Y</v>
      </c>
      <c r="C919" s="366" t="str">
        <f>'Event Details'!E$29</f>
        <v>Worcester</v>
      </c>
      <c r="D919" s="361"/>
      <c r="E919" s="370"/>
      <c r="F919" s="367" t="str">
        <f>'Event Details'!H$29</f>
        <v>Worc</v>
      </c>
      <c r="G919" s="368" t="str">
        <f>VLOOKUP($B911,IF($H911="F",TeamSheetFemale,TeamSheetMale),$Y919,FALSE)</f>
        <v>Worcester</v>
      </c>
      <c r="H919" s="367">
        <f>VLOOKUP($B911,IF($H911="F",TeamSheetFemale,TeamSheetMale),$Y919+1,FALSE)</f>
        <v>0</v>
      </c>
      <c r="I919" s="369">
        <f>VLOOKUP($B911,IF($H911="F",TeamSheetFemale,TeamSheetMale),$Y919+2,FALSE)</f>
        <v>0</v>
      </c>
      <c r="K919" s="346" t="s">
        <v>278</v>
      </c>
      <c r="L919" s="25" t="str">
        <f t="shared" si="814"/>
        <v/>
      </c>
      <c r="M919" s="928"/>
      <c r="N919" s="932"/>
      <c r="O919" s="1243" t="str">
        <f>IF(N919&gt;1,M919&amp;" - "&amp;VLOOKUP($M919,B912:I919,5,FALSE),"")</f>
        <v/>
      </c>
      <c r="P919" s="411" t="str">
        <f>IF(LEN($M919)=1,VLOOKUP(LEFT($M919,1),B912:I919,6,FALSE),IF(LEN($M919)=2,VLOOKUP(LEFT($M919,1),B912:I919,8,FALSE),""))</f>
        <v/>
      </c>
      <c r="Q919" s="407" t="s">
        <v>278</v>
      </c>
      <c r="R919" s="523" t="str">
        <f t="shared" si="815"/>
        <v/>
      </c>
      <c r="S919" s="928" t="s">
        <v>148</v>
      </c>
      <c r="T919" s="932"/>
      <c r="U919" s="374" t="str">
        <f>IF(LEN($S919)=1,VLOOKUP(LEFT($S919,1),B912:I919,5,FALSE),IF(LEN($S919)=2,VLOOKUP(LEFT($S919,1),B912:I919,7,FALSE),""))</f>
        <v/>
      </c>
      <c r="V919" s="411" t="str">
        <f>IF(LEN($S919)=1,VLOOKUP(LEFT($S919,1),B912:I919,6,FALSE),IF(LEN($S919)=2,VLOOKUP(LEFT($S919,1),B912:I919,8,FALSE),""))</f>
        <v/>
      </c>
      <c r="W919" s="418">
        <f t="shared" si="822"/>
        <v>1</v>
      </c>
      <c r="Y919" s="25">
        <v>42</v>
      </c>
      <c r="Z919" s="25">
        <f t="shared" si="816"/>
        <v>0</v>
      </c>
      <c r="AA919" s="523">
        <f t="shared" si="817"/>
        <v>0</v>
      </c>
      <c r="AC919" s="25" t="str">
        <f t="shared" si="818"/>
        <v>Y</v>
      </c>
      <c r="AD919" s="624" t="str">
        <f t="shared" si="818"/>
        <v>Worcester</v>
      </c>
      <c r="AE919" s="624">
        <f>IF(ISNA(MATCH(AC919,N911:N920,0)),0,VLOOKUP(AC919,N911:S920,5,FALSE))</f>
        <v>0</v>
      </c>
      <c r="AF919" s="624" t="str">
        <f t="shared" ref="AF919" si="823">IF(ISNA(MATCH(AC919,T911:T920,0))," ",VLOOKUP(AC919,T911:Y920,5,FALSE))</f>
        <v xml:space="preserve"> </v>
      </c>
      <c r="AG919" s="624">
        <f>IF(ISNA(MATCH(AC919,L912:L919,0)),0,VLOOKUP(AC919,L912:N919,3,FALSE))</f>
        <v>59.1</v>
      </c>
      <c r="AH919" s="624">
        <f>IF(ISNA(MATCH(AC919,R912:R919,0)),0,VLOOKUP(AC919,R912:T919,3,FALSE))</f>
        <v>0</v>
      </c>
      <c r="AI919" s="624" t="str">
        <f>IF(ISNA(MATCH(AC919,L912:L919,0)),0,VLOOKUP(AC919,L912:P919,4,FALSE))</f>
        <v>Y - Worc</v>
      </c>
      <c r="AJ919" s="624">
        <f>IF(ISNA(MATCH(AC919,R912:R919,0)),0,VLOOKUP(AC919,R912:U919,4,FALSE))</f>
        <v>0</v>
      </c>
      <c r="AK919" s="116">
        <f t="shared" si="819"/>
        <v>6</v>
      </c>
      <c r="AL919" s="116">
        <f t="shared" si="820"/>
        <v>0</v>
      </c>
      <c r="AM919" s="116">
        <f>IF(ISNA(MATCH(AC919,L912:L919,0)),0,VLOOKUP(AC919,L912:W919,AM$1,FALSE))</f>
        <v>3</v>
      </c>
      <c r="AN919" s="523">
        <f>IF(ISNA(MATCH(AC919,R912:R919,0)),0,VLOOKUP(AC919,R912:W919,AN$1,FALSE))</f>
        <v>0</v>
      </c>
      <c r="AP919" s="928" t="s">
        <v>148</v>
      </c>
      <c r="AQ919" s="932"/>
    </row>
    <row r="920" spans="1:47" ht="15" thickBot="1" x14ac:dyDescent="0.35">
      <c r="M920" s="276"/>
      <c r="N920" s="307"/>
      <c r="S920" s="276"/>
      <c r="T920" s="307"/>
      <c r="AP920" s="276"/>
      <c r="AQ920" s="307"/>
    </row>
    <row r="921" spans="1:47" x14ac:dyDescent="0.3">
      <c r="B921" s="400" t="s">
        <v>258</v>
      </c>
      <c r="C921" s="398"/>
      <c r="D921" s="401" t="s">
        <v>165</v>
      </c>
      <c r="E921" s="398"/>
      <c r="F921" s="398"/>
      <c r="G921" s="402" t="s">
        <v>259</v>
      </c>
      <c r="H921" s="403" t="s">
        <v>249</v>
      </c>
      <c r="I921" s="404" t="s">
        <v>168</v>
      </c>
      <c r="K921" s="360"/>
      <c r="L921" s="661"/>
      <c r="M921" s="387" t="s">
        <v>260</v>
      </c>
      <c r="N921" s="387" t="s">
        <v>261</v>
      </c>
      <c r="O921" s="387" t="s">
        <v>262</v>
      </c>
      <c r="P921" s="388" t="s">
        <v>75</v>
      </c>
      <c r="Q921" s="389"/>
      <c r="R921" s="657"/>
      <c r="S921" s="387" t="s">
        <v>260</v>
      </c>
      <c r="T921" s="387" t="s">
        <v>261</v>
      </c>
      <c r="U921" s="387" t="s">
        <v>262</v>
      </c>
      <c r="V921" s="388" t="s">
        <v>75</v>
      </c>
      <c r="W921" s="672" t="s">
        <v>76</v>
      </c>
      <c r="Y921" s="414" t="s">
        <v>263</v>
      </c>
      <c r="Z921" s="656" t="s">
        <v>74</v>
      </c>
      <c r="AA921" s="657" t="s">
        <v>75</v>
      </c>
      <c r="AC921" s="665" t="s">
        <v>71</v>
      </c>
      <c r="AD921" s="657" t="s">
        <v>86</v>
      </c>
      <c r="AE921" s="661" t="s">
        <v>149</v>
      </c>
      <c r="AF921" s="661" t="s">
        <v>94</v>
      </c>
      <c r="AG921" s="661" t="s">
        <v>149</v>
      </c>
      <c r="AH921" s="661" t="s">
        <v>94</v>
      </c>
      <c r="AI921" s="661" t="s">
        <v>149</v>
      </c>
      <c r="AJ921" s="661" t="s">
        <v>94</v>
      </c>
      <c r="AK921" s="1332" t="s">
        <v>149</v>
      </c>
      <c r="AL921" s="661" t="s">
        <v>94</v>
      </c>
      <c r="AM921" s="1406" t="s">
        <v>76</v>
      </c>
      <c r="AN921" s="1407"/>
      <c r="AP921" s="387" t="s">
        <v>260</v>
      </c>
      <c r="AQ921" s="387" t="s">
        <v>261</v>
      </c>
      <c r="AS921" s="1218" t="s">
        <v>165</v>
      </c>
      <c r="AT921" s="1219" t="s">
        <v>79</v>
      </c>
      <c r="AU921" s="1220" t="s">
        <v>80</v>
      </c>
    </row>
    <row r="922" spans="1:47" ht="15" thickBot="1" x14ac:dyDescent="0.35">
      <c r="B922" s="405">
        <v>83</v>
      </c>
      <c r="C922" s="399"/>
      <c r="D922" s="385" t="str">
        <f>VLOOKUP($B922,EventOrder,6,FALSE)</f>
        <v xml:space="preserve">4 x 100m </v>
      </c>
      <c r="E922" s="399"/>
      <c r="F922" s="385"/>
      <c r="G922" s="386" t="str">
        <f>VLOOKUP($B922,EventOrder,4,FALSE)</f>
        <v>U16 Female</v>
      </c>
      <c r="H922" s="396" t="str">
        <f>IF(MID(G922,5,1)="F","F","M")</f>
        <v>F</v>
      </c>
      <c r="I922" s="397">
        <f>VLOOKUP($B922,EventOrder,2,FALSE)</f>
        <v>4.55</v>
      </c>
      <c r="K922" s="377"/>
      <c r="L922" s="667" t="s">
        <v>149</v>
      </c>
      <c r="M922" s="409" t="s">
        <v>264</v>
      </c>
      <c r="N922" s="409" t="s">
        <v>265</v>
      </c>
      <c r="O922" s="390" t="s">
        <v>266</v>
      </c>
      <c r="P922" s="391"/>
      <c r="Q922" s="392"/>
      <c r="R922" s="659" t="s">
        <v>94</v>
      </c>
      <c r="S922" s="409" t="s">
        <v>264</v>
      </c>
      <c r="T922" s="409" t="s">
        <v>265</v>
      </c>
      <c r="U922" s="390" t="s">
        <v>266</v>
      </c>
      <c r="V922" s="391"/>
      <c r="W922" s="671"/>
      <c r="Y922" s="415" t="s">
        <v>167</v>
      </c>
      <c r="Z922" s="658" t="s">
        <v>149</v>
      </c>
      <c r="AA922" s="659" t="s">
        <v>94</v>
      </c>
      <c r="AC922" s="666"/>
      <c r="AD922" s="668"/>
      <c r="AE922" s="768" t="s">
        <v>75</v>
      </c>
      <c r="AF922" s="768" t="s">
        <v>75</v>
      </c>
      <c r="AG922" s="768" t="s">
        <v>267</v>
      </c>
      <c r="AH922" s="768" t="s">
        <v>267</v>
      </c>
      <c r="AI922" s="768" t="s">
        <v>268</v>
      </c>
      <c r="AJ922" s="768" t="s">
        <v>268</v>
      </c>
      <c r="AK922" s="770" t="s">
        <v>269</v>
      </c>
      <c r="AL922" s="768" t="s">
        <v>269</v>
      </c>
      <c r="AM922" s="667" t="s">
        <v>149</v>
      </c>
      <c r="AN922" s="659" t="s">
        <v>94</v>
      </c>
      <c r="AP922" s="409" t="s">
        <v>264</v>
      </c>
      <c r="AQ922" s="409" t="s">
        <v>265</v>
      </c>
      <c r="AS922" s="1221" t="s">
        <v>270</v>
      </c>
      <c r="AT922" s="1222" t="s">
        <v>270</v>
      </c>
      <c r="AU922" s="1223" t="s">
        <v>270</v>
      </c>
    </row>
    <row r="923" spans="1:47" ht="15.6" x14ac:dyDescent="0.3">
      <c r="A923" s="416">
        <f>(B922*10)+1</f>
        <v>831</v>
      </c>
      <c r="B923" s="362" t="str">
        <f>'Event Details'!D$22</f>
        <v>S</v>
      </c>
      <c r="C923" s="381" t="str">
        <f>'Event Details'!E$22</f>
        <v>BRAT</v>
      </c>
      <c r="D923" s="379"/>
      <c r="E923" s="378"/>
      <c r="F923" s="363" t="str">
        <f>'Event Details'!H$22</f>
        <v>BRAT</v>
      </c>
      <c r="G923" s="380" t="str">
        <f>VLOOKUP($B922,IF($H922="F",TeamSheetFemale,TeamSheetMale),$Y923,FALSE)</f>
        <v>BRAT</v>
      </c>
      <c r="H923" s="363">
        <f>VLOOKUP($B922,IF($H922="F",TeamSheetFemale,TeamSheetMale),$Y923+1,FALSE)</f>
        <v>0</v>
      </c>
      <c r="I923" s="364">
        <f>VLOOKUP($B922,IF($H922="F",TeamSheetFemale,TeamSheetMale),$Y923+2,FALSE)</f>
        <v>0</v>
      </c>
      <c r="K923" s="393" t="s">
        <v>271</v>
      </c>
      <c r="L923" s="16" t="str">
        <f t="shared" ref="L923:L930" si="824">LEFT(M923,1)</f>
        <v>S</v>
      </c>
      <c r="M923" s="926" t="s">
        <v>100</v>
      </c>
      <c r="N923" s="926">
        <v>50.4</v>
      </c>
      <c r="O923" s="1241" t="str">
        <f>IF(N923&gt;1,M923&amp;" - "&amp;VLOOKUP($M923,B923:I930,5,FALSE),"")</f>
        <v>S - BRAT</v>
      </c>
      <c r="P923" s="395" t="str">
        <f>IF(LEN($M923)=1,VLOOKUP(LEFT($M923,1),B923:I930,6,FALSE),IF(LEN($M923)=2,VLOOKUP(LEFT($M923,1),B923:I930,8,FALSE),""))</f>
        <v>BRAT</v>
      </c>
      <c r="Q923" s="393" t="s">
        <v>271</v>
      </c>
      <c r="R923" s="146" t="str">
        <f t="shared" ref="R923:R930" si="825">LEFT(S923,1)</f>
        <v/>
      </c>
      <c r="S923" s="926"/>
      <c r="T923" s="926"/>
      <c r="U923" s="394" t="str">
        <f>IF(LEN($S923)=1,VLOOKUP(LEFT($S923,1),B923:I930,5,FALSE),IF(LEN($S923)=2,VLOOKUP(LEFT($S923,1),B923:I930,7,FALSE),""))</f>
        <v/>
      </c>
      <c r="V923" s="395" t="str">
        <f>IF(LEN($S923)=1,VLOOKUP(LEFT($S923,1),B923:I930,6,FALSE),IF(LEN($S923)=2,VLOOKUP(LEFT($S923,1),B923:I930,8,FALSE),""))</f>
        <v/>
      </c>
      <c r="W923" s="417">
        <f>AN$6</f>
        <v>8</v>
      </c>
      <c r="Y923" s="416">
        <v>7</v>
      </c>
      <c r="Z923" s="653" t="str">
        <f t="shared" ref="Z923:Z930" si="826">IF(LEN(M923)&gt;0,VLOOKUP(LEFT(M923,1),ShortName,5,FALSE),0)</f>
        <v>BRAT</v>
      </c>
      <c r="AA923" s="138">
        <f t="shared" ref="AA923:AA930" si="827">IF(LEN(S923)&gt;0,VLOOKUP(LEFT(S923,1),ShortName,5,FALSE),0)</f>
        <v>0</v>
      </c>
      <c r="AC923" s="16" t="str">
        <f t="shared" ref="AC923:AD930" si="828">B923</f>
        <v>S</v>
      </c>
      <c r="AD923" s="419" t="str">
        <f t="shared" si="828"/>
        <v>BRAT</v>
      </c>
      <c r="AE923" s="635">
        <f>IF(ISNA(MATCH(AC923,N923:N932,0)),0,VLOOKUP(AC923,N923:S932,5,FALSE))</f>
        <v>0</v>
      </c>
      <c r="AF923" s="635" t="str">
        <f>IF(ISNA(MATCH(AC923,T923:T932,0))," ",VLOOKUP(AC923,T923:Y932,5,FALSE))</f>
        <v xml:space="preserve"> </v>
      </c>
      <c r="AG923" s="635">
        <f>IF(ISNA(MATCH(AC923,L923:L930,0)),0,VLOOKUP(AC923,L923:N930,3,FALSE))</f>
        <v>50.4</v>
      </c>
      <c r="AH923" s="635">
        <f>IF(ISNA(MATCH(AC923,R923:R930,0)),0,VLOOKUP(AC923,R923:T930,3,FALSE))</f>
        <v>0</v>
      </c>
      <c r="AI923" s="635" t="str">
        <f>IF(ISNA(MATCH(AC923,L923:L930,0)),0,VLOOKUP(AC923,L923:P930,4,FALSE))</f>
        <v>S - BRAT</v>
      </c>
      <c r="AJ923" s="635">
        <f>IF(ISNA(MATCH(AC923,R923:R930,0)),0,VLOOKUP(AC923,R923:U930,4,FALSE))</f>
        <v>0</v>
      </c>
      <c r="AK923" s="49">
        <f t="shared" ref="AK923:AK930" si="829">IF(AM923=0,0,AN$6-(AM923-1))</f>
        <v>1</v>
      </c>
      <c r="AL923" s="49">
        <f t="shared" ref="AL923:AL930" si="830">IF(AN923=0,0,AN$6-(AN923-1))</f>
        <v>0</v>
      </c>
      <c r="AM923" s="49">
        <f>IF(ISNA(MATCH(AC923,L923:L930,0)),0,VLOOKUP(AC923,L923:W930,AM$1,FALSE))</f>
        <v>8</v>
      </c>
      <c r="AN923" s="138">
        <f>IF(ISNA(MATCH(AC923,R923:R930,0)),0,VLOOKUP(AC923,R923:W930,AN$1,FALSE))</f>
        <v>0</v>
      </c>
      <c r="AP923" s="926"/>
      <c r="AQ923" s="926"/>
      <c r="AS923" s="32">
        <f>IF(LEN(N923)&gt;0,1,0)</f>
        <v>1</v>
      </c>
      <c r="AT923" s="32">
        <f>IF(AND(AS923=1,H922="M"),1,0)</f>
        <v>0</v>
      </c>
      <c r="AU923" s="32">
        <f>IF(AND(AS923=1,H922="F"),1,0)</f>
        <v>1</v>
      </c>
    </row>
    <row r="924" spans="1:47" ht="15.6" x14ac:dyDescent="0.3">
      <c r="A924" s="417">
        <f>A923+1</f>
        <v>832</v>
      </c>
      <c r="B924" s="362" t="str">
        <f>'Event Details'!D$23</f>
        <v>U</v>
      </c>
      <c r="C924" s="381" t="str">
        <f>'Event Details'!E$23</f>
        <v>Kidder &amp; Stourport</v>
      </c>
      <c r="D924" s="379"/>
      <c r="E924" s="378"/>
      <c r="F924" s="363" t="str">
        <f>'Event Details'!H$23</f>
        <v>K&amp;S</v>
      </c>
      <c r="G924" s="380" t="str">
        <f>VLOOKUP($B922,IF($H922="F",TeamSheetFemale,TeamSheetMale),$Y924,FALSE)</f>
        <v>Kidder &amp; Stourport</v>
      </c>
      <c r="H924" s="363">
        <f>VLOOKUP($B922,IF($H922="F",TeamSheetFemale,TeamSheetMale),$Y924+1,FALSE)</f>
        <v>0</v>
      </c>
      <c r="I924" s="364">
        <f>VLOOKUP($B922,IF($H922="F",TeamSheetFemale,TeamSheetMale),$Y924+2,FALSE)</f>
        <v>0</v>
      </c>
      <c r="K924" s="341" t="s">
        <v>272</v>
      </c>
      <c r="L924" s="16" t="str">
        <f t="shared" si="824"/>
        <v>Y</v>
      </c>
      <c r="M924" s="927" t="s">
        <v>151</v>
      </c>
      <c r="N924" s="927">
        <v>51.1</v>
      </c>
      <c r="O924" s="1242" t="str">
        <f>IF(N924&gt;1,M924&amp;" - "&amp;VLOOKUP($M924,B923:I930,5,FALSE),"")</f>
        <v>Y - Worc</v>
      </c>
      <c r="P924" s="373" t="str">
        <f>IF(LEN($M924)=1,VLOOKUP(LEFT($M924,1),B923:I930,6,FALSE),IF(LEN($M924)=2,VLOOKUP(LEFT($M924,1),B923:I930,8,FALSE),""))</f>
        <v>Worcester</v>
      </c>
      <c r="Q924" s="341" t="s">
        <v>272</v>
      </c>
      <c r="R924" s="146" t="str">
        <f t="shared" si="825"/>
        <v/>
      </c>
      <c r="S924" s="927"/>
      <c r="T924" s="927"/>
      <c r="U924" s="353" t="str">
        <f>IF(LEN($S924)=1,VLOOKUP(LEFT($S924,1),B923:I930,5,FALSE),IF(LEN($S924)=2,VLOOKUP(LEFT($S924,1),B923:I930,7,FALSE),""))</f>
        <v/>
      </c>
      <c r="V924" s="373" t="str">
        <f>IF(LEN($S924)=1,VLOOKUP(LEFT($S924,1),B923:I930,6,FALSE),IF(LEN($S924)=2,VLOOKUP(LEFT($S924,1),B923:I930,8,FALSE),""))</f>
        <v/>
      </c>
      <c r="W924" s="417">
        <f>W923-1</f>
        <v>7</v>
      </c>
      <c r="Y924" s="417">
        <v>12</v>
      </c>
      <c r="Z924" s="16" t="str">
        <f t="shared" si="826"/>
        <v>Worc</v>
      </c>
      <c r="AA924" s="146">
        <f t="shared" si="827"/>
        <v>0</v>
      </c>
      <c r="AC924" s="16" t="str">
        <f t="shared" si="828"/>
        <v>U</v>
      </c>
      <c r="AD924" s="419" t="str">
        <f t="shared" si="828"/>
        <v>Kidder &amp; Stourport</v>
      </c>
      <c r="AE924" s="419">
        <f>IF(ISNA(MATCH(AC924,N923:N932,0)),0,VLOOKUP(AC924,N923:S932,5,FALSE))</f>
        <v>0</v>
      </c>
      <c r="AF924" s="419" t="str">
        <f>IF(ISNA(MATCH(AC924,T923:T932,0))," ",VLOOKUP(AC924,T923:Y932,5,FALSE))</f>
        <v xml:space="preserve"> </v>
      </c>
      <c r="AG924" s="419">
        <f>IF(ISNA(MATCH(AC924,L923:L930,0)),0,VLOOKUP(AC924,L923:N930,3,FALSE))</f>
        <v>54.6</v>
      </c>
      <c r="AH924" s="419">
        <f>IF(ISNA(MATCH(AC924,R923:R930,0)),0,VLOOKUP(AC924,R923:T930,3,FALSE))</f>
        <v>0</v>
      </c>
      <c r="AI924" s="419" t="str">
        <f>IF(ISNA(MATCH(AC924,L923:L930,0)),0,VLOOKUP(AC924,L923:P930,4,FALSE))</f>
        <v>U - K&amp;S</v>
      </c>
      <c r="AJ924" s="419">
        <f>IF(ISNA(MATCH(AC924,R923:R930,0)),0,VLOOKUP(AC924,R923:U930,4,FALSE))</f>
        <v>0</v>
      </c>
      <c r="AK924" s="32">
        <f t="shared" si="829"/>
        <v>7</v>
      </c>
      <c r="AL924" s="32">
        <f t="shared" si="830"/>
        <v>0</v>
      </c>
      <c r="AM924" s="32">
        <f>IF(ISNA(MATCH(AC924,L923:L930,0)),0,VLOOKUP(AC924,L923:W930,AM$1,FALSE))</f>
        <v>2</v>
      </c>
      <c r="AN924" s="146">
        <f>IF(ISNA(MATCH(AC924,R923:R930,0)),0,VLOOKUP(AC924,R923:W930,AN$1,FALSE))</f>
        <v>0</v>
      </c>
      <c r="AP924" s="927"/>
      <c r="AQ924" s="927"/>
    </row>
    <row r="925" spans="1:47" ht="15.6" x14ac:dyDescent="0.3">
      <c r="A925" s="417">
        <f t="shared" ref="A925:A930" si="831">A924+1</f>
        <v>833</v>
      </c>
      <c r="B925" s="362" t="str">
        <f>'Event Details'!D$24</f>
        <v>G</v>
      </c>
      <c r="C925" s="381" t="str">
        <f>'Event Details'!E$24</f>
        <v>Royal Sutton</v>
      </c>
      <c r="D925" s="379"/>
      <c r="E925" s="378"/>
      <c r="F925" s="363" t="str">
        <f>'Event Details'!H$24</f>
        <v>Royal</v>
      </c>
      <c r="G925" s="380" t="str">
        <f>VLOOKUP($B922,IF($H922="F",TeamSheetFemale,TeamSheetMale),$Y925,FALSE)</f>
        <v>Royal Sutton</v>
      </c>
      <c r="H925" s="363">
        <f>VLOOKUP($B922,IF($H922="F",TeamSheetFemale,TeamSheetMale),$Y925+1,FALSE)</f>
        <v>0</v>
      </c>
      <c r="I925" s="364">
        <f>VLOOKUP($B922,IF($H922="F",TeamSheetFemale,TeamSheetMale),$Y925+2,FALSE)</f>
        <v>0</v>
      </c>
      <c r="K925" s="341" t="s">
        <v>273</v>
      </c>
      <c r="L925" s="16" t="str">
        <f t="shared" si="824"/>
        <v>F</v>
      </c>
      <c r="M925" s="927" t="s">
        <v>142</v>
      </c>
      <c r="N925" s="927">
        <v>51.8</v>
      </c>
      <c r="O925" s="1242" t="str">
        <f>IF(N925&gt;1,M925&amp;" - "&amp;VLOOKUP($M925,B923:I930,5,FALSE),"")</f>
        <v>F - Tam</v>
      </c>
      <c r="P925" s="373" t="str">
        <f>IF(LEN($M925)=1,VLOOKUP(LEFT($M925,1),B923:I930,6,FALSE),IF(LEN($M925)=2,VLOOKUP(LEFT($M925,1),B923:I930,8,FALSE),""))</f>
        <v>Tamworth</v>
      </c>
      <c r="Q925" s="341" t="s">
        <v>273</v>
      </c>
      <c r="R925" s="146" t="str">
        <f t="shared" si="825"/>
        <v/>
      </c>
      <c r="S925" s="927"/>
      <c r="T925" s="927"/>
      <c r="U925" s="353" t="str">
        <f>IF(LEN($S925)=1,VLOOKUP(LEFT($S925,1),B923:I930,5,FALSE),IF(LEN($S925)=2,VLOOKUP(LEFT($S925,1),B923:I930,7,FALSE),""))</f>
        <v/>
      </c>
      <c r="V925" s="373" t="str">
        <f>IF(LEN($S925)=1,VLOOKUP(LEFT($S925,1),B923:I930,6,FALSE),IF(LEN($S925)=2,VLOOKUP(LEFT($S925,1),B923:I930,8,FALSE),""))</f>
        <v/>
      </c>
      <c r="W925" s="417">
        <f t="shared" ref="W925:W930" si="832">W924-1</f>
        <v>6</v>
      </c>
      <c r="Y925" s="417">
        <v>17</v>
      </c>
      <c r="Z925" s="16" t="str">
        <f t="shared" si="826"/>
        <v>Tam</v>
      </c>
      <c r="AA925" s="146">
        <f t="shared" si="827"/>
        <v>0</v>
      </c>
      <c r="AB925" s="32"/>
      <c r="AC925" s="16" t="str">
        <f t="shared" si="828"/>
        <v>G</v>
      </c>
      <c r="AD925" s="419" t="str">
        <f t="shared" si="828"/>
        <v>Royal Sutton</v>
      </c>
      <c r="AE925" s="419">
        <f>IF(ISNA(MATCH(AC925,N923:N932,0)),0,VLOOKUP(AC925,N923:S932,5,FALSE))</f>
        <v>0</v>
      </c>
      <c r="AF925" s="419" t="str">
        <f>IF(ISNA(MATCH(AC925,T923:T932,0))," ",VLOOKUP(AC925,T923:Y932,5,FALSE))</f>
        <v xml:space="preserve"> </v>
      </c>
      <c r="AG925" s="419">
        <f>IF(ISNA(MATCH(AC925,L923:L930,0)),0,VLOOKUP(AC925,L923:N930,3,FALSE))</f>
        <v>55.4</v>
      </c>
      <c r="AH925" s="419">
        <f>IF(ISNA(MATCH(AC925,R923:R930,0)),0,VLOOKUP(AC925,R923:T930,3,FALSE))</f>
        <v>0</v>
      </c>
      <c r="AI925" s="419" t="str">
        <f>IF(ISNA(MATCH(AC925,L923:L930,0)),0,VLOOKUP(AC925,L923:P930,4,FALSE))</f>
        <v>G - Royal</v>
      </c>
      <c r="AJ925" s="419">
        <f>IF(ISNA(MATCH(AC925,R923:R930,0)),0,VLOOKUP(AC925,R923:U930,4,FALSE))</f>
        <v>0</v>
      </c>
      <c r="AK925" s="32">
        <f t="shared" si="829"/>
        <v>8</v>
      </c>
      <c r="AL925" s="32">
        <f t="shared" si="830"/>
        <v>0</v>
      </c>
      <c r="AM925" s="32">
        <f>IF(ISNA(MATCH(AC925,L923:L930,0)),0,VLOOKUP(AC925,L923:W930,AM$1,FALSE))</f>
        <v>1</v>
      </c>
      <c r="AN925" s="146">
        <f>IF(ISNA(MATCH(AC925,R923:R930,0)),0,VLOOKUP(AC925,R923:W930,AN$1,FALSE))</f>
        <v>0</v>
      </c>
      <c r="AP925" s="927"/>
      <c r="AQ925" s="927"/>
    </row>
    <row r="926" spans="1:47" ht="15.6" x14ac:dyDescent="0.3">
      <c r="A926" s="417">
        <f t="shared" si="831"/>
        <v>834</v>
      </c>
      <c r="B926" s="362" t="str">
        <f>'Event Details'!D$25</f>
        <v>R</v>
      </c>
      <c r="C926" s="381" t="str">
        <f>'Event Details'!E$25</f>
        <v>Rugby &amp; N'hampton</v>
      </c>
      <c r="D926" s="379"/>
      <c r="E926" s="378"/>
      <c r="F926" s="363" t="str">
        <f>'Event Details'!H$25</f>
        <v>Rugby</v>
      </c>
      <c r="G926" s="380" t="str">
        <f>VLOOKUP($B922,IF($H922="F",TeamSheetFemale,TeamSheetMale),$Y926,FALSE)</f>
        <v>Rugby &amp; N'hampton</v>
      </c>
      <c r="H926" s="363">
        <f>VLOOKUP($B922,IF($H922="F",TeamSheetFemale,TeamSheetMale),$Y926+1,FALSE)</f>
        <v>0</v>
      </c>
      <c r="I926" s="364">
        <f>VLOOKUP($B922,IF($H922="F",TeamSheetFemale,TeamSheetMale),$Y926+2,FALSE)</f>
        <v>0</v>
      </c>
      <c r="K926" s="341" t="s">
        <v>274</v>
      </c>
      <c r="L926" s="16" t="str">
        <f t="shared" si="824"/>
        <v>M</v>
      </c>
      <c r="M926" s="927" t="s">
        <v>127</v>
      </c>
      <c r="N926" s="927">
        <v>52.3</v>
      </c>
      <c r="O926" s="1242" t="str">
        <f>IF(N926&gt;1,M926&amp;" - "&amp;VLOOKUP($M926,B923:I930,5,FALSE),"")</f>
        <v>M - Sol</v>
      </c>
      <c r="P926" s="373" t="str">
        <f>IF(LEN($M926)=1,VLOOKUP(LEFT($M926,1),B923:I930,6,FALSE),IF(LEN($M926)=2,VLOOKUP(LEFT($M926,1),B923:I930,8,FALSE),""))</f>
        <v>Solihull &amp; S.Heath</v>
      </c>
      <c r="Q926" s="341" t="s">
        <v>274</v>
      </c>
      <c r="R926" s="146" t="str">
        <f t="shared" si="825"/>
        <v/>
      </c>
      <c r="S926" s="927"/>
      <c r="T926" s="927"/>
      <c r="U926" s="353" t="str">
        <f>IF(LEN($S926)=1,VLOOKUP(LEFT($S926,1),B923:I930,5,FALSE),IF(LEN($S926)=2,VLOOKUP(LEFT($S926,1),B923:I930,7,FALSE),""))</f>
        <v/>
      </c>
      <c r="V926" s="373" t="str">
        <f>IF(LEN($S926)=1,VLOOKUP(LEFT($S926,1),B923:I930,6,FALSE),IF(LEN($S926)=2,VLOOKUP(LEFT($S926,1),B923:I930,8,FALSE),""))</f>
        <v/>
      </c>
      <c r="W926" s="417">
        <f t="shared" si="832"/>
        <v>5</v>
      </c>
      <c r="Y926" s="417">
        <v>22</v>
      </c>
      <c r="Z926" s="16" t="str">
        <f t="shared" si="826"/>
        <v>Sol</v>
      </c>
      <c r="AA926" s="146">
        <f t="shared" si="827"/>
        <v>0</v>
      </c>
      <c r="AB926" s="32"/>
      <c r="AC926" s="16" t="str">
        <f t="shared" si="828"/>
        <v>R</v>
      </c>
      <c r="AD926" s="419" t="str">
        <f t="shared" si="828"/>
        <v>Rugby &amp; N'hampton</v>
      </c>
      <c r="AE926" s="419">
        <f>IF(ISNA(MATCH(AC926,N923:N932,0)),0,VLOOKUP(AC926,N923:S932,5,FALSE))</f>
        <v>0</v>
      </c>
      <c r="AF926" s="419" t="str">
        <f>IF(ISNA(MATCH(AC926,T923:T932,0))," ",VLOOKUP(AC926,T923:Y932,5,FALSE))</f>
        <v xml:space="preserve"> </v>
      </c>
      <c r="AG926" s="419">
        <f>IF(ISNA(MATCH(AC926,L923:L930,0)),0,VLOOKUP(AC926,L923:N930,3,FALSE))</f>
        <v>53.3</v>
      </c>
      <c r="AH926" s="419">
        <f>IF(ISNA(MATCH(AC926,R923:R930,0)),0,VLOOKUP(AC926,R923:T930,3,FALSE))</f>
        <v>0</v>
      </c>
      <c r="AI926" s="419" t="str">
        <f>IF(ISNA(MATCH(AC926,L923:L930,0)),0,VLOOKUP(AC926,L923:P930,4,FALSE))</f>
        <v>R - Rugby</v>
      </c>
      <c r="AJ926" s="419">
        <f>IF(ISNA(MATCH(AC926,R923:R930,0)),0,VLOOKUP(AC926,R923:U930,4,FALSE))</f>
        <v>0</v>
      </c>
      <c r="AK926" s="32">
        <f t="shared" si="829"/>
        <v>5</v>
      </c>
      <c r="AL926" s="32">
        <f t="shared" si="830"/>
        <v>0</v>
      </c>
      <c r="AM926" s="32">
        <f>IF(ISNA(MATCH(AC926,L923:L930,0)),0,VLOOKUP(AC926,L923:W930,AM$1,FALSE))</f>
        <v>4</v>
      </c>
      <c r="AN926" s="146">
        <f>IF(ISNA(MATCH(AC926,R923:R930,0)),0,VLOOKUP(AC926,R923:W930,AN$1,FALSE))</f>
        <v>0</v>
      </c>
      <c r="AP926" s="927"/>
      <c r="AQ926" s="927"/>
    </row>
    <row r="927" spans="1:47" ht="15.6" x14ac:dyDescent="0.3">
      <c r="A927" s="417">
        <f t="shared" si="831"/>
        <v>835</v>
      </c>
      <c r="B927" s="362" t="str">
        <f>'Event Details'!D$26</f>
        <v>M</v>
      </c>
      <c r="C927" s="381" t="str">
        <f>'Event Details'!E$26</f>
        <v>Solihull &amp; S.Heath</v>
      </c>
      <c r="D927" s="379"/>
      <c r="E927" s="378"/>
      <c r="F927" s="363" t="str">
        <f>'Event Details'!H$26</f>
        <v>Sol</v>
      </c>
      <c r="G927" s="380" t="str">
        <f>VLOOKUP($B922,IF($H922="F",TeamSheetFemale,TeamSheetMale),$Y927,FALSE)</f>
        <v>Solihull &amp; S.Heath</v>
      </c>
      <c r="H927" s="363">
        <f>VLOOKUP($B922,IF($H922="F",TeamSheetFemale,TeamSheetMale),$Y927+1,FALSE)</f>
        <v>0</v>
      </c>
      <c r="I927" s="364">
        <f>VLOOKUP($B922,IF($H922="F",TeamSheetFemale,TeamSheetMale),$Y927+2,FALSE)</f>
        <v>0</v>
      </c>
      <c r="K927" s="341" t="s">
        <v>275</v>
      </c>
      <c r="L927" s="16" t="str">
        <f t="shared" si="824"/>
        <v>R</v>
      </c>
      <c r="M927" s="927" t="s">
        <v>118</v>
      </c>
      <c r="N927" s="927">
        <v>53.3</v>
      </c>
      <c r="O927" s="1242" t="str">
        <f>IF(N927&gt;1,M927&amp;" - "&amp;VLOOKUP($M927,B923:I930,5,FALSE),"")</f>
        <v>R - Rugby</v>
      </c>
      <c r="P927" s="373" t="str">
        <f>IF(LEN($M927)=1,VLOOKUP(LEFT($M927,1),B923:I930,6,FALSE),IF(LEN($M927)=2,VLOOKUP(LEFT($M927,1),B923:I930,8,FALSE),""))</f>
        <v>Rugby &amp; N'hampton</v>
      </c>
      <c r="Q927" s="341" t="s">
        <v>275</v>
      </c>
      <c r="R927" s="146" t="str">
        <f t="shared" si="825"/>
        <v/>
      </c>
      <c r="S927" s="927"/>
      <c r="T927" s="927"/>
      <c r="U927" s="353" t="str">
        <f>IF(LEN($S927)=1,VLOOKUP(LEFT($S927,1),B923:I930,5,FALSE),IF(LEN($S927)=2,VLOOKUP(LEFT($S927,1),B923:I930,7,FALSE),""))</f>
        <v/>
      </c>
      <c r="V927" s="373" t="str">
        <f>IF(LEN($S927)=1,VLOOKUP(LEFT($S927,1),B923:I930,6,FALSE),IF(LEN($S927)=2,VLOOKUP(LEFT($S927,1),B923:I930,8,FALSE),""))</f>
        <v/>
      </c>
      <c r="W927" s="417">
        <f t="shared" si="832"/>
        <v>4</v>
      </c>
      <c r="Y927" s="417">
        <v>27</v>
      </c>
      <c r="Z927" s="16" t="str">
        <f t="shared" si="826"/>
        <v>Rugby</v>
      </c>
      <c r="AA927" s="146">
        <f t="shared" si="827"/>
        <v>0</v>
      </c>
      <c r="AB927" s="32"/>
      <c r="AC927" s="16" t="str">
        <f t="shared" si="828"/>
        <v>M</v>
      </c>
      <c r="AD927" s="419" t="str">
        <f t="shared" si="828"/>
        <v>Solihull &amp; S.Heath</v>
      </c>
      <c r="AE927" s="419">
        <f>IF(ISNA(MATCH(AC927,N923:N932,0)),0,VLOOKUP(AC927,N923:S932,5,FALSE))</f>
        <v>0</v>
      </c>
      <c r="AF927" s="419" t="str">
        <f>IF(ISNA(MATCH(AC927,T923:T932,0))," ",VLOOKUP(AC927,T923:Y932,5,FALSE))</f>
        <v xml:space="preserve"> </v>
      </c>
      <c r="AG927" s="419">
        <f>IF(ISNA(MATCH(AC927,L923:L930,0)),0,VLOOKUP(AC927,L923:N930,3,FALSE))</f>
        <v>52.3</v>
      </c>
      <c r="AH927" s="419">
        <f>IF(ISNA(MATCH(AC927,R923:R930,0)),0,VLOOKUP(AC927,R923:T930,3,FALSE))</f>
        <v>0</v>
      </c>
      <c r="AI927" s="419" t="str">
        <f>IF(ISNA(MATCH(AC927,L923:L930,0)),0,VLOOKUP(AC927,L923:P930,4,FALSE))</f>
        <v>M - Sol</v>
      </c>
      <c r="AJ927" s="419">
        <f>IF(ISNA(MATCH(AC927,R923:R930,0)),0,VLOOKUP(AC927,R923:U930,4,FALSE))</f>
        <v>0</v>
      </c>
      <c r="AK927" s="32">
        <f t="shared" si="829"/>
        <v>4</v>
      </c>
      <c r="AL927" s="32">
        <f t="shared" si="830"/>
        <v>0</v>
      </c>
      <c r="AM927" s="32">
        <f>IF(ISNA(MATCH(AC927,L923:L930,0)),0,VLOOKUP(AC927,L923:W930,AM$1,FALSE))</f>
        <v>5</v>
      </c>
      <c r="AN927" s="146">
        <f>IF(ISNA(MATCH(AC927,R923:R930,0)),0,VLOOKUP(AC927,R923:W930,AN$1,FALSE))</f>
        <v>0</v>
      </c>
      <c r="AP927" s="927"/>
      <c r="AQ927" s="927"/>
    </row>
    <row r="928" spans="1:47" ht="15.6" x14ac:dyDescent="0.3">
      <c r="A928" s="417">
        <f t="shared" si="831"/>
        <v>836</v>
      </c>
      <c r="B928" s="362" t="str">
        <f>'Event Details'!D$27</f>
        <v>D</v>
      </c>
      <c r="C928" s="381" t="str">
        <f>'Event Details'!E$27</f>
        <v>Stratford</v>
      </c>
      <c r="D928" s="379"/>
      <c r="E928" s="378"/>
      <c r="F928" s="363" t="str">
        <f>'Event Details'!H$27</f>
        <v>Strat</v>
      </c>
      <c r="G928" s="380" t="str">
        <f>VLOOKUP($B922,IF($H922="F",TeamSheetFemale,TeamSheetMale),$Y928,FALSE)</f>
        <v>Stratford</v>
      </c>
      <c r="H928" s="363">
        <f>VLOOKUP($B922,IF($H922="F",TeamSheetFemale,TeamSheetMale),$Y928+1,FALSE)</f>
        <v>0</v>
      </c>
      <c r="I928" s="364">
        <f>VLOOKUP($B922,IF($H922="F",TeamSheetFemale,TeamSheetMale),$Y928+2,FALSE)</f>
        <v>0</v>
      </c>
      <c r="K928" s="341" t="s">
        <v>276</v>
      </c>
      <c r="L928" s="16" t="str">
        <f t="shared" si="824"/>
        <v>D</v>
      </c>
      <c r="M928" s="927" t="s">
        <v>136</v>
      </c>
      <c r="N928" s="927">
        <v>53.5</v>
      </c>
      <c r="O928" s="1242" t="str">
        <f>IF(N928&gt;1,M928&amp;" - "&amp;VLOOKUP($M928,B923:I930,5,FALSE),"")</f>
        <v>D - Strat</v>
      </c>
      <c r="P928" s="373" t="str">
        <f>IF(LEN($M928)=1,VLOOKUP(LEFT($M928,1),B923:I930,6,FALSE),IF(LEN($M928)=2,VLOOKUP(LEFT($M928,1),B923:I930,8,FALSE),""))</f>
        <v>Stratford</v>
      </c>
      <c r="Q928" s="341" t="s">
        <v>276</v>
      </c>
      <c r="R928" s="146" t="str">
        <f t="shared" si="825"/>
        <v/>
      </c>
      <c r="S928" s="927"/>
      <c r="T928" s="927"/>
      <c r="U928" s="353" t="str">
        <f>IF(LEN($S928)=1,VLOOKUP(LEFT($S928,1),B923:I930,5,FALSE),IF(LEN($S928)=2,VLOOKUP(LEFT($S928,1),B923:I930,7,FALSE),""))</f>
        <v/>
      </c>
      <c r="V928" s="373" t="str">
        <f>IF(LEN($S928)=1,VLOOKUP(LEFT($S928,1),B923:I930,6,FALSE),IF(LEN($S928)=2,VLOOKUP(LEFT($S928,1),B923:I930,8,FALSE),""))</f>
        <v/>
      </c>
      <c r="W928" s="417">
        <f t="shared" si="832"/>
        <v>3</v>
      </c>
      <c r="Y928" s="417">
        <v>32</v>
      </c>
      <c r="Z928" s="16" t="str">
        <f t="shared" si="826"/>
        <v>Strat</v>
      </c>
      <c r="AA928" s="146">
        <f t="shared" si="827"/>
        <v>0</v>
      </c>
      <c r="AB928" s="32"/>
      <c r="AC928" s="16" t="str">
        <f t="shared" si="828"/>
        <v>D</v>
      </c>
      <c r="AD928" s="419" t="str">
        <f t="shared" si="828"/>
        <v>Stratford</v>
      </c>
      <c r="AE928" s="419">
        <f>IF(ISNA(MATCH(AC928,N923:N932,0)),0,VLOOKUP(AC928,N923:S932,5,FALSE))</f>
        <v>0</v>
      </c>
      <c r="AF928" s="419" t="str">
        <f>IF(ISNA(MATCH(AC928,T923:T932,0))," ",VLOOKUP(AC928,T923:Y932,5,FALSE))</f>
        <v xml:space="preserve"> </v>
      </c>
      <c r="AG928" s="419">
        <f>IF(ISNA(MATCH(AC928,L923:L930,0)),0,VLOOKUP(AC928,L923:N930,3,FALSE))</f>
        <v>53.5</v>
      </c>
      <c r="AH928" s="419">
        <f>IF(ISNA(MATCH(AC928,R923:R930,0)),0,VLOOKUP(AC928,R923:T930,3,FALSE))</f>
        <v>0</v>
      </c>
      <c r="AI928" s="419" t="str">
        <f>IF(ISNA(MATCH(AC928,L923:L930,0)),0,VLOOKUP(AC928,L923:P930,4,FALSE))</f>
        <v>D - Strat</v>
      </c>
      <c r="AJ928" s="419">
        <f>IF(ISNA(MATCH(AC928,R923:R930,0)),0,VLOOKUP(AC928,R923:U930,4,FALSE))</f>
        <v>0</v>
      </c>
      <c r="AK928" s="32">
        <f t="shared" si="829"/>
        <v>6</v>
      </c>
      <c r="AL928" s="32">
        <f t="shared" si="830"/>
        <v>0</v>
      </c>
      <c r="AM928" s="32">
        <f>IF(ISNA(MATCH(AC928,L923:L930,0)),0,VLOOKUP(AC928,L923:W930,AM$1,FALSE))</f>
        <v>3</v>
      </c>
      <c r="AN928" s="146">
        <f>IF(ISNA(MATCH(AC928,R923:R930,0)),0,VLOOKUP(AC928,R923:W930,AN$1,FALSE))</f>
        <v>0</v>
      </c>
      <c r="AP928" s="927"/>
      <c r="AQ928" s="927"/>
    </row>
    <row r="929" spans="1:47" ht="15.6" x14ac:dyDescent="0.3">
      <c r="A929" s="417">
        <f t="shared" si="831"/>
        <v>837</v>
      </c>
      <c r="B929" s="362" t="str">
        <f>'Event Details'!D$28</f>
        <v>F</v>
      </c>
      <c r="C929" s="381" t="str">
        <f>'Event Details'!E$28</f>
        <v>Tamworth</v>
      </c>
      <c r="D929" s="379"/>
      <c r="E929" s="378"/>
      <c r="F929" s="363" t="str">
        <f>'Event Details'!H$28</f>
        <v>Tam</v>
      </c>
      <c r="G929" s="380" t="str">
        <f>VLOOKUP($B922,IF($H922="F",TeamSheetFemale,TeamSheetMale),$Y929,FALSE)</f>
        <v>Tamworth</v>
      </c>
      <c r="H929" s="363">
        <f>VLOOKUP($B922,IF($H922="F",TeamSheetFemale,TeamSheetMale),$Y929+1,FALSE)</f>
        <v>0</v>
      </c>
      <c r="I929" s="364">
        <f>VLOOKUP($B922,IF($H922="F",TeamSheetFemale,TeamSheetMale),$Y929+2,FALSE)</f>
        <v>0</v>
      </c>
      <c r="K929" s="341" t="s">
        <v>277</v>
      </c>
      <c r="L929" s="16" t="str">
        <f t="shared" si="824"/>
        <v>U</v>
      </c>
      <c r="M929" s="931" t="s">
        <v>130</v>
      </c>
      <c r="N929" s="927">
        <v>54.6</v>
      </c>
      <c r="O929" s="1242" t="str">
        <f>IF(N929&gt;1,M929&amp;" - "&amp;VLOOKUP($M929,B923:I930,5,FALSE),"")</f>
        <v>U - K&amp;S</v>
      </c>
      <c r="P929" s="373" t="str">
        <f>IF(LEN($M929)=1,VLOOKUP(LEFT($M929,1),B923:I930,6,FALSE),IF(LEN($M929)=2,VLOOKUP(LEFT($M929,1),B923:I930,8,FALSE),""))</f>
        <v>Kidder &amp; Stourport</v>
      </c>
      <c r="Q929" s="341" t="s">
        <v>277</v>
      </c>
      <c r="R929" s="146" t="str">
        <f t="shared" si="825"/>
        <v/>
      </c>
      <c r="S929" s="931"/>
      <c r="T929" s="927"/>
      <c r="U929" s="353" t="str">
        <f>IF(LEN($S929)=1,VLOOKUP(LEFT($S929,1),B923:I930,5,FALSE),IF(LEN($S929)=2,VLOOKUP(LEFT($S929,1),B923:I930,7,FALSE),""))</f>
        <v/>
      </c>
      <c r="V929" s="373" t="str">
        <f>IF(LEN($S929)=1,VLOOKUP(LEFT($S929,1),B923:I930,6,FALSE),IF(LEN($S929)=2,VLOOKUP(LEFT($S929,1),B923:I930,8,FALSE),""))</f>
        <v/>
      </c>
      <c r="W929" s="417">
        <f t="shared" si="832"/>
        <v>2</v>
      </c>
      <c r="Y929" s="417">
        <v>37</v>
      </c>
      <c r="Z929" s="16" t="str">
        <f t="shared" si="826"/>
        <v>K&amp;S</v>
      </c>
      <c r="AA929" s="146">
        <f t="shared" si="827"/>
        <v>0</v>
      </c>
      <c r="AB929" s="32"/>
      <c r="AC929" s="16" t="str">
        <f t="shared" si="828"/>
        <v>F</v>
      </c>
      <c r="AD929" s="419" t="str">
        <f t="shared" si="828"/>
        <v>Tamworth</v>
      </c>
      <c r="AE929" s="419">
        <f>IF(ISNA(MATCH(AC929,N921:N930,0)),0,VLOOKUP(AC929,N921:S930,5,FALSE))</f>
        <v>0</v>
      </c>
      <c r="AF929" s="419" t="str">
        <f>IF(ISNA(MATCH(AC929,T921:T930,0))," ",VLOOKUP(AC929,T921:Y930,5,FALSE))</f>
        <v xml:space="preserve"> </v>
      </c>
      <c r="AG929" s="419">
        <f>IF(ISNA(MATCH(AC929,L923:L930,0)),0,VLOOKUP(AC929,L923:N930,3,FALSE))</f>
        <v>51.8</v>
      </c>
      <c r="AH929" s="419">
        <f>IF(ISNA(MATCH(AC929,R923:R930,0)),0,VLOOKUP(AC929,R923:T930,3,FALSE))</f>
        <v>0</v>
      </c>
      <c r="AI929" s="419" t="str">
        <f>IF(ISNA(MATCH(AC929,L923:L930,0)),0,VLOOKUP(AC929,L923:P930,4,FALSE))</f>
        <v>F - Tam</v>
      </c>
      <c r="AJ929" s="419">
        <f>IF(ISNA(MATCH(AC929,R923:R930,0)),0,VLOOKUP(AC929,R923:U930,4,FALSE))</f>
        <v>0</v>
      </c>
      <c r="AK929" s="32">
        <f t="shared" si="829"/>
        <v>3</v>
      </c>
      <c r="AL929" s="32">
        <f t="shared" si="830"/>
        <v>0</v>
      </c>
      <c r="AM929" s="32">
        <f>IF(ISNA(MATCH(AC929,L923:L930,0)),0,VLOOKUP(AC929,L923:W930,AM$1,FALSE))</f>
        <v>6</v>
      </c>
      <c r="AN929" s="146">
        <f>IF(ISNA(MATCH(AC929,R923:R930,0)),0,VLOOKUP(AC929,R923:W930,AN$1,FALSE))</f>
        <v>0</v>
      </c>
      <c r="AP929" s="931"/>
      <c r="AQ929" s="927"/>
    </row>
    <row r="930" spans="1:47" ht="16.2" thickBot="1" x14ac:dyDescent="0.35">
      <c r="A930" s="418">
        <f t="shared" si="831"/>
        <v>838</v>
      </c>
      <c r="B930" s="365" t="str">
        <f>'Event Details'!D$29</f>
        <v>Y</v>
      </c>
      <c r="C930" s="366" t="str">
        <f>'Event Details'!E$29</f>
        <v>Worcester</v>
      </c>
      <c r="D930" s="361"/>
      <c r="E930" s="370"/>
      <c r="F930" s="367" t="str">
        <f>'Event Details'!H$29</f>
        <v>Worc</v>
      </c>
      <c r="G930" s="368" t="str">
        <f>VLOOKUP($B922,IF($H922="F",TeamSheetFemale,TeamSheetMale),$Y930,FALSE)</f>
        <v>Worcester</v>
      </c>
      <c r="H930" s="367">
        <f>VLOOKUP($B922,IF($H922="F",TeamSheetFemale,TeamSheetMale),$Y930+1,FALSE)</f>
        <v>0</v>
      </c>
      <c r="I930" s="369">
        <f>VLOOKUP($B922,IF($H922="F",TeamSheetFemale,TeamSheetMale),$Y930+2,FALSE)</f>
        <v>0</v>
      </c>
      <c r="K930" s="346" t="s">
        <v>278</v>
      </c>
      <c r="L930" s="25" t="str">
        <f t="shared" si="824"/>
        <v>G</v>
      </c>
      <c r="M930" s="928" t="s">
        <v>110</v>
      </c>
      <c r="N930" s="932">
        <v>55.4</v>
      </c>
      <c r="O930" s="1243" t="str">
        <f>IF(N930&gt;1,M930&amp;" - "&amp;VLOOKUP($M930,B923:I930,5,FALSE),"")</f>
        <v>G - Royal</v>
      </c>
      <c r="P930" s="376" t="str">
        <f>IF(LEN($M930)=1,VLOOKUP(LEFT($M930,1),B923:I930,6,FALSE),IF(LEN($M930)=2,VLOOKUP(LEFT($M930,1),B923:I930,8,FALSE),""))</f>
        <v>Royal Sutton</v>
      </c>
      <c r="Q930" s="346" t="s">
        <v>278</v>
      </c>
      <c r="R930" s="523" t="str">
        <f t="shared" si="825"/>
        <v/>
      </c>
      <c r="S930" s="928"/>
      <c r="T930" s="932"/>
      <c r="U930" s="375" t="str">
        <f>IF(LEN($S930)=1,VLOOKUP(LEFT($S930,1),B923:I930,5,FALSE),IF(LEN($S930)=2,VLOOKUP(LEFT($S930,1),B923:I930,7,FALSE),""))</f>
        <v/>
      </c>
      <c r="V930" s="376" t="str">
        <f>IF(LEN($S930)=1,VLOOKUP(LEFT($S930,1),B923:I930,6,FALSE),IF(LEN($S930)=2,VLOOKUP(LEFT($S930,1),B923:I930,8,FALSE),""))</f>
        <v/>
      </c>
      <c r="W930" s="418">
        <f t="shared" si="832"/>
        <v>1</v>
      </c>
      <c r="Y930" s="418">
        <v>42</v>
      </c>
      <c r="Z930" s="25" t="str">
        <f t="shared" si="826"/>
        <v>Royal</v>
      </c>
      <c r="AA930" s="523">
        <f t="shared" si="827"/>
        <v>0</v>
      </c>
      <c r="AB930" s="32"/>
      <c r="AC930" s="25" t="str">
        <f t="shared" si="828"/>
        <v>Y</v>
      </c>
      <c r="AD930" s="624" t="str">
        <f t="shared" si="828"/>
        <v>Worcester</v>
      </c>
      <c r="AE930" s="624">
        <f>IF(ISNA(MATCH(AC930,N922:N931,0)),0,VLOOKUP(AC930,N922:S931,5,FALSE))</f>
        <v>0</v>
      </c>
      <c r="AF930" s="624" t="str">
        <f t="shared" ref="AF930" si="833">IF(ISNA(MATCH(AC930,T922:T931,0))," ",VLOOKUP(AC930,T922:Y931,5,FALSE))</f>
        <v xml:space="preserve"> </v>
      </c>
      <c r="AG930" s="624">
        <f>IF(ISNA(MATCH(AC930,L923:L930,0)),0,VLOOKUP(AC930,L923:N930,3,FALSE))</f>
        <v>51.1</v>
      </c>
      <c r="AH930" s="624">
        <f>IF(ISNA(MATCH(AC930,R923:R930,0)),0,VLOOKUP(AC930,R923:T930,3,FALSE))</f>
        <v>0</v>
      </c>
      <c r="AI930" s="624" t="str">
        <f>IF(ISNA(MATCH(AC930,L923:L930,0)),0,VLOOKUP(AC930,L923:P930,4,FALSE))</f>
        <v>Y - Worc</v>
      </c>
      <c r="AJ930" s="624">
        <f>IF(ISNA(MATCH(AC930,R923:R930,0)),0,VLOOKUP(AC930,R923:U930,4,FALSE))</f>
        <v>0</v>
      </c>
      <c r="AK930" s="116">
        <f t="shared" si="829"/>
        <v>2</v>
      </c>
      <c r="AL930" s="116">
        <f t="shared" si="830"/>
        <v>0</v>
      </c>
      <c r="AM930" s="116">
        <f>IF(ISNA(MATCH(AC930,L923:L930,0)),0,VLOOKUP(AC930,L923:W930,AM$1,FALSE))</f>
        <v>7</v>
      </c>
      <c r="AN930" s="523">
        <f>IF(ISNA(MATCH(AC930,R923:R930,0)),0,VLOOKUP(AC930,R923:W930,AN$1,FALSE))</f>
        <v>0</v>
      </c>
      <c r="AP930" s="928"/>
      <c r="AQ930" s="932"/>
    </row>
    <row r="931" spans="1:47" ht="15" thickBot="1" x14ac:dyDescent="0.35">
      <c r="M931" s="276"/>
      <c r="N931" s="307"/>
      <c r="S931" s="276"/>
      <c r="T931" s="307"/>
      <c r="AP931" s="276"/>
      <c r="AQ931" s="307"/>
    </row>
    <row r="932" spans="1:47" x14ac:dyDescent="0.3">
      <c r="B932" s="400" t="s">
        <v>258</v>
      </c>
      <c r="C932" s="398"/>
      <c r="D932" s="401" t="s">
        <v>165</v>
      </c>
      <c r="E932" s="398"/>
      <c r="F932" s="398"/>
      <c r="G932" s="402" t="s">
        <v>259</v>
      </c>
      <c r="H932" s="403" t="s">
        <v>249</v>
      </c>
      <c r="I932" s="404" t="s">
        <v>168</v>
      </c>
      <c r="K932" s="360"/>
      <c r="L932" s="661"/>
      <c r="M932" s="387" t="s">
        <v>260</v>
      </c>
      <c r="N932" s="387" t="s">
        <v>261</v>
      </c>
      <c r="O932" s="387" t="s">
        <v>262</v>
      </c>
      <c r="P932" s="388" t="s">
        <v>75</v>
      </c>
      <c r="Q932" s="389"/>
      <c r="R932" s="657"/>
      <c r="S932" s="387" t="s">
        <v>260</v>
      </c>
      <c r="T932" s="387" t="s">
        <v>261</v>
      </c>
      <c r="U932" s="387" t="s">
        <v>262</v>
      </c>
      <c r="V932" s="388" t="s">
        <v>75</v>
      </c>
      <c r="W932" s="672" t="s">
        <v>76</v>
      </c>
      <c r="Y932" s="414" t="s">
        <v>263</v>
      </c>
      <c r="Z932" s="656" t="s">
        <v>74</v>
      </c>
      <c r="AA932" s="657" t="s">
        <v>75</v>
      </c>
      <c r="AC932" s="665" t="s">
        <v>71</v>
      </c>
      <c r="AD932" s="657" t="s">
        <v>86</v>
      </c>
      <c r="AE932" s="661" t="s">
        <v>149</v>
      </c>
      <c r="AF932" s="661" t="s">
        <v>94</v>
      </c>
      <c r="AG932" s="661" t="s">
        <v>149</v>
      </c>
      <c r="AH932" s="661" t="s">
        <v>94</v>
      </c>
      <c r="AI932" s="661" t="s">
        <v>149</v>
      </c>
      <c r="AJ932" s="661" t="s">
        <v>94</v>
      </c>
      <c r="AK932" s="1332" t="s">
        <v>149</v>
      </c>
      <c r="AL932" s="661" t="s">
        <v>94</v>
      </c>
      <c r="AM932" s="1406" t="s">
        <v>76</v>
      </c>
      <c r="AN932" s="1407"/>
      <c r="AP932" s="387" t="s">
        <v>260</v>
      </c>
      <c r="AQ932" s="387" t="s">
        <v>261</v>
      </c>
      <c r="AS932" s="1218" t="s">
        <v>165</v>
      </c>
      <c r="AT932" s="1219" t="s">
        <v>79</v>
      </c>
      <c r="AU932" s="1220" t="s">
        <v>80</v>
      </c>
    </row>
    <row r="933" spans="1:47" ht="15" thickBot="1" x14ac:dyDescent="0.35">
      <c r="B933" s="405">
        <v>84</v>
      </c>
      <c r="C933" s="399"/>
      <c r="D933" s="385" t="str">
        <f>VLOOKUP($B933,EventOrder,6,FALSE)</f>
        <v xml:space="preserve">4 x 100m (U18/U20) </v>
      </c>
      <c r="E933" s="399"/>
      <c r="F933" s="385"/>
      <c r="G933" s="386" t="str">
        <f>VLOOKUP($B933,EventOrder,4,FALSE)</f>
        <v>U18 Female</v>
      </c>
      <c r="H933" s="396" t="str">
        <f>IF(MID(G933,5,1)="F","F","M")</f>
        <v>F</v>
      </c>
      <c r="I933" s="397">
        <f>VLOOKUP($B933,EventOrder,2,FALSE)</f>
        <v>5</v>
      </c>
      <c r="K933" s="377"/>
      <c r="L933" s="667" t="s">
        <v>149</v>
      </c>
      <c r="M933" s="409" t="s">
        <v>264</v>
      </c>
      <c r="N933" s="409" t="s">
        <v>265</v>
      </c>
      <c r="O933" s="390" t="s">
        <v>266</v>
      </c>
      <c r="P933" s="391"/>
      <c r="Q933" s="392"/>
      <c r="R933" s="659" t="s">
        <v>94</v>
      </c>
      <c r="S933" s="409" t="s">
        <v>264</v>
      </c>
      <c r="T933" s="409" t="s">
        <v>265</v>
      </c>
      <c r="U933" s="390" t="s">
        <v>266</v>
      </c>
      <c r="V933" s="391"/>
      <c r="W933" s="671"/>
      <c r="Y933" s="415" t="s">
        <v>167</v>
      </c>
      <c r="Z933" s="658" t="s">
        <v>149</v>
      </c>
      <c r="AA933" s="659" t="s">
        <v>94</v>
      </c>
      <c r="AC933" s="666"/>
      <c r="AD933" s="668"/>
      <c r="AE933" s="768" t="s">
        <v>75</v>
      </c>
      <c r="AF933" s="768" t="s">
        <v>75</v>
      </c>
      <c r="AG933" s="768" t="s">
        <v>267</v>
      </c>
      <c r="AH933" s="768" t="s">
        <v>267</v>
      </c>
      <c r="AI933" s="768" t="s">
        <v>268</v>
      </c>
      <c r="AJ933" s="768" t="s">
        <v>268</v>
      </c>
      <c r="AK933" s="770" t="s">
        <v>269</v>
      </c>
      <c r="AL933" s="768" t="s">
        <v>269</v>
      </c>
      <c r="AM933" s="667" t="s">
        <v>149</v>
      </c>
      <c r="AN933" s="659" t="s">
        <v>94</v>
      </c>
      <c r="AP933" s="409" t="s">
        <v>264</v>
      </c>
      <c r="AQ933" s="409" t="s">
        <v>265</v>
      </c>
      <c r="AS933" s="1221" t="s">
        <v>270</v>
      </c>
      <c r="AT933" s="1222" t="s">
        <v>270</v>
      </c>
      <c r="AU933" s="1223" t="s">
        <v>270</v>
      </c>
    </row>
    <row r="934" spans="1:47" ht="15.6" x14ac:dyDescent="0.3">
      <c r="A934" s="416">
        <f>(B933*10)+1</f>
        <v>841</v>
      </c>
      <c r="B934" s="362" t="str">
        <f>'Event Details'!D$22</f>
        <v>S</v>
      </c>
      <c r="C934" s="381" t="str">
        <f>'Event Details'!E$22</f>
        <v>BRAT</v>
      </c>
      <c r="D934" s="379"/>
      <c r="E934" s="378"/>
      <c r="F934" s="363" t="str">
        <f>'Event Details'!H$22</f>
        <v>BRAT</v>
      </c>
      <c r="G934" s="380" t="str">
        <f>VLOOKUP($B933,IF($H933="F",TeamSheetFemale,TeamSheetMale),$Y934,FALSE)</f>
        <v>BRAT</v>
      </c>
      <c r="H934" s="363">
        <f>VLOOKUP($B933,IF($H933="F",TeamSheetFemale,TeamSheetMale),$Y934+1,FALSE)</f>
        <v>0</v>
      </c>
      <c r="I934" s="364">
        <f>VLOOKUP($B933,IF($H933="F",TeamSheetFemale,TeamSheetMale),$Y934+2,FALSE)</f>
        <v>0</v>
      </c>
      <c r="K934" s="393" t="s">
        <v>271</v>
      </c>
      <c r="L934" s="16" t="str">
        <f t="shared" ref="L934:L941" si="834">LEFT(M934,1)</f>
        <v/>
      </c>
      <c r="M934" s="926"/>
      <c r="N934" s="926"/>
      <c r="O934" s="1241" t="str">
        <f>IF(N934&gt;1,M934&amp;" - "&amp;VLOOKUP($M934,B934:I941,5,FALSE),"")</f>
        <v/>
      </c>
      <c r="P934" s="395" t="str">
        <f>IF(LEN($M934)=1,VLOOKUP(LEFT($M934,1),B934:I941,6,FALSE),IF(LEN($M934)=2,VLOOKUP(LEFT($M934,1),B934:I941,8,FALSE),""))</f>
        <v/>
      </c>
      <c r="Q934" s="393" t="s">
        <v>271</v>
      </c>
      <c r="R934" s="146" t="str">
        <f t="shared" ref="R934:R941" si="835">LEFT(S934,1)</f>
        <v/>
      </c>
      <c r="S934" s="926"/>
      <c r="T934" s="926"/>
      <c r="U934" s="394" t="str">
        <f>IF(LEN($S934)=1,VLOOKUP(LEFT($S934,1),B934:I941,5,FALSE),IF(LEN($S934)=2,VLOOKUP(LEFT($S934,1),B934:I941,7,FALSE),""))</f>
        <v/>
      </c>
      <c r="V934" s="395" t="str">
        <f>IF(LEN($S934)=1,VLOOKUP(LEFT($S934,1),B934:I941,6,FALSE),IF(LEN($S934)=2,VLOOKUP(LEFT($S934,1),B934:I941,8,FALSE),""))</f>
        <v/>
      </c>
      <c r="W934" s="417">
        <f>AN$6</f>
        <v>8</v>
      </c>
      <c r="Y934" s="416">
        <v>7</v>
      </c>
      <c r="Z934" s="653">
        <f t="shared" ref="Z934:Z941" si="836">IF(LEN(M934)&gt;0,VLOOKUP(LEFT(M934,1),ShortName,5,FALSE),0)</f>
        <v>0</v>
      </c>
      <c r="AA934" s="138">
        <f t="shared" ref="AA934:AA941" si="837">IF(LEN(S934)&gt;0,VLOOKUP(LEFT(S934,1),ShortName,5,FALSE),0)</f>
        <v>0</v>
      </c>
      <c r="AC934" s="16" t="str">
        <f t="shared" ref="AC934:AD941" si="838">B934</f>
        <v>S</v>
      </c>
      <c r="AD934" s="419" t="str">
        <f t="shared" si="838"/>
        <v>BRAT</v>
      </c>
      <c r="AE934" s="635">
        <f>IF(ISNA(MATCH(AC934,N934:N943,0)),0,VLOOKUP(AC934,N934:S943,5,FALSE))</f>
        <v>0</v>
      </c>
      <c r="AF934" s="635" t="str">
        <f>IF(ISNA(MATCH(AC934,T934:T943,0))," ",VLOOKUP(AC934,T934:Y943,5,FALSE))</f>
        <v xml:space="preserve"> </v>
      </c>
      <c r="AG934" s="635">
        <f>IF(ISNA(MATCH(AC934,L934:L941,0)),0,VLOOKUP(AC934,L934:N941,3,FALSE))</f>
        <v>0</v>
      </c>
      <c r="AH934" s="635">
        <f>IF(ISNA(MATCH(AC934,R934:R941,0)),0,VLOOKUP(AC934,R934:T941,3,FALSE))</f>
        <v>0</v>
      </c>
      <c r="AI934" s="635">
        <f>IF(ISNA(MATCH(AC934,L934:L941,0)),0,VLOOKUP(AC934,L934:P941,4,FALSE))</f>
        <v>0</v>
      </c>
      <c r="AJ934" s="635">
        <f>IF(ISNA(MATCH(AC934,R934:R941,0)),0,VLOOKUP(AC934,R934:U941,4,FALSE))</f>
        <v>0</v>
      </c>
      <c r="AK934" s="49">
        <f t="shared" ref="AK934:AK941" si="839">IF(AM934=0,0,AN$6-(AM934-1))</f>
        <v>0</v>
      </c>
      <c r="AL934" s="49">
        <f t="shared" ref="AL934:AL941" si="840">IF(AN934=0,0,AN$6-(AN934-1))</f>
        <v>0</v>
      </c>
      <c r="AM934" s="49">
        <f>IF(ISNA(MATCH(AC934,L934:L941,0)),0,VLOOKUP(AC934,L934:W941,AM$1,FALSE))</f>
        <v>0</v>
      </c>
      <c r="AN934" s="138">
        <f>IF(ISNA(MATCH(AC934,R934:R941,0)),0,VLOOKUP(AC934,R934:W941,AN$1,FALSE))</f>
        <v>0</v>
      </c>
      <c r="AP934" s="926"/>
      <c r="AQ934" s="926"/>
      <c r="AS934" s="32">
        <f>IF(LEN(N934)&gt;0,1,0)</f>
        <v>0</v>
      </c>
      <c r="AT934" s="32">
        <f>IF(AND(AS934=1,H933="M"),1,0)</f>
        <v>0</v>
      </c>
      <c r="AU934" s="32">
        <f>IF(AND(AS934=1,H933="F"),1,0)</f>
        <v>0</v>
      </c>
    </row>
    <row r="935" spans="1:47" ht="15.6" x14ac:dyDescent="0.3">
      <c r="A935" s="417">
        <f>A934+1</f>
        <v>842</v>
      </c>
      <c r="B935" s="362" t="str">
        <f>'Event Details'!D$23</f>
        <v>U</v>
      </c>
      <c r="C935" s="381" t="str">
        <f>'Event Details'!E$23</f>
        <v>Kidder &amp; Stourport</v>
      </c>
      <c r="D935" s="379"/>
      <c r="E935" s="378"/>
      <c r="F935" s="363" t="str">
        <f>'Event Details'!H$23</f>
        <v>K&amp;S</v>
      </c>
      <c r="G935" s="380" t="str">
        <f>VLOOKUP($B933,IF($H933="F",TeamSheetFemale,TeamSheetMale),$Y935,FALSE)</f>
        <v>Kidder &amp; Stourport</v>
      </c>
      <c r="H935" s="363">
        <f>VLOOKUP($B933,IF($H933="F",TeamSheetFemale,TeamSheetMale),$Y935+1,FALSE)</f>
        <v>0</v>
      </c>
      <c r="I935" s="364">
        <f>VLOOKUP($B933,IF($H933="F",TeamSheetFemale,TeamSheetMale),$Y935+2,FALSE)</f>
        <v>0</v>
      </c>
      <c r="K935" s="341" t="s">
        <v>272</v>
      </c>
      <c r="L935" s="16" t="str">
        <f t="shared" si="834"/>
        <v/>
      </c>
      <c r="M935" s="927"/>
      <c r="N935" s="927"/>
      <c r="O935" s="1242" t="str">
        <f>IF(N935&gt;1,M935&amp;" - "&amp;VLOOKUP($M935,B934:I941,5,FALSE),"")</f>
        <v/>
      </c>
      <c r="P935" s="373" t="str">
        <f>IF(LEN($M935)=1,VLOOKUP(LEFT($M935,1),B934:I941,6,FALSE),IF(LEN($M935)=2,VLOOKUP(LEFT($M935,1),B934:I941,8,FALSE),""))</f>
        <v/>
      </c>
      <c r="Q935" s="341" t="s">
        <v>272</v>
      </c>
      <c r="R935" s="146" t="str">
        <f t="shared" si="835"/>
        <v/>
      </c>
      <c r="S935" s="927"/>
      <c r="T935" s="927"/>
      <c r="U935" s="353" t="str">
        <f>IF(LEN($S935)=1,VLOOKUP(LEFT($S935,1),B934:I941,5,FALSE),IF(LEN($S935)=2,VLOOKUP(LEFT($S935,1),B934:I941,7,FALSE),""))</f>
        <v/>
      </c>
      <c r="V935" s="373" t="str">
        <f>IF(LEN($S935)=1,VLOOKUP(LEFT($S935,1),B934:I941,6,FALSE),IF(LEN($S935)=2,VLOOKUP(LEFT($S935,1),B934:I941,8,FALSE),""))</f>
        <v/>
      </c>
      <c r="W935" s="417">
        <f>W934-1</f>
        <v>7</v>
      </c>
      <c r="Y935" s="417">
        <v>12</v>
      </c>
      <c r="Z935" s="16">
        <f t="shared" si="836"/>
        <v>0</v>
      </c>
      <c r="AA935" s="146">
        <f t="shared" si="837"/>
        <v>0</v>
      </c>
      <c r="AC935" s="16" t="str">
        <f t="shared" si="838"/>
        <v>U</v>
      </c>
      <c r="AD935" s="419" t="str">
        <f t="shared" si="838"/>
        <v>Kidder &amp; Stourport</v>
      </c>
      <c r="AE935" s="419">
        <f>IF(ISNA(MATCH(AC935,N934:N943,0)),0,VLOOKUP(AC935,N934:S943,5,FALSE))</f>
        <v>0</v>
      </c>
      <c r="AF935" s="419" t="str">
        <f>IF(ISNA(MATCH(AC935,T934:T943,0))," ",VLOOKUP(AC935,T934:Y943,5,FALSE))</f>
        <v xml:space="preserve"> </v>
      </c>
      <c r="AG935" s="419">
        <f>IF(ISNA(MATCH(AC935,L934:L941,0)),0,VLOOKUP(AC935,L934:N941,3,FALSE))</f>
        <v>0</v>
      </c>
      <c r="AH935" s="419">
        <f>IF(ISNA(MATCH(AC935,R934:R941,0)),0,VLOOKUP(AC935,R934:T941,3,FALSE))</f>
        <v>0</v>
      </c>
      <c r="AI935" s="419">
        <f>IF(ISNA(MATCH(AC935,L934:L941,0)),0,VLOOKUP(AC935,L934:P941,4,FALSE))</f>
        <v>0</v>
      </c>
      <c r="AJ935" s="419">
        <f>IF(ISNA(MATCH(AC935,R934:R941,0)),0,VLOOKUP(AC935,R934:U941,4,FALSE))</f>
        <v>0</v>
      </c>
      <c r="AK935" s="32">
        <f t="shared" si="839"/>
        <v>0</v>
      </c>
      <c r="AL935" s="32">
        <f t="shared" si="840"/>
        <v>0</v>
      </c>
      <c r="AM935" s="32">
        <f>IF(ISNA(MATCH(AC935,L934:L941,0)),0,VLOOKUP(AC935,L934:W941,AM$1,FALSE))</f>
        <v>0</v>
      </c>
      <c r="AN935" s="146">
        <f>IF(ISNA(MATCH(AC935,R934:R941,0)),0,VLOOKUP(AC935,R934:W941,AN$1,FALSE))</f>
        <v>0</v>
      </c>
      <c r="AP935" s="927"/>
      <c r="AQ935" s="927"/>
    </row>
    <row r="936" spans="1:47" ht="15.6" x14ac:dyDescent="0.3">
      <c r="A936" s="417">
        <f t="shared" ref="A936:A941" si="841">A935+1</f>
        <v>843</v>
      </c>
      <c r="B936" s="362" t="str">
        <f>'Event Details'!D$24</f>
        <v>G</v>
      </c>
      <c r="C936" s="381" t="str">
        <f>'Event Details'!E$24</f>
        <v>Royal Sutton</v>
      </c>
      <c r="D936" s="379"/>
      <c r="E936" s="378"/>
      <c r="F936" s="363" t="str">
        <f>'Event Details'!H$24</f>
        <v>Royal</v>
      </c>
      <c r="G936" s="380" t="str">
        <f>VLOOKUP($B933,IF($H933="F",TeamSheetFemale,TeamSheetMale),$Y936,FALSE)</f>
        <v>Royal Sutton</v>
      </c>
      <c r="H936" s="363">
        <f>VLOOKUP($B933,IF($H933="F",TeamSheetFemale,TeamSheetMale),$Y936+1,FALSE)</f>
        <v>0</v>
      </c>
      <c r="I936" s="364">
        <f>VLOOKUP($B933,IF($H933="F",TeamSheetFemale,TeamSheetMale),$Y936+2,FALSE)</f>
        <v>0</v>
      </c>
      <c r="K936" s="341" t="s">
        <v>273</v>
      </c>
      <c r="L936" s="16" t="str">
        <f t="shared" si="834"/>
        <v/>
      </c>
      <c r="M936" s="927"/>
      <c r="N936" s="927"/>
      <c r="O936" s="1242" t="str">
        <f>IF(N936&gt;1,M936&amp;" - "&amp;VLOOKUP($M936,B934:I941,5,FALSE),"")</f>
        <v/>
      </c>
      <c r="P936" s="373" t="str">
        <f>IF(LEN($M936)=1,VLOOKUP(LEFT($M936,1),B934:I941,6,FALSE),IF(LEN($M936)=2,VLOOKUP(LEFT($M936,1),B934:I941,8,FALSE),""))</f>
        <v/>
      </c>
      <c r="Q936" s="341" t="s">
        <v>273</v>
      </c>
      <c r="R936" s="146" t="str">
        <f t="shared" si="835"/>
        <v/>
      </c>
      <c r="S936" s="927"/>
      <c r="T936" s="927"/>
      <c r="U936" s="353" t="str">
        <f>IF(LEN($S936)=1,VLOOKUP(LEFT($S936,1),B934:I941,5,FALSE),IF(LEN($S936)=2,VLOOKUP(LEFT($S936,1),B934:I941,7,FALSE),""))</f>
        <v/>
      </c>
      <c r="V936" s="373" t="str">
        <f>IF(LEN($S936)=1,VLOOKUP(LEFT($S936,1),B934:I941,6,FALSE),IF(LEN($S936)=2,VLOOKUP(LEFT($S936,1),B934:I941,8,FALSE),""))</f>
        <v/>
      </c>
      <c r="W936" s="417">
        <f t="shared" ref="W936:W941" si="842">W935-1</f>
        <v>6</v>
      </c>
      <c r="Y936" s="417">
        <v>17</v>
      </c>
      <c r="Z936" s="16">
        <f t="shared" si="836"/>
        <v>0</v>
      </c>
      <c r="AA936" s="146">
        <f t="shared" si="837"/>
        <v>0</v>
      </c>
      <c r="AB936" s="32"/>
      <c r="AC936" s="16" t="str">
        <f t="shared" si="838"/>
        <v>G</v>
      </c>
      <c r="AD936" s="419" t="str">
        <f t="shared" si="838"/>
        <v>Royal Sutton</v>
      </c>
      <c r="AE936" s="419">
        <f>IF(ISNA(MATCH(AC936,N934:N943,0)),0,VLOOKUP(AC936,N934:S943,5,FALSE))</f>
        <v>0</v>
      </c>
      <c r="AF936" s="419" t="str">
        <f>IF(ISNA(MATCH(AC936,T934:T943,0))," ",VLOOKUP(AC936,T934:Y943,5,FALSE))</f>
        <v xml:space="preserve"> </v>
      </c>
      <c r="AG936" s="419">
        <f>IF(ISNA(MATCH(AC936,L934:L941,0)),0,VLOOKUP(AC936,L934:N941,3,FALSE))</f>
        <v>0</v>
      </c>
      <c r="AH936" s="419">
        <f>IF(ISNA(MATCH(AC936,R934:R941,0)),0,VLOOKUP(AC936,R934:T941,3,FALSE))</f>
        <v>0</v>
      </c>
      <c r="AI936" s="419">
        <f>IF(ISNA(MATCH(AC936,L934:L941,0)),0,VLOOKUP(AC936,L934:P941,4,FALSE))</f>
        <v>0</v>
      </c>
      <c r="AJ936" s="419">
        <f>IF(ISNA(MATCH(AC936,R934:R941,0)),0,VLOOKUP(AC936,R934:U941,4,FALSE))</f>
        <v>0</v>
      </c>
      <c r="AK936" s="32">
        <f t="shared" si="839"/>
        <v>0</v>
      </c>
      <c r="AL936" s="32">
        <f t="shared" si="840"/>
        <v>0</v>
      </c>
      <c r="AM936" s="32">
        <f>IF(ISNA(MATCH(AC936,L934:L941,0)),0,VLOOKUP(AC936,L934:W941,AM$1,FALSE))</f>
        <v>0</v>
      </c>
      <c r="AN936" s="146">
        <f>IF(ISNA(MATCH(AC936,R934:R941,0)),0,VLOOKUP(AC936,R934:W941,AN$1,FALSE))</f>
        <v>0</v>
      </c>
      <c r="AP936" s="927"/>
      <c r="AQ936" s="927"/>
    </row>
    <row r="937" spans="1:47" ht="15.6" x14ac:dyDescent="0.3">
      <c r="A937" s="417">
        <f t="shared" si="841"/>
        <v>844</v>
      </c>
      <c r="B937" s="362" t="str">
        <f>'Event Details'!D$25</f>
        <v>R</v>
      </c>
      <c r="C937" s="381" t="str">
        <f>'Event Details'!E$25</f>
        <v>Rugby &amp; N'hampton</v>
      </c>
      <c r="D937" s="379"/>
      <c r="E937" s="378"/>
      <c r="F937" s="363" t="str">
        <f>'Event Details'!H$25</f>
        <v>Rugby</v>
      </c>
      <c r="G937" s="380" t="str">
        <f>VLOOKUP($B933,IF($H933="F",TeamSheetFemale,TeamSheetMale),$Y937,FALSE)</f>
        <v>Rugby &amp; N'hampton</v>
      </c>
      <c r="H937" s="363">
        <f>VLOOKUP($B933,IF($H933="F",TeamSheetFemale,TeamSheetMale),$Y937+1,FALSE)</f>
        <v>0</v>
      </c>
      <c r="I937" s="364">
        <f>VLOOKUP($B933,IF($H933="F",TeamSheetFemale,TeamSheetMale),$Y937+2,FALSE)</f>
        <v>0</v>
      </c>
      <c r="K937" s="341" t="s">
        <v>274</v>
      </c>
      <c r="L937" s="16" t="str">
        <f t="shared" si="834"/>
        <v/>
      </c>
      <c r="M937" s="927"/>
      <c r="N937" s="927"/>
      <c r="O937" s="1242" t="str">
        <f>IF(N937&gt;1,M937&amp;" - "&amp;VLOOKUP($M937,B934:I941,5,FALSE),"")</f>
        <v/>
      </c>
      <c r="P937" s="373" t="str">
        <f>IF(LEN($M937)=1,VLOOKUP(LEFT($M937,1),B934:I941,6,FALSE),IF(LEN($M937)=2,VLOOKUP(LEFT($M937,1),B934:I941,8,FALSE),""))</f>
        <v/>
      </c>
      <c r="Q937" s="341" t="s">
        <v>274</v>
      </c>
      <c r="R937" s="146" t="str">
        <f t="shared" si="835"/>
        <v/>
      </c>
      <c r="S937" s="927"/>
      <c r="T937" s="927"/>
      <c r="U937" s="353" t="str">
        <f>IF(LEN($S937)=1,VLOOKUP(LEFT($S937,1),B934:I941,5,FALSE),IF(LEN($S937)=2,VLOOKUP(LEFT($S937,1),B934:I941,7,FALSE),""))</f>
        <v/>
      </c>
      <c r="V937" s="373" t="str">
        <f>IF(LEN($S937)=1,VLOOKUP(LEFT($S937,1),B934:I941,6,FALSE),IF(LEN($S937)=2,VLOOKUP(LEFT($S937,1),B934:I941,8,FALSE),""))</f>
        <v/>
      </c>
      <c r="W937" s="417">
        <f t="shared" si="842"/>
        <v>5</v>
      </c>
      <c r="Y937" s="417">
        <v>22</v>
      </c>
      <c r="Z937" s="16">
        <f t="shared" si="836"/>
        <v>0</v>
      </c>
      <c r="AA937" s="146">
        <f t="shared" si="837"/>
        <v>0</v>
      </c>
      <c r="AB937" s="32"/>
      <c r="AC937" s="16" t="str">
        <f t="shared" si="838"/>
        <v>R</v>
      </c>
      <c r="AD937" s="419" t="str">
        <f t="shared" si="838"/>
        <v>Rugby &amp; N'hampton</v>
      </c>
      <c r="AE937" s="419">
        <f>IF(ISNA(MATCH(AC937,N934:N943,0)),0,VLOOKUP(AC937,N934:S943,5,FALSE))</f>
        <v>0</v>
      </c>
      <c r="AF937" s="419" t="str">
        <f>IF(ISNA(MATCH(AC937,T934:T943,0))," ",VLOOKUP(AC937,T934:Y943,5,FALSE))</f>
        <v xml:space="preserve"> </v>
      </c>
      <c r="AG937" s="419">
        <f>IF(ISNA(MATCH(AC937,L934:L941,0)),0,VLOOKUP(AC937,L934:N941,3,FALSE))</f>
        <v>0</v>
      </c>
      <c r="AH937" s="419">
        <f>IF(ISNA(MATCH(AC937,R934:R941,0)),0,VLOOKUP(AC937,R934:T941,3,FALSE))</f>
        <v>0</v>
      </c>
      <c r="AI937" s="419">
        <f>IF(ISNA(MATCH(AC937,L934:L941,0)),0,VLOOKUP(AC937,L934:P941,4,FALSE))</f>
        <v>0</v>
      </c>
      <c r="AJ937" s="419">
        <f>IF(ISNA(MATCH(AC937,R934:R941,0)),0,VLOOKUP(AC937,R934:U941,4,FALSE))</f>
        <v>0</v>
      </c>
      <c r="AK937" s="32">
        <f t="shared" si="839"/>
        <v>0</v>
      </c>
      <c r="AL937" s="32">
        <f t="shared" si="840"/>
        <v>0</v>
      </c>
      <c r="AM937" s="32">
        <f>IF(ISNA(MATCH(AC937,L934:L941,0)),0,VLOOKUP(AC937,L934:W941,AM$1,FALSE))</f>
        <v>0</v>
      </c>
      <c r="AN937" s="146">
        <f>IF(ISNA(MATCH(AC937,R934:R941,0)),0,VLOOKUP(AC937,R934:W941,AN$1,FALSE))</f>
        <v>0</v>
      </c>
      <c r="AP937" s="927"/>
      <c r="AQ937" s="927"/>
    </row>
    <row r="938" spans="1:47" ht="15.6" x14ac:dyDescent="0.3">
      <c r="A938" s="417">
        <f t="shared" si="841"/>
        <v>845</v>
      </c>
      <c r="B938" s="362" t="str">
        <f>'Event Details'!D$26</f>
        <v>M</v>
      </c>
      <c r="C938" s="381" t="str">
        <f>'Event Details'!E$26</f>
        <v>Solihull &amp; S.Heath</v>
      </c>
      <c r="D938" s="379"/>
      <c r="E938" s="378"/>
      <c r="F938" s="363" t="str">
        <f>'Event Details'!H$26</f>
        <v>Sol</v>
      </c>
      <c r="G938" s="380" t="str">
        <f>VLOOKUP($B933,IF($H933="F",TeamSheetFemale,TeamSheetMale),$Y938,FALSE)</f>
        <v>Solihull &amp; S.Heath</v>
      </c>
      <c r="H938" s="363">
        <f>VLOOKUP($B933,IF($H933="F",TeamSheetFemale,TeamSheetMale),$Y938+1,FALSE)</f>
        <v>0</v>
      </c>
      <c r="I938" s="364">
        <f>VLOOKUP($B933,IF($H933="F",TeamSheetFemale,TeamSheetMale),$Y938+2,FALSE)</f>
        <v>0</v>
      </c>
      <c r="K938" s="341" t="s">
        <v>275</v>
      </c>
      <c r="L938" s="16" t="str">
        <f t="shared" si="834"/>
        <v/>
      </c>
      <c r="M938" s="927"/>
      <c r="N938" s="927"/>
      <c r="O938" s="1242" t="str">
        <f>IF(N938&gt;1,M938&amp;" - "&amp;VLOOKUP($M938,B934:I941,5,FALSE),"")</f>
        <v/>
      </c>
      <c r="P938" s="373" t="str">
        <f>IF(LEN($M938)=1,VLOOKUP(LEFT($M938,1),B934:I941,6,FALSE),IF(LEN($M938)=2,VLOOKUP(LEFT($M938,1),B934:I941,8,FALSE),""))</f>
        <v/>
      </c>
      <c r="Q938" s="341" t="s">
        <v>275</v>
      </c>
      <c r="R938" s="146" t="str">
        <f t="shared" si="835"/>
        <v/>
      </c>
      <c r="S938" s="927"/>
      <c r="T938" s="927"/>
      <c r="U938" s="353" t="str">
        <f>IF(LEN($S938)=1,VLOOKUP(LEFT($S938,1),B934:I941,5,FALSE),IF(LEN($S938)=2,VLOOKUP(LEFT($S938,1),B934:I941,7,FALSE),""))</f>
        <v/>
      </c>
      <c r="V938" s="373" t="str">
        <f>IF(LEN($S938)=1,VLOOKUP(LEFT($S938,1),B934:I941,6,FALSE),IF(LEN($S938)=2,VLOOKUP(LEFT($S938,1),B934:I941,8,FALSE),""))</f>
        <v/>
      </c>
      <c r="W938" s="417">
        <f t="shared" si="842"/>
        <v>4</v>
      </c>
      <c r="Y938" s="417">
        <v>27</v>
      </c>
      <c r="Z938" s="16">
        <f t="shared" si="836"/>
        <v>0</v>
      </c>
      <c r="AA938" s="146">
        <f t="shared" si="837"/>
        <v>0</v>
      </c>
      <c r="AB938" s="32"/>
      <c r="AC938" s="16" t="str">
        <f t="shared" si="838"/>
        <v>M</v>
      </c>
      <c r="AD938" s="419" t="str">
        <f t="shared" si="838"/>
        <v>Solihull &amp; S.Heath</v>
      </c>
      <c r="AE938" s="419">
        <f>IF(ISNA(MATCH(AC938,N934:N943,0)),0,VLOOKUP(AC938,N934:S943,5,FALSE))</f>
        <v>0</v>
      </c>
      <c r="AF938" s="419" t="str">
        <f>IF(ISNA(MATCH(AC938,T934:T943,0))," ",VLOOKUP(AC938,T934:Y943,5,FALSE))</f>
        <v xml:space="preserve"> </v>
      </c>
      <c r="AG938" s="419">
        <f>IF(ISNA(MATCH(AC938,L934:L941,0)),0,VLOOKUP(AC938,L934:N941,3,FALSE))</f>
        <v>0</v>
      </c>
      <c r="AH938" s="419">
        <f>IF(ISNA(MATCH(AC938,R934:R941,0)),0,VLOOKUP(AC938,R934:T941,3,FALSE))</f>
        <v>0</v>
      </c>
      <c r="AI938" s="419">
        <f>IF(ISNA(MATCH(AC938,L934:L941,0)),0,VLOOKUP(AC938,L934:P941,4,FALSE))</f>
        <v>0</v>
      </c>
      <c r="AJ938" s="419">
        <f>IF(ISNA(MATCH(AC938,R934:R941,0)),0,VLOOKUP(AC938,R934:U941,4,FALSE))</f>
        <v>0</v>
      </c>
      <c r="AK938" s="32">
        <f t="shared" si="839"/>
        <v>0</v>
      </c>
      <c r="AL938" s="32">
        <f t="shared" si="840"/>
        <v>0</v>
      </c>
      <c r="AM938" s="32">
        <f>IF(ISNA(MATCH(AC938,L934:L941,0)),0,VLOOKUP(AC938,L934:W941,AM$1,FALSE))</f>
        <v>0</v>
      </c>
      <c r="AN938" s="146">
        <f>IF(ISNA(MATCH(AC938,R934:R941,0)),0,VLOOKUP(AC938,R934:W941,AN$1,FALSE))</f>
        <v>0</v>
      </c>
      <c r="AP938" s="927"/>
      <c r="AQ938" s="927"/>
    </row>
    <row r="939" spans="1:47" ht="15.6" x14ac:dyDescent="0.3">
      <c r="A939" s="417">
        <f t="shared" si="841"/>
        <v>846</v>
      </c>
      <c r="B939" s="362" t="str">
        <f>'Event Details'!D$27</f>
        <v>D</v>
      </c>
      <c r="C939" s="381" t="str">
        <f>'Event Details'!E$27</f>
        <v>Stratford</v>
      </c>
      <c r="D939" s="379"/>
      <c r="E939" s="378"/>
      <c r="F939" s="363" t="str">
        <f>'Event Details'!H$27</f>
        <v>Strat</v>
      </c>
      <c r="G939" s="380" t="str">
        <f>VLOOKUP($B933,IF($H933="F",TeamSheetFemale,TeamSheetMale),$Y939,FALSE)</f>
        <v>Stratford</v>
      </c>
      <c r="H939" s="363">
        <f>VLOOKUP($B933,IF($H933="F",TeamSheetFemale,TeamSheetMale),$Y939+1,FALSE)</f>
        <v>0</v>
      </c>
      <c r="I939" s="364">
        <f>VLOOKUP($B933,IF($H933="F",TeamSheetFemale,TeamSheetMale),$Y939+2,FALSE)</f>
        <v>0</v>
      </c>
      <c r="K939" s="341" t="s">
        <v>276</v>
      </c>
      <c r="L939" s="16" t="str">
        <f t="shared" si="834"/>
        <v/>
      </c>
      <c r="M939" s="927"/>
      <c r="N939" s="927"/>
      <c r="O939" s="1242" t="str">
        <f>IF(N939&gt;1,M939&amp;" - "&amp;VLOOKUP($M939,B934:I941,5,FALSE),"")</f>
        <v/>
      </c>
      <c r="P939" s="373" t="str">
        <f>IF(LEN($M939)=1,VLOOKUP(LEFT($M939,1),B934:I941,6,FALSE),IF(LEN($M939)=2,VLOOKUP(LEFT($M939,1),B934:I941,8,FALSE),""))</f>
        <v/>
      </c>
      <c r="Q939" s="341" t="s">
        <v>276</v>
      </c>
      <c r="R939" s="146" t="str">
        <f t="shared" si="835"/>
        <v/>
      </c>
      <c r="S939" s="927"/>
      <c r="T939" s="927"/>
      <c r="U939" s="353" t="str">
        <f>IF(LEN($S939)=1,VLOOKUP(LEFT($S939,1),B934:I941,5,FALSE),IF(LEN($S939)=2,VLOOKUP(LEFT($S939,1),B934:I941,7,FALSE),""))</f>
        <v/>
      </c>
      <c r="V939" s="373" t="str">
        <f>IF(LEN($S939)=1,VLOOKUP(LEFT($S939,1),B934:I941,6,FALSE),IF(LEN($S939)=2,VLOOKUP(LEFT($S939,1),B934:I941,8,FALSE),""))</f>
        <v/>
      </c>
      <c r="W939" s="417">
        <f t="shared" si="842"/>
        <v>3</v>
      </c>
      <c r="Y939" s="417">
        <v>32</v>
      </c>
      <c r="Z939" s="16">
        <f t="shared" si="836"/>
        <v>0</v>
      </c>
      <c r="AA939" s="146">
        <f t="shared" si="837"/>
        <v>0</v>
      </c>
      <c r="AB939" s="32"/>
      <c r="AC939" s="16" t="str">
        <f t="shared" si="838"/>
        <v>D</v>
      </c>
      <c r="AD939" s="419" t="str">
        <f t="shared" si="838"/>
        <v>Stratford</v>
      </c>
      <c r="AE939" s="419">
        <f>IF(ISNA(MATCH(AC939,N934:N943,0)),0,VLOOKUP(AC939,N934:S943,5,FALSE))</f>
        <v>0</v>
      </c>
      <c r="AF939" s="419" t="str">
        <f>IF(ISNA(MATCH(AC939,T934:T943,0))," ",VLOOKUP(AC939,T934:Y943,5,FALSE))</f>
        <v xml:space="preserve"> </v>
      </c>
      <c r="AG939" s="419">
        <f>IF(ISNA(MATCH(AC939,L934:L941,0)),0,VLOOKUP(AC939,L934:N941,3,FALSE))</f>
        <v>0</v>
      </c>
      <c r="AH939" s="419">
        <f>IF(ISNA(MATCH(AC939,R934:R941,0)),0,VLOOKUP(AC939,R934:T941,3,FALSE))</f>
        <v>0</v>
      </c>
      <c r="AI939" s="419">
        <f>IF(ISNA(MATCH(AC939,L934:L941,0)),0,VLOOKUP(AC939,L934:P941,4,FALSE))</f>
        <v>0</v>
      </c>
      <c r="AJ939" s="419">
        <f>IF(ISNA(MATCH(AC939,R934:R941,0)),0,VLOOKUP(AC939,R934:U941,4,FALSE))</f>
        <v>0</v>
      </c>
      <c r="AK939" s="32">
        <f t="shared" si="839"/>
        <v>0</v>
      </c>
      <c r="AL939" s="32">
        <f t="shared" si="840"/>
        <v>0</v>
      </c>
      <c r="AM939" s="32">
        <f>IF(ISNA(MATCH(AC939,L934:L941,0)),0,VLOOKUP(AC939,L934:W941,AM$1,FALSE))</f>
        <v>0</v>
      </c>
      <c r="AN939" s="146">
        <f>IF(ISNA(MATCH(AC939,R934:R941,0)),0,VLOOKUP(AC939,R934:W941,AN$1,FALSE))</f>
        <v>0</v>
      </c>
      <c r="AP939" s="927"/>
      <c r="AQ939" s="927"/>
    </row>
    <row r="940" spans="1:47" ht="15.6" x14ac:dyDescent="0.3">
      <c r="A940" s="417">
        <f t="shared" si="841"/>
        <v>847</v>
      </c>
      <c r="B940" s="362" t="str">
        <f>'Event Details'!D$28</f>
        <v>F</v>
      </c>
      <c r="C940" s="381" t="str">
        <f>'Event Details'!E$28</f>
        <v>Tamworth</v>
      </c>
      <c r="D940" s="379"/>
      <c r="E940" s="378"/>
      <c r="F940" s="363" t="str">
        <f>'Event Details'!H$28</f>
        <v>Tam</v>
      </c>
      <c r="G940" s="380" t="str">
        <f>VLOOKUP($B933,IF($H933="F",TeamSheetFemale,TeamSheetMale),$Y940,FALSE)</f>
        <v>Tamworth</v>
      </c>
      <c r="H940" s="363">
        <f>VLOOKUP($B933,IF($H933="F",TeamSheetFemale,TeamSheetMale),$Y940+1,FALSE)</f>
        <v>0</v>
      </c>
      <c r="I940" s="364">
        <f>VLOOKUP($B933,IF($H933="F",TeamSheetFemale,TeamSheetMale),$Y940+2,FALSE)</f>
        <v>0</v>
      </c>
      <c r="K940" s="341" t="s">
        <v>277</v>
      </c>
      <c r="L940" s="16" t="str">
        <f t="shared" si="834"/>
        <v/>
      </c>
      <c r="M940" s="927"/>
      <c r="N940" s="927"/>
      <c r="O940" s="1242" t="str">
        <f>IF(N940&gt;1,M940&amp;" - "&amp;VLOOKUP($M940,B934:I941,5,FALSE),"")</f>
        <v/>
      </c>
      <c r="P940" s="373" t="str">
        <f>IF(LEN($M940)=1,VLOOKUP(LEFT($M940,1),B934:I941,6,FALSE),IF(LEN($M940)=2,VLOOKUP(LEFT($M940,1),B934:I941,8,FALSE),""))</f>
        <v/>
      </c>
      <c r="Q940" s="341" t="s">
        <v>277</v>
      </c>
      <c r="R940" s="146" t="str">
        <f t="shared" si="835"/>
        <v/>
      </c>
      <c r="S940" s="927"/>
      <c r="T940" s="927"/>
      <c r="U940" s="353" t="str">
        <f>IF(LEN($S940)=1,VLOOKUP(LEFT($S940,1),B934:I941,5,FALSE),IF(LEN($S940)=2,VLOOKUP(LEFT($S940,1),B934:I941,7,FALSE),""))</f>
        <v/>
      </c>
      <c r="V940" s="373" t="str">
        <f>IF(LEN($S940)=1,VLOOKUP(LEFT($S940,1),B934:I941,6,FALSE),IF(LEN($S940)=2,VLOOKUP(LEFT($S940,1),B934:I941,8,FALSE),""))</f>
        <v/>
      </c>
      <c r="W940" s="417">
        <f t="shared" si="842"/>
        <v>2</v>
      </c>
      <c r="Y940" s="417">
        <v>37</v>
      </c>
      <c r="Z940" s="16">
        <f t="shared" si="836"/>
        <v>0</v>
      </c>
      <c r="AA940" s="146">
        <f t="shared" si="837"/>
        <v>0</v>
      </c>
      <c r="AB940" s="32"/>
      <c r="AC940" s="16" t="str">
        <f t="shared" si="838"/>
        <v>F</v>
      </c>
      <c r="AD940" s="419" t="str">
        <f t="shared" si="838"/>
        <v>Tamworth</v>
      </c>
      <c r="AE940" s="419">
        <f>IF(ISNA(MATCH(AC940,N932:N941,0)),0,VLOOKUP(AC940,N932:S941,5,FALSE))</f>
        <v>0</v>
      </c>
      <c r="AF940" s="419" t="str">
        <f>IF(ISNA(MATCH(AC940,T932:T941,0))," ",VLOOKUP(AC940,T932:Y941,5,FALSE))</f>
        <v xml:space="preserve"> </v>
      </c>
      <c r="AG940" s="419">
        <f>IF(ISNA(MATCH(AC940,L934:L941,0)),0,VLOOKUP(AC940,L934:N941,3,FALSE))</f>
        <v>0</v>
      </c>
      <c r="AH940" s="419">
        <f>IF(ISNA(MATCH(AC940,R934:R941,0)),0,VLOOKUP(AC940,R934:T941,3,FALSE))</f>
        <v>0</v>
      </c>
      <c r="AI940" s="419">
        <f>IF(ISNA(MATCH(AC940,L934:L941,0)),0,VLOOKUP(AC940,L934:P941,4,FALSE))</f>
        <v>0</v>
      </c>
      <c r="AJ940" s="419">
        <f>IF(ISNA(MATCH(AC940,R934:R941,0)),0,VLOOKUP(AC940,R934:U941,4,FALSE))</f>
        <v>0</v>
      </c>
      <c r="AK940" s="32">
        <f t="shared" si="839"/>
        <v>0</v>
      </c>
      <c r="AL940" s="32">
        <f t="shared" si="840"/>
        <v>0</v>
      </c>
      <c r="AM940" s="32">
        <f>IF(ISNA(MATCH(AC940,L934:L941,0)),0,VLOOKUP(AC940,L934:W941,AM$1,FALSE))</f>
        <v>0</v>
      </c>
      <c r="AN940" s="146">
        <f>IF(ISNA(MATCH(AC940,R934:R941,0)),0,VLOOKUP(AC940,R934:W941,AN$1,FALSE))</f>
        <v>0</v>
      </c>
      <c r="AP940" s="927"/>
      <c r="AQ940" s="927"/>
    </row>
    <row r="941" spans="1:47" ht="16.2" thickBot="1" x14ac:dyDescent="0.35">
      <c r="A941" s="418">
        <f t="shared" si="841"/>
        <v>848</v>
      </c>
      <c r="B941" s="365" t="str">
        <f>'Event Details'!D$29</f>
        <v>Y</v>
      </c>
      <c r="C941" s="366" t="str">
        <f>'Event Details'!E$29</f>
        <v>Worcester</v>
      </c>
      <c r="D941" s="361"/>
      <c r="E941" s="370"/>
      <c r="F941" s="367" t="str">
        <f>'Event Details'!H$29</f>
        <v>Worc</v>
      </c>
      <c r="G941" s="368" t="str">
        <f>VLOOKUP($B933,IF($H933="F",TeamSheetFemale,TeamSheetMale),$Y941,FALSE)</f>
        <v>Worcester</v>
      </c>
      <c r="H941" s="367">
        <f>VLOOKUP($B933,IF($H933="F",TeamSheetFemale,TeamSheetMale),$Y941+1,FALSE)</f>
        <v>0</v>
      </c>
      <c r="I941" s="369">
        <f>VLOOKUP($B933,IF($H933="F",TeamSheetFemale,TeamSheetMale),$Y941+2,FALSE)</f>
        <v>0</v>
      </c>
      <c r="K941" s="346" t="s">
        <v>278</v>
      </c>
      <c r="L941" s="25" t="str">
        <f t="shared" si="834"/>
        <v/>
      </c>
      <c r="M941" s="932"/>
      <c r="N941" s="932"/>
      <c r="O941" s="1243" t="str">
        <f>IF(N941&gt;1,M941&amp;" - "&amp;VLOOKUP($M941,B934:I941,5,FALSE),"")</f>
        <v/>
      </c>
      <c r="P941" s="376" t="str">
        <f>IF(LEN($M941)=1,VLOOKUP(LEFT($M941,1),B934:I941,6,FALSE),IF(LEN($M941)=2,VLOOKUP(LEFT($M941,1),B934:I941,8,FALSE),""))</f>
        <v/>
      </c>
      <c r="Q941" s="346" t="s">
        <v>278</v>
      </c>
      <c r="R941" s="523" t="str">
        <f t="shared" si="835"/>
        <v/>
      </c>
      <c r="S941" s="932"/>
      <c r="T941" s="932"/>
      <c r="U941" s="375" t="str">
        <f>IF(LEN($S941)=1,VLOOKUP(LEFT($S941,1),B934:I941,5,FALSE),IF(LEN($S941)=2,VLOOKUP(LEFT($S941,1),B934:I941,7,FALSE),""))</f>
        <v/>
      </c>
      <c r="V941" s="376" t="str">
        <f>IF(LEN($S941)=1,VLOOKUP(LEFT($S941,1),B934:I941,6,FALSE),IF(LEN($S941)=2,VLOOKUP(LEFT($S941,1),B934:I941,8,FALSE),""))</f>
        <v/>
      </c>
      <c r="W941" s="418">
        <f t="shared" si="842"/>
        <v>1</v>
      </c>
      <c r="Y941" s="418">
        <v>42</v>
      </c>
      <c r="Z941" s="25">
        <f t="shared" si="836"/>
        <v>0</v>
      </c>
      <c r="AA941" s="523">
        <f t="shared" si="837"/>
        <v>0</v>
      </c>
      <c r="AB941" s="32"/>
      <c r="AC941" s="25" t="str">
        <f t="shared" si="838"/>
        <v>Y</v>
      </c>
      <c r="AD941" s="624" t="str">
        <f t="shared" si="838"/>
        <v>Worcester</v>
      </c>
      <c r="AE941" s="624">
        <f>IF(ISNA(MATCH(AC941,N933:N942,0)),0,VLOOKUP(AC941,N933:S942,5,FALSE))</f>
        <v>0</v>
      </c>
      <c r="AF941" s="624" t="str">
        <f t="shared" ref="AF941" si="843">IF(ISNA(MATCH(AC941,T933:T942,0))," ",VLOOKUP(AC941,T933:Y942,5,FALSE))</f>
        <v xml:space="preserve"> </v>
      </c>
      <c r="AG941" s="624">
        <f>IF(ISNA(MATCH(AC941,L934:L941,0)),0,VLOOKUP(AC941,L934:N941,3,FALSE))</f>
        <v>0</v>
      </c>
      <c r="AH941" s="624">
        <f>IF(ISNA(MATCH(AC941,R934:R941,0)),0,VLOOKUP(AC941,R934:T941,3,FALSE))</f>
        <v>0</v>
      </c>
      <c r="AI941" s="624">
        <f>IF(ISNA(MATCH(AC941,L934:L941,0)),0,VLOOKUP(AC941,L934:P941,4,FALSE))</f>
        <v>0</v>
      </c>
      <c r="AJ941" s="624">
        <f>IF(ISNA(MATCH(AC941,R934:R941,0)),0,VLOOKUP(AC941,R934:U941,4,FALSE))</f>
        <v>0</v>
      </c>
      <c r="AK941" s="116">
        <f t="shared" si="839"/>
        <v>0</v>
      </c>
      <c r="AL941" s="116">
        <f t="shared" si="840"/>
        <v>0</v>
      </c>
      <c r="AM941" s="116">
        <f>IF(ISNA(MATCH(AC941,L934:L941,0)),0,VLOOKUP(AC941,L934:W941,AM$1,FALSE))</f>
        <v>0</v>
      </c>
      <c r="AN941" s="523">
        <f>IF(ISNA(MATCH(AC941,R934:R941,0)),0,VLOOKUP(AC941,R934:W941,AN$1,FALSE))</f>
        <v>0</v>
      </c>
      <c r="AP941" s="932"/>
      <c r="AQ941" s="932"/>
    </row>
    <row r="942" spans="1:47" ht="15" thickBot="1" x14ac:dyDescent="0.35">
      <c r="M942" s="276"/>
      <c r="N942" s="307"/>
      <c r="S942" s="276"/>
      <c r="T942" s="307"/>
      <c r="AP942" s="276"/>
      <c r="AQ942" s="307"/>
    </row>
    <row r="943" spans="1:47" x14ac:dyDescent="0.3">
      <c r="B943" s="400" t="s">
        <v>258</v>
      </c>
      <c r="C943" s="398"/>
      <c r="D943" s="401" t="s">
        <v>165</v>
      </c>
      <c r="E943" s="398"/>
      <c r="F943" s="398"/>
      <c r="G943" s="402" t="s">
        <v>259</v>
      </c>
      <c r="H943" s="403" t="s">
        <v>249</v>
      </c>
      <c r="I943" s="404" t="s">
        <v>168</v>
      </c>
      <c r="K943" s="360"/>
      <c r="L943" s="661"/>
      <c r="M943" s="387" t="s">
        <v>260</v>
      </c>
      <c r="N943" s="387" t="s">
        <v>261</v>
      </c>
      <c r="O943" s="387" t="s">
        <v>262</v>
      </c>
      <c r="P943" s="388" t="s">
        <v>75</v>
      </c>
      <c r="Q943" s="412"/>
      <c r="R943" s="657"/>
      <c r="S943" s="387" t="s">
        <v>260</v>
      </c>
      <c r="T943" s="387" t="s">
        <v>261</v>
      </c>
      <c r="U943" s="387" t="s">
        <v>262</v>
      </c>
      <c r="V943" s="388" t="s">
        <v>75</v>
      </c>
      <c r="W943" s="672" t="s">
        <v>76</v>
      </c>
      <c r="Y943" s="654" t="s">
        <v>263</v>
      </c>
      <c r="Z943" s="656" t="s">
        <v>74</v>
      </c>
      <c r="AA943" s="657" t="s">
        <v>75</v>
      </c>
      <c r="AC943" s="665" t="s">
        <v>71</v>
      </c>
      <c r="AD943" s="657" t="s">
        <v>86</v>
      </c>
      <c r="AE943" s="661" t="s">
        <v>149</v>
      </c>
      <c r="AF943" s="661" t="s">
        <v>94</v>
      </c>
      <c r="AG943" s="661" t="s">
        <v>149</v>
      </c>
      <c r="AH943" s="661" t="s">
        <v>94</v>
      </c>
      <c r="AI943" s="661" t="s">
        <v>149</v>
      </c>
      <c r="AJ943" s="661" t="s">
        <v>94</v>
      </c>
      <c r="AK943" s="1332" t="s">
        <v>149</v>
      </c>
      <c r="AL943" s="661" t="s">
        <v>94</v>
      </c>
      <c r="AM943" s="1406" t="s">
        <v>76</v>
      </c>
      <c r="AN943" s="1407"/>
      <c r="AP943" s="387" t="s">
        <v>260</v>
      </c>
      <c r="AQ943" s="387" t="s">
        <v>261</v>
      </c>
      <c r="AS943" s="1218" t="s">
        <v>165</v>
      </c>
      <c r="AT943" s="1219" t="s">
        <v>79</v>
      </c>
      <c r="AU943" s="1220" t="s">
        <v>80</v>
      </c>
    </row>
    <row r="944" spans="1:47" ht="15" thickBot="1" x14ac:dyDescent="0.35">
      <c r="B944" s="405">
        <v>85</v>
      </c>
      <c r="C944" s="399"/>
      <c r="D944" s="385" t="str">
        <f>VLOOKUP($B944,EventOrder,6,FALSE)</f>
        <v xml:space="preserve">4 x 100m </v>
      </c>
      <c r="E944" s="399"/>
      <c r="F944" s="385"/>
      <c r="G944" s="386" t="str">
        <f>VLOOKUP($B944,EventOrder,4,FALSE)</f>
        <v>U14 Male</v>
      </c>
      <c r="H944" s="396" t="str">
        <f>IF(MID(G944,5,1)="F","F","M")</f>
        <v>M</v>
      </c>
      <c r="I944" s="397">
        <f>VLOOKUP($B944,EventOrder,2,FALSE)</f>
        <v>5.05</v>
      </c>
      <c r="K944" s="372"/>
      <c r="L944" s="667" t="s">
        <v>149</v>
      </c>
      <c r="M944" s="409" t="s">
        <v>264</v>
      </c>
      <c r="N944" s="409" t="s">
        <v>265</v>
      </c>
      <c r="O944" s="409" t="s">
        <v>266</v>
      </c>
      <c r="P944" s="408"/>
      <c r="Q944" s="413"/>
      <c r="R944" s="659" t="s">
        <v>94</v>
      </c>
      <c r="S944" s="409" t="s">
        <v>264</v>
      </c>
      <c r="T944" s="409" t="s">
        <v>265</v>
      </c>
      <c r="U944" s="409" t="s">
        <v>266</v>
      </c>
      <c r="V944" s="408"/>
      <c r="W944" s="671"/>
      <c r="Y944" s="655" t="s">
        <v>167</v>
      </c>
      <c r="Z944" s="658" t="s">
        <v>149</v>
      </c>
      <c r="AA944" s="659" t="s">
        <v>94</v>
      </c>
      <c r="AC944" s="666"/>
      <c r="AD944" s="668"/>
      <c r="AE944" s="768" t="s">
        <v>75</v>
      </c>
      <c r="AF944" s="768" t="s">
        <v>75</v>
      </c>
      <c r="AG944" s="768" t="s">
        <v>267</v>
      </c>
      <c r="AH944" s="768" t="s">
        <v>267</v>
      </c>
      <c r="AI944" s="768" t="s">
        <v>268</v>
      </c>
      <c r="AJ944" s="768" t="s">
        <v>268</v>
      </c>
      <c r="AK944" s="770" t="s">
        <v>269</v>
      </c>
      <c r="AL944" s="768" t="s">
        <v>269</v>
      </c>
      <c r="AM944" s="667" t="s">
        <v>149</v>
      </c>
      <c r="AN944" s="659" t="s">
        <v>94</v>
      </c>
      <c r="AP944" s="409" t="s">
        <v>264</v>
      </c>
      <c r="AQ944" s="409" t="s">
        <v>265</v>
      </c>
      <c r="AS944" s="1221" t="s">
        <v>270</v>
      </c>
      <c r="AT944" s="1222" t="s">
        <v>270</v>
      </c>
      <c r="AU944" s="1223" t="s">
        <v>270</v>
      </c>
    </row>
    <row r="945" spans="1:47" ht="15.6" x14ac:dyDescent="0.3">
      <c r="A945" s="416">
        <f>(B944*10)+1</f>
        <v>851</v>
      </c>
      <c r="B945" s="362" t="str">
        <f>'Event Details'!D$22</f>
        <v>S</v>
      </c>
      <c r="C945" s="381" t="str">
        <f>'Event Details'!E$22</f>
        <v>BRAT</v>
      </c>
      <c r="D945" s="379"/>
      <c r="E945" s="378"/>
      <c r="F945" s="363" t="str">
        <f>'Event Details'!H$22</f>
        <v>BRAT</v>
      </c>
      <c r="G945" s="380" t="str">
        <f>VLOOKUP($B944,IF($H944="F",TeamSheetFemale,TeamSheetMale),$Y945,FALSE)</f>
        <v>BRAT</v>
      </c>
      <c r="H945" s="363">
        <f>VLOOKUP($B944,IF($H944="F",TeamSheetFemale,TeamSheetMale),$Y945+1,FALSE)</f>
        <v>0</v>
      </c>
      <c r="I945" s="364">
        <f>VLOOKUP($B944,IF($H944="F",TeamSheetFemale,TeamSheetMale),$Y945+2,FALSE)</f>
        <v>0</v>
      </c>
      <c r="K945" s="393" t="s">
        <v>271</v>
      </c>
      <c r="L945" s="16" t="str">
        <f t="shared" ref="L945:L952" si="844">LEFT(M945,1)</f>
        <v>G</v>
      </c>
      <c r="M945" s="926" t="s">
        <v>110</v>
      </c>
      <c r="N945" s="926">
        <v>53.5</v>
      </c>
      <c r="O945" s="1241" t="str">
        <f>IF(N945&gt;1,M945&amp;" - "&amp;VLOOKUP($M945,B945:I952,5,FALSE),"")</f>
        <v>G - Royal</v>
      </c>
      <c r="P945" s="395" t="str">
        <f>IF(LEN($M945)=1,VLOOKUP(LEFT($M945,1),B945:I952,6,FALSE),IF(LEN($M945)=2,VLOOKUP(LEFT($M945,1),B945:I952,8,FALSE),""))</f>
        <v>Royal Sutton</v>
      </c>
      <c r="Q945" s="406" t="s">
        <v>271</v>
      </c>
      <c r="R945" s="146" t="str">
        <f t="shared" ref="R945:R952" si="845">LEFT(S945,1)</f>
        <v/>
      </c>
      <c r="S945" s="926"/>
      <c r="T945" s="926"/>
      <c r="U945" s="394" t="str">
        <f>IF(LEN($S945)=1,VLOOKUP(LEFT($S945,1),B945:I952,5,FALSE),IF(LEN($S945)=2,VLOOKUP(LEFT($S945,1),B945:I952,7,FALSE),""))</f>
        <v/>
      </c>
      <c r="V945" s="395" t="str">
        <f>IF(LEN($S945)=1,VLOOKUP(LEFT($S945,1),B945:I952,6,FALSE),IF(LEN($S945)=2,VLOOKUP(LEFT($S945,1),B945:I952,8,FALSE),""))</f>
        <v/>
      </c>
      <c r="W945" s="417">
        <f>AN$6</f>
        <v>8</v>
      </c>
      <c r="Y945" s="653">
        <v>7</v>
      </c>
      <c r="Z945" s="653" t="str">
        <f t="shared" ref="Z945:Z952" si="846">IF(LEN(M945)&gt;0,VLOOKUP(LEFT(M945,1),ShortName,5,FALSE),0)</f>
        <v>Royal</v>
      </c>
      <c r="AA945" s="138">
        <f t="shared" ref="AA945:AA952" si="847">IF(LEN(S945)&gt;0,VLOOKUP(LEFT(S945,1),ShortName,5,FALSE),0)</f>
        <v>0</v>
      </c>
      <c r="AC945" s="16" t="str">
        <f t="shared" ref="AC945:AD952" si="848">B945</f>
        <v>S</v>
      </c>
      <c r="AD945" s="419" t="str">
        <f t="shared" si="848"/>
        <v>BRAT</v>
      </c>
      <c r="AE945" s="635">
        <f>IF(ISNA(MATCH(AC945,N945:N954,0)),0,VLOOKUP(AC945,N945:S954,5,FALSE))</f>
        <v>0</v>
      </c>
      <c r="AF945" s="635" t="str">
        <f>IF(ISNA(MATCH(AC945,T945:T954,0))," ",VLOOKUP(AC945,T945:Y954,5,FALSE))</f>
        <v xml:space="preserve"> </v>
      </c>
      <c r="AG945" s="635">
        <f>IF(ISNA(MATCH(AC945,L945:L952,0)),0,VLOOKUP(AC945,L945:N952,3,FALSE))</f>
        <v>55.6</v>
      </c>
      <c r="AH945" s="635">
        <f>IF(ISNA(MATCH(AC945,R945:R952,0)),0,VLOOKUP(AC945,R945:T952,3,FALSE))</f>
        <v>0</v>
      </c>
      <c r="AI945" s="635" t="str">
        <f>IF(ISNA(MATCH(AC945,L945:L952,0)),0,VLOOKUP(AC945,L945:P952,4,FALSE))</f>
        <v>S - BRAT</v>
      </c>
      <c r="AJ945" s="635">
        <f>IF(ISNA(MATCH(AC945,R945:R952,0)),0,VLOOKUP(AC945,R945:U952,4,FALSE))</f>
        <v>0</v>
      </c>
      <c r="AK945" s="49">
        <f t="shared" ref="AK945:AK952" si="849">IF(AM945=0,0,AN$6-(AM945-1))</f>
        <v>3</v>
      </c>
      <c r="AL945" s="49">
        <f t="shared" ref="AL945:AL952" si="850">IF(AN945=0,0,AN$6-(AN945-1))</f>
        <v>0</v>
      </c>
      <c r="AM945" s="49">
        <f>IF(ISNA(MATCH(AC945,L945:L952,0)),0,VLOOKUP(AC945,L945:W952,AM$1,FALSE))</f>
        <v>6</v>
      </c>
      <c r="AN945" s="138">
        <f>IF(ISNA(MATCH(AC945,R945:R952,0)),0,VLOOKUP(AC945,R945:W952,AN$1,FALSE))</f>
        <v>0</v>
      </c>
      <c r="AP945" s="926"/>
      <c r="AQ945" s="926"/>
      <c r="AS945" s="32">
        <f>IF(LEN(N945)&gt;0,1,0)</f>
        <v>1</v>
      </c>
      <c r="AT945" s="32">
        <f>IF(AND(AS945=1,H944="M"),1,0)</f>
        <v>1</v>
      </c>
      <c r="AU945" s="32">
        <f>IF(AND(AS945=1,H944="F"),1,0)</f>
        <v>0</v>
      </c>
    </row>
    <row r="946" spans="1:47" ht="15.6" x14ac:dyDescent="0.3">
      <c r="A946" s="417">
        <f>A945+1</f>
        <v>852</v>
      </c>
      <c r="B946" s="362" t="str">
        <f>'Event Details'!D$23</f>
        <v>U</v>
      </c>
      <c r="C946" s="381" t="str">
        <f>'Event Details'!E$23</f>
        <v>Kidder &amp; Stourport</v>
      </c>
      <c r="D946" s="379"/>
      <c r="E946" s="378"/>
      <c r="F946" s="363" t="str">
        <f>'Event Details'!H$23</f>
        <v>K&amp;S</v>
      </c>
      <c r="G946" s="380" t="str">
        <f>VLOOKUP($B944,IF($H944="F",TeamSheetFemale,TeamSheetMale),$Y946,FALSE)</f>
        <v>Kidder &amp; Stourport</v>
      </c>
      <c r="H946" s="363">
        <f>VLOOKUP($B944,IF($H944="F",TeamSheetFemale,TeamSheetMale),$Y946+1,FALSE)</f>
        <v>0</v>
      </c>
      <c r="I946" s="364">
        <f>VLOOKUP($B944,IF($H944="F",TeamSheetFemale,TeamSheetMale),$Y946+2,FALSE)</f>
        <v>0</v>
      </c>
      <c r="K946" s="341" t="s">
        <v>272</v>
      </c>
      <c r="L946" s="16" t="str">
        <f t="shared" si="844"/>
        <v>R</v>
      </c>
      <c r="M946" s="927" t="s">
        <v>118</v>
      </c>
      <c r="N946" s="927">
        <v>53.7</v>
      </c>
      <c r="O946" s="1242" t="str">
        <f>IF(N946&gt;1,M946&amp;" - "&amp;VLOOKUP($M946,B945:I952,5,FALSE),"")</f>
        <v>R - Rugby</v>
      </c>
      <c r="P946" s="410" t="str">
        <f>IF(LEN($M946)=1,VLOOKUP(LEFT($M946,1),B945:I952,6,FALSE),IF(LEN($M946)=2,VLOOKUP(LEFT($M946,1),B945:I952,8,FALSE),""))</f>
        <v>Rugby &amp; N'hampton</v>
      </c>
      <c r="Q946" s="371" t="s">
        <v>272</v>
      </c>
      <c r="R946" s="146" t="str">
        <f t="shared" si="845"/>
        <v/>
      </c>
      <c r="S946" s="927"/>
      <c r="T946" s="927"/>
      <c r="U946" s="354" t="str">
        <f>IF(LEN($S946)=1,VLOOKUP(LEFT($S946,1),B945:I952,5,FALSE),IF(LEN($S946)=2,VLOOKUP(LEFT($S946,1),B945:I952,7,FALSE),""))</f>
        <v/>
      </c>
      <c r="V946" s="410" t="str">
        <f>IF(LEN($S946)=1,VLOOKUP(LEFT($S946,1),B945:I952,6,FALSE),IF(LEN($S946)=2,VLOOKUP(LEFT($S946,1),B945:I952,8,FALSE),""))</f>
        <v/>
      </c>
      <c r="W946" s="417">
        <f>W945-1</f>
        <v>7</v>
      </c>
      <c r="Y946" s="16">
        <v>12</v>
      </c>
      <c r="Z946" s="16" t="str">
        <f t="shared" si="846"/>
        <v>Rugby</v>
      </c>
      <c r="AA946" s="146">
        <f t="shared" si="847"/>
        <v>0</v>
      </c>
      <c r="AC946" s="16" t="str">
        <f t="shared" si="848"/>
        <v>U</v>
      </c>
      <c r="AD946" s="419" t="str">
        <f t="shared" si="848"/>
        <v>Kidder &amp; Stourport</v>
      </c>
      <c r="AE946" s="419">
        <f>IF(ISNA(MATCH(AC946,N945:N954,0)),0,VLOOKUP(AC946,N945:S954,5,FALSE))</f>
        <v>0</v>
      </c>
      <c r="AF946" s="419" t="str">
        <f>IF(ISNA(MATCH(AC946,T945:T954,0))," ",VLOOKUP(AC946,T945:Y954,5,FALSE))</f>
        <v xml:space="preserve"> </v>
      </c>
      <c r="AG946" s="419">
        <f>IF(ISNA(MATCH(AC946,L945:L952,0)),0,VLOOKUP(AC946,L945:N952,3,FALSE))</f>
        <v>0</v>
      </c>
      <c r="AH946" s="419">
        <f>IF(ISNA(MATCH(AC946,R945:R952,0)),0,VLOOKUP(AC946,R945:T952,3,FALSE))</f>
        <v>0</v>
      </c>
      <c r="AI946" s="419">
        <f>IF(ISNA(MATCH(AC946,L945:L952,0)),0,VLOOKUP(AC946,L945:P952,4,FALSE))</f>
        <v>0</v>
      </c>
      <c r="AJ946" s="419">
        <f>IF(ISNA(MATCH(AC946,R945:R952,0)),0,VLOOKUP(AC946,R945:U952,4,FALSE))</f>
        <v>0</v>
      </c>
      <c r="AK946" s="32">
        <f t="shared" si="849"/>
        <v>0</v>
      </c>
      <c r="AL946" s="32">
        <f t="shared" si="850"/>
        <v>0</v>
      </c>
      <c r="AM946" s="32">
        <f>IF(ISNA(MATCH(AC946,L945:L952,0)),0,VLOOKUP(AC946,L945:W952,AM$1,FALSE))</f>
        <v>0</v>
      </c>
      <c r="AN946" s="146">
        <f>IF(ISNA(MATCH(AC946,R945:R952,0)),0,VLOOKUP(AC946,R945:W952,AN$1,FALSE))</f>
        <v>0</v>
      </c>
      <c r="AP946" s="927"/>
      <c r="AQ946" s="927"/>
    </row>
    <row r="947" spans="1:47" ht="15.6" x14ac:dyDescent="0.3">
      <c r="A947" s="417">
        <f t="shared" ref="A947:A952" si="851">A946+1</f>
        <v>853</v>
      </c>
      <c r="B947" s="362" t="str">
        <f>'Event Details'!D$24</f>
        <v>G</v>
      </c>
      <c r="C947" s="381" t="str">
        <f>'Event Details'!E$24</f>
        <v>Royal Sutton</v>
      </c>
      <c r="D947" s="379"/>
      <c r="E947" s="378"/>
      <c r="F947" s="363" t="str">
        <f>'Event Details'!H$24</f>
        <v>Royal</v>
      </c>
      <c r="G947" s="380" t="str">
        <f>VLOOKUP($B944,IF($H944="F",TeamSheetFemale,TeamSheetMale),$Y947,FALSE)</f>
        <v>Royal Sutton</v>
      </c>
      <c r="H947" s="363">
        <f>VLOOKUP($B944,IF($H944="F",TeamSheetFemale,TeamSheetMale),$Y947+1,FALSE)</f>
        <v>0</v>
      </c>
      <c r="I947" s="364">
        <f>VLOOKUP($B944,IF($H944="F",TeamSheetFemale,TeamSheetMale),$Y947+2,FALSE)</f>
        <v>0</v>
      </c>
      <c r="K947" s="341" t="s">
        <v>273</v>
      </c>
      <c r="L947" s="16" t="str">
        <f t="shared" si="844"/>
        <v>S</v>
      </c>
      <c r="M947" s="927" t="s">
        <v>100</v>
      </c>
      <c r="N947" s="927">
        <v>55.6</v>
      </c>
      <c r="O947" s="1242" t="str">
        <f>IF(N947&gt;1,M947&amp;" - "&amp;VLOOKUP($M947,B945:I952,5,FALSE),"")</f>
        <v>S - BRAT</v>
      </c>
      <c r="P947" s="410" t="str">
        <f>IF(LEN($M947)=1,VLOOKUP(LEFT($M947,1),B945:I952,6,FALSE),IF(LEN($M947)=2,VLOOKUP(LEFT($M947,1),B945:I952,8,FALSE),""))</f>
        <v>BRAT</v>
      </c>
      <c r="Q947" s="371" t="s">
        <v>273</v>
      </c>
      <c r="R947" s="146" t="str">
        <f t="shared" si="845"/>
        <v/>
      </c>
      <c r="S947" s="927"/>
      <c r="T947" s="927"/>
      <c r="U947" s="354" t="str">
        <f>IF(LEN($S947)=1,VLOOKUP(LEFT($S947,1),B945:I952,5,FALSE),IF(LEN($S947)=2,VLOOKUP(LEFT($S947,1),B945:I952,7,FALSE),""))</f>
        <v/>
      </c>
      <c r="V947" s="410" t="str">
        <f>IF(LEN($S947)=1,VLOOKUP(LEFT($S947,1),B945:I952,6,FALSE),IF(LEN($S947)=2,VLOOKUP(LEFT($S947,1),B945:I952,8,FALSE),""))</f>
        <v/>
      </c>
      <c r="W947" s="417">
        <f t="shared" ref="W947:W952" si="852">W946-1</f>
        <v>6</v>
      </c>
      <c r="Y947" s="16">
        <v>17</v>
      </c>
      <c r="Z947" s="16" t="str">
        <f t="shared" si="846"/>
        <v>BRAT</v>
      </c>
      <c r="AA947" s="146">
        <f t="shared" si="847"/>
        <v>0</v>
      </c>
      <c r="AC947" s="16" t="str">
        <f t="shared" si="848"/>
        <v>G</v>
      </c>
      <c r="AD947" s="419" t="str">
        <f t="shared" si="848"/>
        <v>Royal Sutton</v>
      </c>
      <c r="AE947" s="419">
        <f>IF(ISNA(MATCH(AC947,N945:N954,0)),0,VLOOKUP(AC947,N945:S954,5,FALSE))</f>
        <v>0</v>
      </c>
      <c r="AF947" s="419" t="str">
        <f>IF(ISNA(MATCH(AC947,T945:T954,0))," ",VLOOKUP(AC947,T945:Y954,5,FALSE))</f>
        <v xml:space="preserve"> </v>
      </c>
      <c r="AG947" s="419">
        <f>IF(ISNA(MATCH(AC947,L945:L952,0)),0,VLOOKUP(AC947,L945:N952,3,FALSE))</f>
        <v>53.5</v>
      </c>
      <c r="AH947" s="419">
        <f>IF(ISNA(MATCH(AC947,R945:R952,0)),0,VLOOKUP(AC947,R945:T952,3,FALSE))</f>
        <v>0</v>
      </c>
      <c r="AI947" s="419" t="str">
        <f>IF(ISNA(MATCH(AC947,L945:L952,0)),0,VLOOKUP(AC947,L945:P952,4,FALSE))</f>
        <v>G - Royal</v>
      </c>
      <c r="AJ947" s="419">
        <f>IF(ISNA(MATCH(AC947,R945:R952,0)),0,VLOOKUP(AC947,R945:U952,4,FALSE))</f>
        <v>0</v>
      </c>
      <c r="AK947" s="32">
        <f t="shared" si="849"/>
        <v>1</v>
      </c>
      <c r="AL947" s="32">
        <f t="shared" si="850"/>
        <v>0</v>
      </c>
      <c r="AM947" s="32">
        <f>IF(ISNA(MATCH(AC947,L945:L952,0)),0,VLOOKUP(AC947,L945:W952,AM$1,FALSE))</f>
        <v>8</v>
      </c>
      <c r="AN947" s="146">
        <f>IF(ISNA(MATCH(AC947,R945:R952,0)),0,VLOOKUP(AC947,R945:W952,AN$1,FALSE))</f>
        <v>0</v>
      </c>
      <c r="AP947" s="927"/>
      <c r="AQ947" s="927"/>
    </row>
    <row r="948" spans="1:47" ht="15.6" x14ac:dyDescent="0.3">
      <c r="A948" s="417">
        <f t="shared" si="851"/>
        <v>854</v>
      </c>
      <c r="B948" s="362" t="str">
        <f>'Event Details'!D$25</f>
        <v>R</v>
      </c>
      <c r="C948" s="381" t="str">
        <f>'Event Details'!E$25</f>
        <v>Rugby &amp; N'hampton</v>
      </c>
      <c r="D948" s="379"/>
      <c r="E948" s="378"/>
      <c r="F948" s="363" t="str">
        <f>'Event Details'!H$25</f>
        <v>Rugby</v>
      </c>
      <c r="G948" s="380" t="str">
        <f>VLOOKUP($B944,IF($H944="F",TeamSheetFemale,TeamSheetMale),$Y948,FALSE)</f>
        <v>Rugby &amp; N'hampton</v>
      </c>
      <c r="H948" s="363">
        <f>VLOOKUP($B944,IF($H944="F",TeamSheetFemale,TeamSheetMale),$Y948+1,FALSE)</f>
        <v>0</v>
      </c>
      <c r="I948" s="364">
        <f>VLOOKUP($B944,IF($H944="F",TeamSheetFemale,TeamSheetMale),$Y948+2,FALSE)</f>
        <v>0</v>
      </c>
      <c r="K948" s="341" t="s">
        <v>274</v>
      </c>
      <c r="L948" s="16" t="str">
        <f t="shared" si="844"/>
        <v>D</v>
      </c>
      <c r="M948" s="927" t="s">
        <v>136</v>
      </c>
      <c r="N948" s="927">
        <v>56</v>
      </c>
      <c r="O948" s="1242" t="str">
        <f>IF(N948&gt;1,M948&amp;" - "&amp;VLOOKUP($M948,B945:I952,5,FALSE),"")</f>
        <v>D - Strat</v>
      </c>
      <c r="P948" s="410" t="str">
        <f>IF(LEN($M948)=1,VLOOKUP(LEFT($M948,1),B945:I952,6,FALSE),IF(LEN($M948)=2,VLOOKUP(LEFT($M948,1),B945:I952,8,FALSE),""))</f>
        <v>Stratford</v>
      </c>
      <c r="Q948" s="371" t="s">
        <v>274</v>
      </c>
      <c r="R948" s="146" t="str">
        <f t="shared" si="845"/>
        <v/>
      </c>
      <c r="S948" s="927"/>
      <c r="T948" s="927"/>
      <c r="U948" s="354" t="str">
        <f>IF(LEN($S948)=1,VLOOKUP(LEFT($S948,1),B945:I952,5,FALSE),IF(LEN($S948)=2,VLOOKUP(LEFT($S948,1),B945:I952,7,FALSE),""))</f>
        <v/>
      </c>
      <c r="V948" s="410" t="str">
        <f>IF(LEN($S948)=1,VLOOKUP(LEFT($S948,1),B945:I952,6,FALSE),IF(LEN($S948)=2,VLOOKUP(LEFT($S948,1),B945:I952,8,FALSE),""))</f>
        <v/>
      </c>
      <c r="W948" s="417">
        <f t="shared" si="852"/>
        <v>5</v>
      </c>
      <c r="Y948" s="16">
        <v>22</v>
      </c>
      <c r="Z948" s="16" t="str">
        <f t="shared" si="846"/>
        <v>Strat</v>
      </c>
      <c r="AA948" s="146">
        <f t="shared" si="847"/>
        <v>0</v>
      </c>
      <c r="AC948" s="16" t="str">
        <f t="shared" si="848"/>
        <v>R</v>
      </c>
      <c r="AD948" s="419" t="str">
        <f t="shared" si="848"/>
        <v>Rugby &amp; N'hampton</v>
      </c>
      <c r="AE948" s="419">
        <f>IF(ISNA(MATCH(AC948,N945:N954,0)),0,VLOOKUP(AC948,N945:S954,5,FALSE))</f>
        <v>0</v>
      </c>
      <c r="AF948" s="419" t="str">
        <f>IF(ISNA(MATCH(AC948,T945:T954,0))," ",VLOOKUP(AC948,T945:Y954,5,FALSE))</f>
        <v xml:space="preserve"> </v>
      </c>
      <c r="AG948" s="419">
        <f>IF(ISNA(MATCH(AC948,L945:L952,0)),0,VLOOKUP(AC948,L945:N952,3,FALSE))</f>
        <v>53.7</v>
      </c>
      <c r="AH948" s="419">
        <f>IF(ISNA(MATCH(AC948,R945:R952,0)),0,VLOOKUP(AC948,R945:T952,3,FALSE))</f>
        <v>0</v>
      </c>
      <c r="AI948" s="419" t="str">
        <f>IF(ISNA(MATCH(AC948,L945:L952,0)),0,VLOOKUP(AC948,L945:P952,4,FALSE))</f>
        <v>R - Rugby</v>
      </c>
      <c r="AJ948" s="419">
        <f>IF(ISNA(MATCH(AC948,R945:R952,0)),0,VLOOKUP(AC948,R945:U952,4,FALSE))</f>
        <v>0</v>
      </c>
      <c r="AK948" s="32">
        <f t="shared" si="849"/>
        <v>2</v>
      </c>
      <c r="AL948" s="32">
        <f t="shared" si="850"/>
        <v>0</v>
      </c>
      <c r="AM948" s="32">
        <f>IF(ISNA(MATCH(AC948,L945:L952,0)),0,VLOOKUP(AC948,L945:W952,AM$1,FALSE))</f>
        <v>7</v>
      </c>
      <c r="AN948" s="146">
        <f>IF(ISNA(MATCH(AC948,R945:R952,0)),0,VLOOKUP(AC948,R945:W952,AN$1,FALSE))</f>
        <v>0</v>
      </c>
      <c r="AP948" s="927"/>
      <c r="AQ948" s="927"/>
    </row>
    <row r="949" spans="1:47" ht="15.6" x14ac:dyDescent="0.3">
      <c r="A949" s="417">
        <f t="shared" si="851"/>
        <v>855</v>
      </c>
      <c r="B949" s="362" t="str">
        <f>'Event Details'!D$26</f>
        <v>M</v>
      </c>
      <c r="C949" s="381" t="str">
        <f>'Event Details'!E$26</f>
        <v>Solihull &amp; S.Heath</v>
      </c>
      <c r="D949" s="379"/>
      <c r="E949" s="378"/>
      <c r="F949" s="363" t="str">
        <f>'Event Details'!H$26</f>
        <v>Sol</v>
      </c>
      <c r="G949" s="380" t="str">
        <f>VLOOKUP($B944,IF($H944="F",TeamSheetFemale,TeamSheetMale),$Y949,FALSE)</f>
        <v>Solihull &amp; S.Heath</v>
      </c>
      <c r="H949" s="363">
        <f>VLOOKUP($B944,IF($H944="F",TeamSheetFemale,TeamSheetMale),$Y949+1,FALSE)</f>
        <v>0</v>
      </c>
      <c r="I949" s="364">
        <f>VLOOKUP($B944,IF($H944="F",TeamSheetFemale,TeamSheetMale),$Y949+2,FALSE)</f>
        <v>0</v>
      </c>
      <c r="K949" s="341" t="s">
        <v>275</v>
      </c>
      <c r="L949" s="16" t="str">
        <f t="shared" si="844"/>
        <v>M</v>
      </c>
      <c r="M949" s="927" t="s">
        <v>127</v>
      </c>
      <c r="N949" s="927">
        <v>59.4</v>
      </c>
      <c r="O949" s="1242" t="str">
        <f>IF(N949&gt;1,M949&amp;" - "&amp;VLOOKUP($M949,B945:I952,5,FALSE),"")</f>
        <v>M - Sol</v>
      </c>
      <c r="P949" s="410" t="str">
        <f>IF(LEN($M949)=1,VLOOKUP(LEFT($M949,1),B945:I952,6,FALSE),IF(LEN($M949)=2,VLOOKUP(LEFT($M949,1),B945:I952,8,FALSE),""))</f>
        <v>Solihull &amp; S.Heath</v>
      </c>
      <c r="Q949" s="371" t="s">
        <v>275</v>
      </c>
      <c r="R949" s="146" t="str">
        <f t="shared" si="845"/>
        <v/>
      </c>
      <c r="S949" s="927"/>
      <c r="T949" s="927"/>
      <c r="U949" s="354" t="str">
        <f>IF(LEN($S949)=1,VLOOKUP(LEFT($S949,1),B945:I952,5,FALSE),IF(LEN($S949)=2,VLOOKUP(LEFT($S949,1),B945:I952,7,FALSE),""))</f>
        <v/>
      </c>
      <c r="V949" s="410" t="str">
        <f>IF(LEN($S949)=1,VLOOKUP(LEFT($S949,1),B945:I952,6,FALSE),IF(LEN($S949)=2,VLOOKUP(LEFT($S949,1),B945:I952,8,FALSE),""))</f>
        <v/>
      </c>
      <c r="W949" s="417">
        <f t="shared" si="852"/>
        <v>4</v>
      </c>
      <c r="Y949" s="16">
        <v>27</v>
      </c>
      <c r="Z949" s="16" t="str">
        <f t="shared" si="846"/>
        <v>Sol</v>
      </c>
      <c r="AA949" s="146">
        <f t="shared" si="847"/>
        <v>0</v>
      </c>
      <c r="AC949" s="16" t="str">
        <f t="shared" si="848"/>
        <v>M</v>
      </c>
      <c r="AD949" s="419" t="str">
        <f t="shared" si="848"/>
        <v>Solihull &amp; S.Heath</v>
      </c>
      <c r="AE949" s="419">
        <f>IF(ISNA(MATCH(AC949,N945:N954,0)),0,VLOOKUP(AC949,N945:S954,5,FALSE))</f>
        <v>0</v>
      </c>
      <c r="AF949" s="419" t="str">
        <f>IF(ISNA(MATCH(AC949,T945:T954,0))," ",VLOOKUP(AC949,T945:Y954,5,FALSE))</f>
        <v xml:space="preserve"> </v>
      </c>
      <c r="AG949" s="419">
        <f>IF(ISNA(MATCH(AC949,L945:L952,0)),0,VLOOKUP(AC949,L945:N952,3,FALSE))</f>
        <v>59.4</v>
      </c>
      <c r="AH949" s="419">
        <f>IF(ISNA(MATCH(AC949,R945:R952,0)),0,VLOOKUP(AC949,R945:T952,3,FALSE))</f>
        <v>0</v>
      </c>
      <c r="AI949" s="419" t="str">
        <f>IF(ISNA(MATCH(AC949,L945:L952,0)),0,VLOOKUP(AC949,L945:P952,4,FALSE))</f>
        <v>M - Sol</v>
      </c>
      <c r="AJ949" s="419">
        <f>IF(ISNA(MATCH(AC949,R945:R952,0)),0,VLOOKUP(AC949,R945:U952,4,FALSE))</f>
        <v>0</v>
      </c>
      <c r="AK949" s="32">
        <f t="shared" si="849"/>
        <v>5</v>
      </c>
      <c r="AL949" s="32">
        <f t="shared" si="850"/>
        <v>0</v>
      </c>
      <c r="AM949" s="32">
        <f>IF(ISNA(MATCH(AC949,L945:L952,0)),0,VLOOKUP(AC949,L945:W952,AM$1,FALSE))</f>
        <v>4</v>
      </c>
      <c r="AN949" s="146">
        <f>IF(ISNA(MATCH(AC949,R945:R952,0)),0,VLOOKUP(AC949,R945:W952,AN$1,FALSE))</f>
        <v>0</v>
      </c>
      <c r="AP949" s="927"/>
      <c r="AQ949" s="927"/>
    </row>
    <row r="950" spans="1:47" ht="15.6" x14ac:dyDescent="0.3">
      <c r="A950" s="417">
        <f t="shared" si="851"/>
        <v>856</v>
      </c>
      <c r="B950" s="362" t="str">
        <f>'Event Details'!D$27</f>
        <v>D</v>
      </c>
      <c r="C950" s="381" t="str">
        <f>'Event Details'!E$27</f>
        <v>Stratford</v>
      </c>
      <c r="D950" s="379"/>
      <c r="E950" s="378"/>
      <c r="F950" s="363" t="str">
        <f>'Event Details'!H$27</f>
        <v>Strat</v>
      </c>
      <c r="G950" s="380" t="str">
        <f>VLOOKUP($B944,IF($H944="F",TeamSheetFemale,TeamSheetMale),$Y950,FALSE)</f>
        <v>Stratford</v>
      </c>
      <c r="H950" s="363">
        <f>VLOOKUP($B944,IF($H944="F",TeamSheetFemale,TeamSheetMale),$Y950+1,FALSE)</f>
        <v>0</v>
      </c>
      <c r="I950" s="364">
        <f>VLOOKUP($B944,IF($H944="F",TeamSheetFemale,TeamSheetMale),$Y950+2,FALSE)</f>
        <v>0</v>
      </c>
      <c r="K950" s="341" t="s">
        <v>276</v>
      </c>
      <c r="L950" s="16" t="str">
        <f t="shared" si="844"/>
        <v/>
      </c>
      <c r="M950" s="927"/>
      <c r="N950" s="927"/>
      <c r="O950" s="1242" t="str">
        <f>IF(N950&gt;1,M950&amp;" - "&amp;VLOOKUP($M950,B945:I952,5,FALSE),"")</f>
        <v/>
      </c>
      <c r="P950" s="410" t="str">
        <f>IF(LEN($M950)=1,VLOOKUP(LEFT($M950,1),B945:I952,6,FALSE),IF(LEN($M950)=2,VLOOKUP(LEFT($M950,1),B945:I952,8,FALSE),""))</f>
        <v/>
      </c>
      <c r="Q950" s="371" t="s">
        <v>276</v>
      </c>
      <c r="R950" s="146" t="str">
        <f t="shared" si="845"/>
        <v/>
      </c>
      <c r="S950" s="927"/>
      <c r="T950" s="927"/>
      <c r="U950" s="354" t="str">
        <f>IF(LEN($S950)=1,VLOOKUP(LEFT($S950,1),B945:I952,5,FALSE),IF(LEN($S950)=2,VLOOKUP(LEFT($S950,1),B945:I952,7,FALSE),""))</f>
        <v/>
      </c>
      <c r="V950" s="410" t="str">
        <f>IF(LEN($S950)=1,VLOOKUP(LEFT($S950,1),B945:I952,6,FALSE),IF(LEN($S950)=2,VLOOKUP(LEFT($S950,1),B945:I952,8,FALSE),""))</f>
        <v/>
      </c>
      <c r="W950" s="417">
        <f t="shared" si="852"/>
        <v>3</v>
      </c>
      <c r="Y950" s="16">
        <v>32</v>
      </c>
      <c r="Z950" s="16">
        <f t="shared" si="846"/>
        <v>0</v>
      </c>
      <c r="AA950" s="146">
        <f t="shared" si="847"/>
        <v>0</v>
      </c>
      <c r="AC950" s="16" t="str">
        <f t="shared" si="848"/>
        <v>D</v>
      </c>
      <c r="AD950" s="419" t="str">
        <f t="shared" si="848"/>
        <v>Stratford</v>
      </c>
      <c r="AE950" s="419">
        <f>IF(ISNA(MATCH(AC950,N945:N954,0)),0,VLOOKUP(AC950,N945:S954,5,FALSE))</f>
        <v>0</v>
      </c>
      <c r="AF950" s="419" t="str">
        <f>IF(ISNA(MATCH(AC950,T945:T954,0))," ",VLOOKUP(AC950,T945:Y954,5,FALSE))</f>
        <v xml:space="preserve"> </v>
      </c>
      <c r="AG950" s="419">
        <f>IF(ISNA(MATCH(AC950,L945:L952,0)),0,VLOOKUP(AC950,L945:N952,3,FALSE))</f>
        <v>56</v>
      </c>
      <c r="AH950" s="419">
        <f>IF(ISNA(MATCH(AC950,R945:R952,0)),0,VLOOKUP(AC950,R945:T952,3,FALSE))</f>
        <v>0</v>
      </c>
      <c r="AI950" s="419" t="str">
        <f>IF(ISNA(MATCH(AC950,L945:L952,0)),0,VLOOKUP(AC950,L945:P952,4,FALSE))</f>
        <v>D - Strat</v>
      </c>
      <c r="AJ950" s="419">
        <f>IF(ISNA(MATCH(AC950,R945:R952,0)),0,VLOOKUP(AC950,R945:U952,4,FALSE))</f>
        <v>0</v>
      </c>
      <c r="AK950" s="32">
        <f t="shared" si="849"/>
        <v>4</v>
      </c>
      <c r="AL950" s="32">
        <f t="shared" si="850"/>
        <v>0</v>
      </c>
      <c r="AM950" s="32">
        <f>IF(ISNA(MATCH(AC950,L945:L952,0)),0,VLOOKUP(AC950,L945:W952,AM$1,FALSE))</f>
        <v>5</v>
      </c>
      <c r="AN950" s="146">
        <f>IF(ISNA(MATCH(AC950,R945:R952,0)),0,VLOOKUP(AC950,R945:W952,AN$1,FALSE))</f>
        <v>0</v>
      </c>
      <c r="AP950" s="927"/>
      <c r="AQ950" s="927"/>
    </row>
    <row r="951" spans="1:47" ht="15.6" x14ac:dyDescent="0.3">
      <c r="A951" s="417">
        <f t="shared" si="851"/>
        <v>857</v>
      </c>
      <c r="B951" s="362" t="str">
        <f>'Event Details'!D$28</f>
        <v>F</v>
      </c>
      <c r="C951" s="381" t="str">
        <f>'Event Details'!E$28</f>
        <v>Tamworth</v>
      </c>
      <c r="D951" s="379"/>
      <c r="E951" s="378"/>
      <c r="F951" s="363" t="str">
        <f>'Event Details'!H$28</f>
        <v>Tam</v>
      </c>
      <c r="G951" s="380" t="str">
        <f>VLOOKUP($B944,IF($H944="F",TeamSheetFemale,TeamSheetMale),$Y951,FALSE)</f>
        <v>Tamworth</v>
      </c>
      <c r="H951" s="363">
        <f>VLOOKUP($B944,IF($H944="F",TeamSheetFemale,TeamSheetMale),$Y951+1,FALSE)</f>
        <v>0</v>
      </c>
      <c r="I951" s="364">
        <f>VLOOKUP($B944,IF($H944="F",TeamSheetFemale,TeamSheetMale),$Y951+2,FALSE)</f>
        <v>0</v>
      </c>
      <c r="K951" s="341" t="s">
        <v>277</v>
      </c>
      <c r="L951" s="16" t="str">
        <f t="shared" si="844"/>
        <v/>
      </c>
      <c r="M951" s="927"/>
      <c r="N951" s="927"/>
      <c r="O951" s="1242" t="str">
        <f>IF(N951&gt;1,M951&amp;" - "&amp;VLOOKUP($M951,B945:I952,5,FALSE),"")</f>
        <v/>
      </c>
      <c r="P951" s="410" t="str">
        <f>IF(LEN($M951)=1,VLOOKUP(LEFT($M951,1),B945:I952,6,FALSE),IF(LEN($M951)=2,VLOOKUP(LEFT($M951,1),B945:I952,8,FALSE),""))</f>
        <v/>
      </c>
      <c r="Q951" s="371" t="s">
        <v>277</v>
      </c>
      <c r="R951" s="146" t="str">
        <f t="shared" si="845"/>
        <v/>
      </c>
      <c r="S951" s="927"/>
      <c r="T951" s="927"/>
      <c r="U951" s="354" t="str">
        <f>IF(LEN($S951)=1,VLOOKUP(LEFT($S951,1),B945:I952,5,FALSE),IF(LEN($S951)=2,VLOOKUP(LEFT($S951,1),B945:I952,7,FALSE),""))</f>
        <v/>
      </c>
      <c r="V951" s="410" t="str">
        <f>IF(LEN($S951)=1,VLOOKUP(LEFT($S951,1),B945:I952,6,FALSE),IF(LEN($S951)=2,VLOOKUP(LEFT($S951,1),B945:I952,8,FALSE),""))</f>
        <v/>
      </c>
      <c r="W951" s="417">
        <f t="shared" si="852"/>
        <v>2</v>
      </c>
      <c r="Y951" s="16">
        <v>37</v>
      </c>
      <c r="Z951" s="16">
        <f t="shared" si="846"/>
        <v>0</v>
      </c>
      <c r="AA951" s="146">
        <f t="shared" si="847"/>
        <v>0</v>
      </c>
      <c r="AC951" s="16" t="str">
        <f t="shared" si="848"/>
        <v>F</v>
      </c>
      <c r="AD951" s="419" t="str">
        <f t="shared" si="848"/>
        <v>Tamworth</v>
      </c>
      <c r="AE951" s="419">
        <f>IF(ISNA(MATCH(AC951,N943:N952,0)),0,VLOOKUP(AC951,N943:S952,5,FALSE))</f>
        <v>0</v>
      </c>
      <c r="AF951" s="419" t="str">
        <f>IF(ISNA(MATCH(AC951,T943:T952,0))," ",VLOOKUP(AC951,T943:Y952,5,FALSE))</f>
        <v xml:space="preserve"> </v>
      </c>
      <c r="AG951" s="419">
        <f>IF(ISNA(MATCH(AC951,L945:L952,0)),0,VLOOKUP(AC951,L945:N952,3,FALSE))</f>
        <v>0</v>
      </c>
      <c r="AH951" s="419">
        <f>IF(ISNA(MATCH(AC951,R945:R952,0)),0,VLOOKUP(AC951,R945:T952,3,FALSE))</f>
        <v>0</v>
      </c>
      <c r="AI951" s="419">
        <f>IF(ISNA(MATCH(AC951,L945:L952,0)),0,VLOOKUP(AC951,L945:P952,4,FALSE))</f>
        <v>0</v>
      </c>
      <c r="AJ951" s="419">
        <f>IF(ISNA(MATCH(AC951,R945:R952,0)),0,VLOOKUP(AC951,R945:U952,4,FALSE))</f>
        <v>0</v>
      </c>
      <c r="AK951" s="32">
        <f t="shared" si="849"/>
        <v>0</v>
      </c>
      <c r="AL951" s="32">
        <f t="shared" si="850"/>
        <v>0</v>
      </c>
      <c r="AM951" s="32">
        <f>IF(ISNA(MATCH(AC951,L945:L952,0)),0,VLOOKUP(AC951,L945:W952,AM$1,FALSE))</f>
        <v>0</v>
      </c>
      <c r="AN951" s="146">
        <f>IF(ISNA(MATCH(AC951,R945:R952,0)),0,VLOOKUP(AC951,R945:W952,AN$1,FALSE))</f>
        <v>0</v>
      </c>
      <c r="AP951" s="927"/>
      <c r="AQ951" s="927"/>
    </row>
    <row r="952" spans="1:47" ht="16.2" thickBot="1" x14ac:dyDescent="0.35">
      <c r="A952" s="418">
        <f t="shared" si="851"/>
        <v>858</v>
      </c>
      <c r="B952" s="365" t="str">
        <f>'Event Details'!D$29</f>
        <v>Y</v>
      </c>
      <c r="C952" s="366" t="str">
        <f>'Event Details'!E$29</f>
        <v>Worcester</v>
      </c>
      <c r="D952" s="361"/>
      <c r="E952" s="370"/>
      <c r="F952" s="367" t="str">
        <f>'Event Details'!H$29</f>
        <v>Worc</v>
      </c>
      <c r="G952" s="368" t="str">
        <f>VLOOKUP($B944,IF($H944="F",TeamSheetFemale,TeamSheetMale),$Y952,FALSE)</f>
        <v>Worcester</v>
      </c>
      <c r="H952" s="367">
        <f>VLOOKUP($B944,IF($H944="F",TeamSheetFemale,TeamSheetMale),$Y952+1,FALSE)</f>
        <v>0</v>
      </c>
      <c r="I952" s="369">
        <f>VLOOKUP($B944,IF($H944="F",TeamSheetFemale,TeamSheetMale),$Y952+2,FALSE)</f>
        <v>0</v>
      </c>
      <c r="K952" s="346" t="s">
        <v>278</v>
      </c>
      <c r="L952" s="25" t="str">
        <f t="shared" si="844"/>
        <v/>
      </c>
      <c r="M952" s="932"/>
      <c r="N952" s="932"/>
      <c r="O952" s="1243" t="str">
        <f>IF(N952&gt;1,M952&amp;" - "&amp;VLOOKUP($M952,B945:I952,5,FALSE),"")</f>
        <v/>
      </c>
      <c r="P952" s="411" t="str">
        <f>IF(LEN($M952)=1,VLOOKUP(LEFT($M952,1),B945:I952,6,FALSE),IF(LEN($M952)=2,VLOOKUP(LEFT($M952,1),B945:I952,8,FALSE),""))</f>
        <v/>
      </c>
      <c r="Q952" s="407" t="s">
        <v>278</v>
      </c>
      <c r="R952" s="523" t="str">
        <f t="shared" si="845"/>
        <v/>
      </c>
      <c r="S952" s="932"/>
      <c r="T952" s="932"/>
      <c r="U952" s="374" t="str">
        <f>IF(LEN($S952)=1,VLOOKUP(LEFT($S952,1),B945:I952,5,FALSE),IF(LEN($S952)=2,VLOOKUP(LEFT($S952,1),B945:I952,7,FALSE),""))</f>
        <v/>
      </c>
      <c r="V952" s="411" t="str">
        <f>IF(LEN($S952)=1,VLOOKUP(LEFT($S952,1),B945:I952,6,FALSE),IF(LEN($S952)=2,VLOOKUP(LEFT($S952,1),B945:I952,8,FALSE),""))</f>
        <v/>
      </c>
      <c r="W952" s="418">
        <f t="shared" si="852"/>
        <v>1</v>
      </c>
      <c r="Y952" s="25">
        <v>42</v>
      </c>
      <c r="Z952" s="25">
        <f t="shared" si="846"/>
        <v>0</v>
      </c>
      <c r="AA952" s="523">
        <f t="shared" si="847"/>
        <v>0</v>
      </c>
      <c r="AC952" s="25" t="str">
        <f t="shared" si="848"/>
        <v>Y</v>
      </c>
      <c r="AD952" s="624" t="str">
        <f t="shared" si="848"/>
        <v>Worcester</v>
      </c>
      <c r="AE952" s="624">
        <f>IF(ISNA(MATCH(AC952,N944:N953,0)),0,VLOOKUP(AC952,N944:S953,5,FALSE))</f>
        <v>0</v>
      </c>
      <c r="AF952" s="624" t="str">
        <f t="shared" ref="AF952" si="853">IF(ISNA(MATCH(AC952,T944:T953,0))," ",VLOOKUP(AC952,T944:Y953,5,FALSE))</f>
        <v xml:space="preserve"> </v>
      </c>
      <c r="AG952" s="624">
        <f>IF(ISNA(MATCH(AC952,L945:L952,0)),0,VLOOKUP(AC952,L945:N952,3,FALSE))</f>
        <v>0</v>
      </c>
      <c r="AH952" s="624">
        <f>IF(ISNA(MATCH(AC952,R945:R952,0)),0,VLOOKUP(AC952,R945:T952,3,FALSE))</f>
        <v>0</v>
      </c>
      <c r="AI952" s="624">
        <f>IF(ISNA(MATCH(AC952,L945:L952,0)),0,VLOOKUP(AC952,L945:P952,4,FALSE))</f>
        <v>0</v>
      </c>
      <c r="AJ952" s="624">
        <f>IF(ISNA(MATCH(AC952,R945:R952,0)),0,VLOOKUP(AC952,R945:U952,4,FALSE))</f>
        <v>0</v>
      </c>
      <c r="AK952" s="116">
        <f t="shared" si="849"/>
        <v>0</v>
      </c>
      <c r="AL952" s="116">
        <f t="shared" si="850"/>
        <v>0</v>
      </c>
      <c r="AM952" s="116">
        <f>IF(ISNA(MATCH(AC952,L945:L952,0)),0,VLOOKUP(AC952,L945:W952,AM$1,FALSE))</f>
        <v>0</v>
      </c>
      <c r="AN952" s="523">
        <f>IF(ISNA(MATCH(AC952,R945:R952,0)),0,VLOOKUP(AC952,R945:W952,AN$1,FALSE))</f>
        <v>0</v>
      </c>
      <c r="AP952" s="932"/>
      <c r="AQ952" s="932"/>
    </row>
    <row r="953" spans="1:47" ht="15" thickBot="1" x14ac:dyDescent="0.35">
      <c r="M953" s="276"/>
      <c r="N953" s="276"/>
      <c r="S953" s="276"/>
      <c r="T953" s="276"/>
      <c r="AP953" s="276"/>
      <c r="AQ953" s="276"/>
    </row>
    <row r="954" spans="1:47" x14ac:dyDescent="0.3">
      <c r="B954" s="400" t="s">
        <v>258</v>
      </c>
      <c r="C954" s="398"/>
      <c r="D954" s="401" t="s">
        <v>165</v>
      </c>
      <c r="E954" s="398"/>
      <c r="F954" s="398"/>
      <c r="G954" s="402" t="s">
        <v>259</v>
      </c>
      <c r="H954" s="403" t="s">
        <v>249</v>
      </c>
      <c r="I954" s="404" t="s">
        <v>168</v>
      </c>
      <c r="K954" s="360"/>
      <c r="L954" s="661"/>
      <c r="M954" s="387" t="s">
        <v>260</v>
      </c>
      <c r="N954" s="387" t="s">
        <v>261</v>
      </c>
      <c r="O954" s="387" t="s">
        <v>262</v>
      </c>
      <c r="P954" s="388" t="s">
        <v>75</v>
      </c>
      <c r="Q954" s="389"/>
      <c r="R954" s="657"/>
      <c r="S954" s="387" t="s">
        <v>260</v>
      </c>
      <c r="T954" s="387" t="s">
        <v>261</v>
      </c>
      <c r="U954" s="387" t="s">
        <v>262</v>
      </c>
      <c r="V954" s="388" t="s">
        <v>75</v>
      </c>
      <c r="W954" s="672" t="s">
        <v>76</v>
      </c>
      <c r="Y954" s="414" t="s">
        <v>263</v>
      </c>
      <c r="Z954" s="656" t="s">
        <v>74</v>
      </c>
      <c r="AA954" s="657" t="s">
        <v>75</v>
      </c>
      <c r="AC954" s="665" t="s">
        <v>71</v>
      </c>
      <c r="AD954" s="657" t="s">
        <v>86</v>
      </c>
      <c r="AE954" s="661" t="s">
        <v>149</v>
      </c>
      <c r="AF954" s="661" t="s">
        <v>94</v>
      </c>
      <c r="AG954" s="661" t="s">
        <v>149</v>
      </c>
      <c r="AH954" s="661" t="s">
        <v>94</v>
      </c>
      <c r="AI954" s="661" t="s">
        <v>149</v>
      </c>
      <c r="AJ954" s="661" t="s">
        <v>94</v>
      </c>
      <c r="AK954" s="1332" t="s">
        <v>149</v>
      </c>
      <c r="AL954" s="661" t="s">
        <v>94</v>
      </c>
      <c r="AM954" s="1406" t="s">
        <v>76</v>
      </c>
      <c r="AN954" s="1407"/>
      <c r="AP954" s="387" t="s">
        <v>260</v>
      </c>
      <c r="AQ954" s="387" t="s">
        <v>261</v>
      </c>
      <c r="AS954" s="1218" t="s">
        <v>165</v>
      </c>
      <c r="AT954" s="1219" t="s">
        <v>79</v>
      </c>
      <c r="AU954" s="1220" t="s">
        <v>80</v>
      </c>
    </row>
    <row r="955" spans="1:47" ht="15" thickBot="1" x14ac:dyDescent="0.35">
      <c r="B955" s="405">
        <v>86</v>
      </c>
      <c r="C955" s="399"/>
      <c r="D955" s="385" t="str">
        <f>VLOOKUP($B955,EventOrder,6,FALSE)</f>
        <v xml:space="preserve">4 x 100m </v>
      </c>
      <c r="E955" s="399"/>
      <c r="F955" s="385"/>
      <c r="G955" s="386" t="str">
        <f>VLOOKUP($B955,EventOrder,4,FALSE)</f>
        <v>U16 Male</v>
      </c>
      <c r="H955" s="396" t="str">
        <f>IF(MID(G955,5,1)="F","F","M")</f>
        <v>M</v>
      </c>
      <c r="I955" s="397">
        <f>VLOOKUP($B955,EventOrder,2,FALSE)</f>
        <v>5.0999999999999996</v>
      </c>
      <c r="K955" s="377"/>
      <c r="L955" s="667" t="s">
        <v>149</v>
      </c>
      <c r="M955" s="409" t="s">
        <v>264</v>
      </c>
      <c r="N955" s="409" t="s">
        <v>265</v>
      </c>
      <c r="O955" s="390" t="s">
        <v>266</v>
      </c>
      <c r="P955" s="391"/>
      <c r="Q955" s="392"/>
      <c r="R955" s="659" t="s">
        <v>94</v>
      </c>
      <c r="S955" s="409" t="s">
        <v>264</v>
      </c>
      <c r="T955" s="409" t="s">
        <v>265</v>
      </c>
      <c r="U955" s="390" t="s">
        <v>266</v>
      </c>
      <c r="V955" s="391"/>
      <c r="W955" s="671"/>
      <c r="Y955" s="415" t="s">
        <v>167</v>
      </c>
      <c r="Z955" s="658" t="s">
        <v>149</v>
      </c>
      <c r="AA955" s="659" t="s">
        <v>94</v>
      </c>
      <c r="AC955" s="666"/>
      <c r="AD955" s="668"/>
      <c r="AE955" s="768" t="s">
        <v>75</v>
      </c>
      <c r="AF955" s="768" t="s">
        <v>75</v>
      </c>
      <c r="AG955" s="768" t="s">
        <v>267</v>
      </c>
      <c r="AH955" s="768" t="s">
        <v>267</v>
      </c>
      <c r="AI955" s="768" t="s">
        <v>268</v>
      </c>
      <c r="AJ955" s="768" t="s">
        <v>268</v>
      </c>
      <c r="AK955" s="770" t="s">
        <v>269</v>
      </c>
      <c r="AL955" s="768" t="s">
        <v>269</v>
      </c>
      <c r="AM955" s="667" t="s">
        <v>149</v>
      </c>
      <c r="AN955" s="659" t="s">
        <v>94</v>
      </c>
      <c r="AP955" s="409" t="s">
        <v>264</v>
      </c>
      <c r="AQ955" s="409" t="s">
        <v>265</v>
      </c>
      <c r="AS955" s="1221" t="s">
        <v>270</v>
      </c>
      <c r="AT955" s="1222" t="s">
        <v>270</v>
      </c>
      <c r="AU955" s="1223" t="s">
        <v>270</v>
      </c>
    </row>
    <row r="956" spans="1:47" ht="15.6" x14ac:dyDescent="0.3">
      <c r="A956" s="416">
        <f>(B955*10)+1</f>
        <v>861</v>
      </c>
      <c r="B956" s="362" t="str">
        <f>'Event Details'!D$22</f>
        <v>S</v>
      </c>
      <c r="C956" s="381" t="str">
        <f>'Event Details'!E$22</f>
        <v>BRAT</v>
      </c>
      <c r="D956" s="379"/>
      <c r="E956" s="378"/>
      <c r="F956" s="363" t="str">
        <f>'Event Details'!H$22</f>
        <v>BRAT</v>
      </c>
      <c r="G956" s="380" t="str">
        <f>VLOOKUP($B955,IF($H955="F",TeamSheetFemale,TeamSheetMale),$Y956,FALSE)</f>
        <v>BRAT</v>
      </c>
      <c r="H956" s="363">
        <f>VLOOKUP($B955,IF($H955="F",TeamSheetFemale,TeamSheetMale),$Y956+1,FALSE)</f>
        <v>0</v>
      </c>
      <c r="I956" s="364">
        <f>VLOOKUP($B955,IF($H955="F",TeamSheetFemale,TeamSheetMale),$Y956+2,FALSE)</f>
        <v>0</v>
      </c>
      <c r="K956" s="393" t="s">
        <v>271</v>
      </c>
      <c r="L956" s="16" t="str">
        <f t="shared" ref="L956:L963" si="854">LEFT(M956,1)</f>
        <v>S</v>
      </c>
      <c r="M956" s="926" t="s">
        <v>100</v>
      </c>
      <c r="N956" s="926">
        <v>47</v>
      </c>
      <c r="O956" s="1241" t="str">
        <f>IF(N956&gt;1,M956&amp;" - "&amp;VLOOKUP($M956,B956:I963,5,FALSE),"")</f>
        <v>S - BRAT</v>
      </c>
      <c r="P956" s="395" t="str">
        <f>IF(LEN($M956)=1,VLOOKUP(LEFT($M956,1),B956:I963,6,FALSE),IF(LEN($M956)=2,VLOOKUP(LEFT($M956,1),B956:I963,8,FALSE),""))</f>
        <v>BRAT</v>
      </c>
      <c r="Q956" s="393" t="s">
        <v>271</v>
      </c>
      <c r="R956" s="146" t="str">
        <f t="shared" ref="R956:R963" si="855">LEFT(S956,1)</f>
        <v/>
      </c>
      <c r="S956" s="926"/>
      <c r="T956" s="926"/>
      <c r="U956" s="394" t="str">
        <f>IF(LEN($S956)=1,VLOOKUP(LEFT($S956,1),B956:I963,5,FALSE),IF(LEN($S956)=2,VLOOKUP(LEFT($S956,1),B956:I963,7,FALSE),""))</f>
        <v/>
      </c>
      <c r="V956" s="395" t="str">
        <f>IF(LEN($S956)=1,VLOOKUP(LEFT($S956,1),B956:I963,6,FALSE),IF(LEN($S956)=2,VLOOKUP(LEFT($S956,1),B956:I963,8,FALSE),""))</f>
        <v/>
      </c>
      <c r="W956" s="417">
        <f>AN$6</f>
        <v>8</v>
      </c>
      <c r="Y956" s="416">
        <v>7</v>
      </c>
      <c r="Z956" s="653" t="str">
        <f t="shared" ref="Z956:Z963" si="856">IF(LEN(M956)&gt;0,VLOOKUP(LEFT(M956,1),ShortName,5,FALSE),0)</f>
        <v>BRAT</v>
      </c>
      <c r="AA956" s="138">
        <f t="shared" ref="AA956:AA963" si="857">IF(LEN(S956)&gt;0,VLOOKUP(LEFT(S956,1),ShortName,5,FALSE),0)</f>
        <v>0</v>
      </c>
      <c r="AC956" s="16" t="str">
        <f t="shared" ref="AC956:AD963" si="858">B956</f>
        <v>S</v>
      </c>
      <c r="AD956" s="419" t="str">
        <f t="shared" si="858"/>
        <v>BRAT</v>
      </c>
      <c r="AE956" s="635">
        <f>IF(ISNA(MATCH(AC956,N956:N965,0)),0,VLOOKUP(AC956,N956:S965,5,FALSE))</f>
        <v>0</v>
      </c>
      <c r="AF956" s="635" t="str">
        <f>IF(ISNA(MATCH(AC956,T956:T965,0))," ",VLOOKUP(AC956,T956:Y965,5,FALSE))</f>
        <v xml:space="preserve"> </v>
      </c>
      <c r="AG956" s="635">
        <f>IF(ISNA(MATCH(AC956,L956:L963,0)),0,VLOOKUP(AC956,L956:N963,3,FALSE))</f>
        <v>47</v>
      </c>
      <c r="AH956" s="635">
        <f>IF(ISNA(MATCH(AC956,R956:R963,0)),0,VLOOKUP(AC956,R956:T963,3,FALSE))</f>
        <v>0</v>
      </c>
      <c r="AI956" s="635" t="str">
        <f>IF(ISNA(MATCH(AC956,L956:L963,0)),0,VLOOKUP(AC956,L956:P963,4,FALSE))</f>
        <v>S - BRAT</v>
      </c>
      <c r="AJ956" s="635">
        <f>IF(ISNA(MATCH(AC956,R956:R963,0)),0,VLOOKUP(AC956,R956:U963,4,FALSE))</f>
        <v>0</v>
      </c>
      <c r="AK956" s="49">
        <f t="shared" ref="AK956:AK963" si="859">IF(AM956=0,0,AN$6-(AM956-1))</f>
        <v>1</v>
      </c>
      <c r="AL956" s="49">
        <f t="shared" ref="AL956:AL963" si="860">IF(AN956=0,0,AN$6-(AN956-1))</f>
        <v>0</v>
      </c>
      <c r="AM956" s="49">
        <f>IF(ISNA(MATCH(AC956,L956:L963,0)),0,VLOOKUP(AC956,L956:W963,AM$1,FALSE))</f>
        <v>8</v>
      </c>
      <c r="AN956" s="138">
        <f>IF(ISNA(MATCH(AC956,R956:R963,0)),0,VLOOKUP(AC956,R956:W963,AN$1,FALSE))</f>
        <v>0</v>
      </c>
      <c r="AP956" s="926"/>
      <c r="AQ956" s="926"/>
      <c r="AS956" s="32">
        <f>IF(LEN(N956)&gt;0,1,0)</f>
        <v>1</v>
      </c>
      <c r="AT956" s="32">
        <f>IF(AND(AS956=1,H955="M"),1,0)</f>
        <v>1</v>
      </c>
      <c r="AU956" s="32">
        <f>IF(AND(AS956=1,H955="F"),1,0)</f>
        <v>0</v>
      </c>
    </row>
    <row r="957" spans="1:47" ht="15.6" x14ac:dyDescent="0.3">
      <c r="A957" s="417">
        <f>A956+1</f>
        <v>862</v>
      </c>
      <c r="B957" s="362" t="str">
        <f>'Event Details'!D$23</f>
        <v>U</v>
      </c>
      <c r="C957" s="381" t="str">
        <f>'Event Details'!E$23</f>
        <v>Kidder &amp; Stourport</v>
      </c>
      <c r="D957" s="379"/>
      <c r="E957" s="378"/>
      <c r="F957" s="363" t="str">
        <f>'Event Details'!H$23</f>
        <v>K&amp;S</v>
      </c>
      <c r="G957" s="380" t="str">
        <f>VLOOKUP($B955,IF($H955="F",TeamSheetFemale,TeamSheetMale),$Y957,FALSE)</f>
        <v>Kidder &amp; Stourport</v>
      </c>
      <c r="H957" s="363">
        <f>VLOOKUP($B955,IF($H955="F",TeamSheetFemale,TeamSheetMale),$Y957+1,FALSE)</f>
        <v>0</v>
      </c>
      <c r="I957" s="364">
        <f>VLOOKUP($B955,IF($H955="F",TeamSheetFemale,TeamSheetMale),$Y957+2,FALSE)</f>
        <v>0</v>
      </c>
      <c r="K957" s="341" t="s">
        <v>272</v>
      </c>
      <c r="L957" s="16" t="str">
        <f t="shared" si="854"/>
        <v>R</v>
      </c>
      <c r="M957" s="927" t="s">
        <v>118</v>
      </c>
      <c r="N957" s="927">
        <v>48</v>
      </c>
      <c r="O957" s="1242" t="str">
        <f>IF(N957&gt;1,M957&amp;" - "&amp;VLOOKUP($M957,B956:I963,5,FALSE),"")</f>
        <v>R - Rugby</v>
      </c>
      <c r="P957" s="373" t="str">
        <f>IF(LEN($M957)=1,VLOOKUP(LEFT($M957,1),B956:I963,6,FALSE),IF(LEN($M957)=2,VLOOKUP(LEFT($M957,1),B956:I963,8,FALSE),""))</f>
        <v>Rugby &amp; N'hampton</v>
      </c>
      <c r="Q957" s="341" t="s">
        <v>272</v>
      </c>
      <c r="R957" s="146" t="str">
        <f t="shared" si="855"/>
        <v/>
      </c>
      <c r="S957" s="927"/>
      <c r="T957" s="927"/>
      <c r="U957" s="353" t="str">
        <f>IF(LEN($S957)=1,VLOOKUP(LEFT($S957,1),B956:I963,5,FALSE),IF(LEN($S957)=2,VLOOKUP(LEFT($S957,1),B956:I963,7,FALSE),""))</f>
        <v/>
      </c>
      <c r="V957" s="373" t="str">
        <f>IF(LEN($S957)=1,VLOOKUP(LEFT($S957,1),B956:I963,6,FALSE),IF(LEN($S957)=2,VLOOKUP(LEFT($S957,1),B956:I963,8,FALSE),""))</f>
        <v/>
      </c>
      <c r="W957" s="417">
        <f>W956-1</f>
        <v>7</v>
      </c>
      <c r="Y957" s="417">
        <v>12</v>
      </c>
      <c r="Z957" s="16" t="str">
        <f t="shared" si="856"/>
        <v>Rugby</v>
      </c>
      <c r="AA957" s="146">
        <f t="shared" si="857"/>
        <v>0</v>
      </c>
      <c r="AC957" s="16" t="str">
        <f t="shared" si="858"/>
        <v>U</v>
      </c>
      <c r="AD957" s="419" t="str">
        <f t="shared" si="858"/>
        <v>Kidder &amp; Stourport</v>
      </c>
      <c r="AE957" s="419">
        <f>IF(ISNA(MATCH(AC957,N956:N965,0)),0,VLOOKUP(AC957,N956:S965,5,FALSE))</f>
        <v>0</v>
      </c>
      <c r="AF957" s="419" t="str">
        <f>IF(ISNA(MATCH(AC957,T956:T965,0))," ",VLOOKUP(AC957,T956:Y965,5,FALSE))</f>
        <v xml:space="preserve"> </v>
      </c>
      <c r="AG957" s="419">
        <f>IF(ISNA(MATCH(AC957,L956:L963,0)),0,VLOOKUP(AC957,L956:N963,3,FALSE))</f>
        <v>0</v>
      </c>
      <c r="AH957" s="419">
        <f>IF(ISNA(MATCH(AC957,R956:R963,0)),0,VLOOKUP(AC957,R956:T963,3,FALSE))</f>
        <v>0</v>
      </c>
      <c r="AI957" s="419">
        <f>IF(ISNA(MATCH(AC957,L956:L963,0)),0,VLOOKUP(AC957,L956:P963,4,FALSE))</f>
        <v>0</v>
      </c>
      <c r="AJ957" s="419">
        <f>IF(ISNA(MATCH(AC957,R956:R963,0)),0,VLOOKUP(AC957,R956:U963,4,FALSE))</f>
        <v>0</v>
      </c>
      <c r="AK957" s="32">
        <f t="shared" si="859"/>
        <v>0</v>
      </c>
      <c r="AL957" s="32">
        <f t="shared" si="860"/>
        <v>0</v>
      </c>
      <c r="AM957" s="32">
        <f>IF(ISNA(MATCH(AC957,L956:L963,0)),0,VLOOKUP(AC957,L956:W963,AM$1,FALSE))</f>
        <v>0</v>
      </c>
      <c r="AN957" s="146">
        <f>IF(ISNA(MATCH(AC957,R956:R963,0)),0,VLOOKUP(AC957,R956:W963,AN$1,FALSE))</f>
        <v>0</v>
      </c>
      <c r="AP957" s="927"/>
      <c r="AQ957" s="927"/>
    </row>
    <row r="958" spans="1:47" ht="15.6" x14ac:dyDescent="0.3">
      <c r="A958" s="417">
        <f t="shared" ref="A958:A963" si="861">A957+1</f>
        <v>863</v>
      </c>
      <c r="B958" s="362" t="str">
        <f>'Event Details'!D$24</f>
        <v>G</v>
      </c>
      <c r="C958" s="381" t="str">
        <f>'Event Details'!E$24</f>
        <v>Royal Sutton</v>
      </c>
      <c r="D958" s="379"/>
      <c r="E958" s="378"/>
      <c r="F958" s="363" t="str">
        <f>'Event Details'!H$24</f>
        <v>Royal</v>
      </c>
      <c r="G958" s="380" t="str">
        <f>VLOOKUP($B955,IF($H955="F",TeamSheetFemale,TeamSheetMale),$Y958,FALSE)</f>
        <v>Royal Sutton</v>
      </c>
      <c r="H958" s="363">
        <f>VLOOKUP($B955,IF($H955="F",TeamSheetFemale,TeamSheetMale),$Y958+1,FALSE)</f>
        <v>0</v>
      </c>
      <c r="I958" s="364">
        <f>VLOOKUP($B955,IF($H955="F",TeamSheetFemale,TeamSheetMale),$Y958+2,FALSE)</f>
        <v>0</v>
      </c>
      <c r="K958" s="341" t="s">
        <v>273</v>
      </c>
      <c r="L958" s="16" t="str">
        <f t="shared" si="854"/>
        <v>G</v>
      </c>
      <c r="M958" s="927" t="s">
        <v>110</v>
      </c>
      <c r="N958" s="927">
        <v>48.4</v>
      </c>
      <c r="O958" s="1242" t="str">
        <f>IF(N958&gt;1,M958&amp;" - "&amp;VLOOKUP($M958,B956:I963,5,FALSE),"")</f>
        <v>G - Royal</v>
      </c>
      <c r="P958" s="373" t="str">
        <f>IF(LEN($M958)=1,VLOOKUP(LEFT($M958,1),B956:I963,6,FALSE),IF(LEN($M958)=2,VLOOKUP(LEFT($M958,1),B956:I963,8,FALSE),""))</f>
        <v>Royal Sutton</v>
      </c>
      <c r="Q958" s="341" t="s">
        <v>273</v>
      </c>
      <c r="R958" s="146" t="str">
        <f t="shared" si="855"/>
        <v/>
      </c>
      <c r="S958" s="927"/>
      <c r="T958" s="927"/>
      <c r="U958" s="353" t="str">
        <f>IF(LEN($S958)=1,VLOOKUP(LEFT($S958,1),B956:I963,5,FALSE),IF(LEN($S958)=2,VLOOKUP(LEFT($S958,1),B956:I963,7,FALSE),""))</f>
        <v/>
      </c>
      <c r="V958" s="373" t="str">
        <f>IF(LEN($S958)=1,VLOOKUP(LEFT($S958,1),B956:I963,6,FALSE),IF(LEN($S958)=2,VLOOKUP(LEFT($S958,1),B956:I963,8,FALSE),""))</f>
        <v/>
      </c>
      <c r="W958" s="417">
        <f t="shared" ref="W958:W963" si="862">W957-1</f>
        <v>6</v>
      </c>
      <c r="Y958" s="417">
        <v>17</v>
      </c>
      <c r="Z958" s="16" t="str">
        <f t="shared" si="856"/>
        <v>Royal</v>
      </c>
      <c r="AA958" s="146">
        <f t="shared" si="857"/>
        <v>0</v>
      </c>
      <c r="AB958" s="32"/>
      <c r="AC958" s="16" t="str">
        <f t="shared" si="858"/>
        <v>G</v>
      </c>
      <c r="AD958" s="419" t="str">
        <f t="shared" si="858"/>
        <v>Royal Sutton</v>
      </c>
      <c r="AE958" s="419">
        <f>IF(ISNA(MATCH(AC958,N956:N965,0)),0,VLOOKUP(AC958,N956:S965,5,FALSE))</f>
        <v>0</v>
      </c>
      <c r="AF958" s="419" t="str">
        <f>IF(ISNA(MATCH(AC958,T956:T965,0))," ",VLOOKUP(AC958,T956:Y965,5,FALSE))</f>
        <v xml:space="preserve"> </v>
      </c>
      <c r="AG958" s="419">
        <f>IF(ISNA(MATCH(AC958,L956:L963,0)),0,VLOOKUP(AC958,L956:N963,3,FALSE))</f>
        <v>48.4</v>
      </c>
      <c r="AH958" s="419">
        <f>IF(ISNA(MATCH(AC958,R956:R963,0)),0,VLOOKUP(AC958,R956:T963,3,FALSE))</f>
        <v>0</v>
      </c>
      <c r="AI958" s="419" t="str">
        <f>IF(ISNA(MATCH(AC958,L956:L963,0)),0,VLOOKUP(AC958,L956:P963,4,FALSE))</f>
        <v>G - Royal</v>
      </c>
      <c r="AJ958" s="419">
        <f>IF(ISNA(MATCH(AC958,R956:R963,0)),0,VLOOKUP(AC958,R956:U963,4,FALSE))</f>
        <v>0</v>
      </c>
      <c r="AK958" s="32">
        <f t="shared" si="859"/>
        <v>3</v>
      </c>
      <c r="AL958" s="32">
        <f t="shared" si="860"/>
        <v>0</v>
      </c>
      <c r="AM958" s="32">
        <f>IF(ISNA(MATCH(AC958,L956:L963,0)),0,VLOOKUP(AC958,L956:W963,AM$1,FALSE))</f>
        <v>6</v>
      </c>
      <c r="AN958" s="146">
        <f>IF(ISNA(MATCH(AC958,R956:R963,0)),0,VLOOKUP(AC958,R956:W963,AN$1,FALSE))</f>
        <v>0</v>
      </c>
      <c r="AP958" s="927"/>
      <c r="AQ958" s="927"/>
    </row>
    <row r="959" spans="1:47" ht="15.6" x14ac:dyDescent="0.3">
      <c r="A959" s="417">
        <f t="shared" si="861"/>
        <v>864</v>
      </c>
      <c r="B959" s="362" t="str">
        <f>'Event Details'!D$25</f>
        <v>R</v>
      </c>
      <c r="C959" s="381" t="str">
        <f>'Event Details'!E$25</f>
        <v>Rugby &amp; N'hampton</v>
      </c>
      <c r="D959" s="379"/>
      <c r="E959" s="378"/>
      <c r="F959" s="363" t="str">
        <f>'Event Details'!H$25</f>
        <v>Rugby</v>
      </c>
      <c r="G959" s="380" t="str">
        <f>VLOOKUP($B955,IF($H955="F",TeamSheetFemale,TeamSheetMale),$Y959,FALSE)</f>
        <v>Rugby &amp; N'hampton</v>
      </c>
      <c r="H959" s="363">
        <f>VLOOKUP($B955,IF($H955="F",TeamSheetFemale,TeamSheetMale),$Y959+1,FALSE)</f>
        <v>0</v>
      </c>
      <c r="I959" s="364">
        <f>VLOOKUP($B955,IF($H955="F",TeamSheetFemale,TeamSheetMale),$Y959+2,FALSE)</f>
        <v>0</v>
      </c>
      <c r="K959" s="341" t="s">
        <v>274</v>
      </c>
      <c r="L959" s="16" t="str">
        <f t="shared" si="854"/>
        <v>D</v>
      </c>
      <c r="M959" s="927" t="s">
        <v>136</v>
      </c>
      <c r="N959" s="927">
        <v>49.4</v>
      </c>
      <c r="O959" s="1242" t="str">
        <f>IF(N959&gt;1,M959&amp;" - "&amp;VLOOKUP($M959,B956:I963,5,FALSE),"")</f>
        <v>D - Strat</v>
      </c>
      <c r="P959" s="373" t="str">
        <f>IF(LEN($M959)=1,VLOOKUP(LEFT($M959,1),B956:I963,6,FALSE),IF(LEN($M959)=2,VLOOKUP(LEFT($M959,1),B956:I963,8,FALSE),""))</f>
        <v>Stratford</v>
      </c>
      <c r="Q959" s="341" t="s">
        <v>274</v>
      </c>
      <c r="R959" s="146" t="str">
        <f t="shared" si="855"/>
        <v/>
      </c>
      <c r="S959" s="927"/>
      <c r="T959" s="927"/>
      <c r="U959" s="353" t="str">
        <f>IF(LEN($S959)=1,VLOOKUP(LEFT($S959,1),B956:I963,5,FALSE),IF(LEN($S959)=2,VLOOKUP(LEFT($S959,1),B956:I963,7,FALSE),""))</f>
        <v/>
      </c>
      <c r="V959" s="373" t="str">
        <f>IF(LEN($S959)=1,VLOOKUP(LEFT($S959,1),B956:I963,6,FALSE),IF(LEN($S959)=2,VLOOKUP(LEFT($S959,1),B956:I963,8,FALSE),""))</f>
        <v/>
      </c>
      <c r="W959" s="417">
        <f t="shared" si="862"/>
        <v>5</v>
      </c>
      <c r="Y959" s="417">
        <v>22</v>
      </c>
      <c r="Z959" s="16" t="str">
        <f t="shared" si="856"/>
        <v>Strat</v>
      </c>
      <c r="AA959" s="146">
        <f t="shared" si="857"/>
        <v>0</v>
      </c>
      <c r="AB959" s="32"/>
      <c r="AC959" s="16" t="str">
        <f t="shared" si="858"/>
        <v>R</v>
      </c>
      <c r="AD959" s="419" t="str">
        <f t="shared" si="858"/>
        <v>Rugby &amp; N'hampton</v>
      </c>
      <c r="AE959" s="419">
        <f>IF(ISNA(MATCH(AC959,N956:N965,0)),0,VLOOKUP(AC959,N956:S965,5,FALSE))</f>
        <v>0</v>
      </c>
      <c r="AF959" s="419" t="str">
        <f>IF(ISNA(MATCH(AC959,T956:T965,0))," ",VLOOKUP(AC959,T956:Y965,5,FALSE))</f>
        <v xml:space="preserve"> </v>
      </c>
      <c r="AG959" s="419">
        <f>IF(ISNA(MATCH(AC959,L956:L963,0)),0,VLOOKUP(AC959,L956:N963,3,FALSE))</f>
        <v>48</v>
      </c>
      <c r="AH959" s="419">
        <f>IF(ISNA(MATCH(AC959,R956:R963,0)),0,VLOOKUP(AC959,R956:T963,3,FALSE))</f>
        <v>0</v>
      </c>
      <c r="AI959" s="419" t="str">
        <f>IF(ISNA(MATCH(AC959,L956:L963,0)),0,VLOOKUP(AC959,L956:P963,4,FALSE))</f>
        <v>R - Rugby</v>
      </c>
      <c r="AJ959" s="419">
        <f>IF(ISNA(MATCH(AC959,R956:R963,0)),0,VLOOKUP(AC959,R956:U963,4,FALSE))</f>
        <v>0</v>
      </c>
      <c r="AK959" s="32">
        <f t="shared" si="859"/>
        <v>2</v>
      </c>
      <c r="AL959" s="32">
        <f t="shared" si="860"/>
        <v>0</v>
      </c>
      <c r="AM959" s="32">
        <f>IF(ISNA(MATCH(AC959,L956:L963,0)),0,VLOOKUP(AC959,L956:W963,AM$1,FALSE))</f>
        <v>7</v>
      </c>
      <c r="AN959" s="146">
        <f>IF(ISNA(MATCH(AC959,R956:R963,0)),0,VLOOKUP(AC959,R956:W963,AN$1,FALSE))</f>
        <v>0</v>
      </c>
      <c r="AP959" s="927"/>
      <c r="AQ959" s="927"/>
    </row>
    <row r="960" spans="1:47" ht="15.6" x14ac:dyDescent="0.3">
      <c r="A960" s="417">
        <f t="shared" si="861"/>
        <v>865</v>
      </c>
      <c r="B960" s="362" t="str">
        <f>'Event Details'!D$26</f>
        <v>M</v>
      </c>
      <c r="C960" s="381" t="str">
        <f>'Event Details'!E$26</f>
        <v>Solihull &amp; S.Heath</v>
      </c>
      <c r="D960" s="379"/>
      <c r="E960" s="378"/>
      <c r="F960" s="363" t="str">
        <f>'Event Details'!H$26</f>
        <v>Sol</v>
      </c>
      <c r="G960" s="380" t="str">
        <f>VLOOKUP($B955,IF($H955="F",TeamSheetFemale,TeamSheetMale),$Y960,FALSE)</f>
        <v>Solihull &amp; S.Heath</v>
      </c>
      <c r="H960" s="363">
        <f>VLOOKUP($B955,IF($H955="F",TeamSheetFemale,TeamSheetMale),$Y960+1,FALSE)</f>
        <v>0</v>
      </c>
      <c r="I960" s="364">
        <f>VLOOKUP($B955,IF($H955="F",TeamSheetFemale,TeamSheetMale),$Y960+2,FALSE)</f>
        <v>0</v>
      </c>
      <c r="K960" s="341" t="s">
        <v>275</v>
      </c>
      <c r="L960" s="16" t="str">
        <f t="shared" si="854"/>
        <v>M</v>
      </c>
      <c r="M960" s="927" t="s">
        <v>127</v>
      </c>
      <c r="N960" s="927">
        <v>49.7</v>
      </c>
      <c r="O960" s="1242" t="str">
        <f>IF(N960&gt;1,M960&amp;" - "&amp;VLOOKUP($M960,B956:I963,5,FALSE),"")</f>
        <v>M - Sol</v>
      </c>
      <c r="P960" s="373" t="str">
        <f>IF(LEN($M960)=1,VLOOKUP(LEFT($M960,1),B956:I963,6,FALSE),IF(LEN($M960)=2,VLOOKUP(LEFT($M960,1),B956:I963,8,FALSE),""))</f>
        <v>Solihull &amp; S.Heath</v>
      </c>
      <c r="Q960" s="341" t="s">
        <v>275</v>
      </c>
      <c r="R960" s="146" t="str">
        <f t="shared" si="855"/>
        <v/>
      </c>
      <c r="S960" s="927"/>
      <c r="T960" s="927"/>
      <c r="U960" s="353" t="str">
        <f>IF(LEN($S960)=1,VLOOKUP(LEFT($S960,1),B956:I963,5,FALSE),IF(LEN($S960)=2,VLOOKUP(LEFT($S960,1),B956:I963,7,FALSE),""))</f>
        <v/>
      </c>
      <c r="V960" s="373" t="str">
        <f>IF(LEN($S960)=1,VLOOKUP(LEFT($S960,1),B956:I963,6,FALSE),IF(LEN($S960)=2,VLOOKUP(LEFT($S960,1),B956:I963,8,FALSE),""))</f>
        <v/>
      </c>
      <c r="W960" s="417">
        <f t="shared" si="862"/>
        <v>4</v>
      </c>
      <c r="Y960" s="417">
        <v>27</v>
      </c>
      <c r="Z960" s="16" t="str">
        <f t="shared" si="856"/>
        <v>Sol</v>
      </c>
      <c r="AA960" s="146">
        <f t="shared" si="857"/>
        <v>0</v>
      </c>
      <c r="AB960" s="32"/>
      <c r="AC960" s="16" t="str">
        <f t="shared" si="858"/>
        <v>M</v>
      </c>
      <c r="AD960" s="419" t="str">
        <f t="shared" si="858"/>
        <v>Solihull &amp; S.Heath</v>
      </c>
      <c r="AE960" s="419">
        <f>IF(ISNA(MATCH(AC960,N956:N965,0)),0,VLOOKUP(AC960,N956:S965,5,FALSE))</f>
        <v>0</v>
      </c>
      <c r="AF960" s="419" t="str">
        <f>IF(ISNA(MATCH(AC960,T956:T965,0))," ",VLOOKUP(AC960,T956:Y965,5,FALSE))</f>
        <v xml:space="preserve"> </v>
      </c>
      <c r="AG960" s="419">
        <f>IF(ISNA(MATCH(AC960,L956:L963,0)),0,VLOOKUP(AC960,L956:N963,3,FALSE))</f>
        <v>49.7</v>
      </c>
      <c r="AH960" s="419">
        <f>IF(ISNA(MATCH(AC960,R956:R963,0)),0,VLOOKUP(AC960,R956:T963,3,FALSE))</f>
        <v>0</v>
      </c>
      <c r="AI960" s="419" t="str">
        <f>IF(ISNA(MATCH(AC960,L956:L963,0)),0,VLOOKUP(AC960,L956:P963,4,FALSE))</f>
        <v>M - Sol</v>
      </c>
      <c r="AJ960" s="419">
        <f>IF(ISNA(MATCH(AC960,R956:R963,0)),0,VLOOKUP(AC960,R956:U963,4,FALSE))</f>
        <v>0</v>
      </c>
      <c r="AK960" s="32">
        <f t="shared" si="859"/>
        <v>5</v>
      </c>
      <c r="AL960" s="32">
        <f t="shared" si="860"/>
        <v>0</v>
      </c>
      <c r="AM960" s="32">
        <f>IF(ISNA(MATCH(AC960,L956:L963,0)),0,VLOOKUP(AC960,L956:W963,AM$1,FALSE))</f>
        <v>4</v>
      </c>
      <c r="AN960" s="146">
        <f>IF(ISNA(MATCH(AC960,R956:R963,0)),0,VLOOKUP(AC960,R956:W963,AN$1,FALSE))</f>
        <v>0</v>
      </c>
      <c r="AP960" s="927"/>
      <c r="AQ960" s="927"/>
    </row>
    <row r="961" spans="1:47" ht="15.6" x14ac:dyDescent="0.3">
      <c r="A961" s="417">
        <f t="shared" si="861"/>
        <v>866</v>
      </c>
      <c r="B961" s="362" t="str">
        <f>'Event Details'!D$27</f>
        <v>D</v>
      </c>
      <c r="C961" s="381" t="str">
        <f>'Event Details'!E$27</f>
        <v>Stratford</v>
      </c>
      <c r="D961" s="379"/>
      <c r="E961" s="378"/>
      <c r="F961" s="363" t="str">
        <f>'Event Details'!H$27</f>
        <v>Strat</v>
      </c>
      <c r="G961" s="380" t="str">
        <f>VLOOKUP($B955,IF($H955="F",TeamSheetFemale,TeamSheetMale),$Y961,FALSE)</f>
        <v>Stratford</v>
      </c>
      <c r="H961" s="363">
        <f>VLOOKUP($B955,IF($H955="F",TeamSheetFemale,TeamSheetMale),$Y961+1,FALSE)</f>
        <v>0</v>
      </c>
      <c r="I961" s="364">
        <f>VLOOKUP($B955,IF($H955="F",TeamSheetFemale,TeamSheetMale),$Y961+2,FALSE)</f>
        <v>0</v>
      </c>
      <c r="K961" s="341" t="s">
        <v>276</v>
      </c>
      <c r="L961" s="16" t="str">
        <f t="shared" si="854"/>
        <v>F</v>
      </c>
      <c r="M961" s="927" t="s">
        <v>142</v>
      </c>
      <c r="N961" s="927">
        <v>51.8</v>
      </c>
      <c r="O961" s="1242" t="str">
        <f>IF(N961&gt;1,M961&amp;" - "&amp;VLOOKUP($M961,B956:I963,5,FALSE),"")</f>
        <v>F - Tam</v>
      </c>
      <c r="P961" s="373" t="str">
        <f>IF(LEN($M961)=1,VLOOKUP(LEFT($M961,1),B956:I963,6,FALSE),IF(LEN($M961)=2,VLOOKUP(LEFT($M961,1),B956:I963,8,FALSE),""))</f>
        <v>Tamworth</v>
      </c>
      <c r="Q961" s="341" t="s">
        <v>276</v>
      </c>
      <c r="R961" s="146" t="str">
        <f t="shared" si="855"/>
        <v/>
      </c>
      <c r="S961" s="927"/>
      <c r="T961" s="927"/>
      <c r="U961" s="353" t="str">
        <f>IF(LEN($S961)=1,VLOOKUP(LEFT($S961,1),B956:I963,5,FALSE),IF(LEN($S961)=2,VLOOKUP(LEFT($S961,1),B956:I963,7,FALSE),""))</f>
        <v/>
      </c>
      <c r="V961" s="373" t="str">
        <f>IF(LEN($S961)=1,VLOOKUP(LEFT($S961,1),B956:I963,6,FALSE),IF(LEN($S961)=2,VLOOKUP(LEFT($S961,1),B956:I963,8,FALSE),""))</f>
        <v/>
      </c>
      <c r="W961" s="417">
        <f t="shared" si="862"/>
        <v>3</v>
      </c>
      <c r="Y961" s="417">
        <v>32</v>
      </c>
      <c r="Z961" s="16" t="str">
        <f t="shared" si="856"/>
        <v>Tam</v>
      </c>
      <c r="AA961" s="146">
        <f t="shared" si="857"/>
        <v>0</v>
      </c>
      <c r="AB961" s="32"/>
      <c r="AC961" s="16" t="str">
        <f t="shared" si="858"/>
        <v>D</v>
      </c>
      <c r="AD961" s="419" t="str">
        <f t="shared" si="858"/>
        <v>Stratford</v>
      </c>
      <c r="AE961" s="419">
        <f>IF(ISNA(MATCH(AC961,N956:N965,0)),0,VLOOKUP(AC961,N956:S965,5,FALSE))</f>
        <v>0</v>
      </c>
      <c r="AF961" s="419" t="str">
        <f>IF(ISNA(MATCH(AC961,T956:T965,0))," ",VLOOKUP(AC961,T956:Y965,5,FALSE))</f>
        <v xml:space="preserve"> </v>
      </c>
      <c r="AG961" s="419">
        <f>IF(ISNA(MATCH(AC961,L956:L963,0)),0,VLOOKUP(AC961,L956:N963,3,FALSE))</f>
        <v>49.4</v>
      </c>
      <c r="AH961" s="419">
        <f>IF(ISNA(MATCH(AC961,R956:R963,0)),0,VLOOKUP(AC961,R956:T963,3,FALSE))</f>
        <v>0</v>
      </c>
      <c r="AI961" s="419" t="str">
        <f>IF(ISNA(MATCH(AC961,L956:L963,0)),0,VLOOKUP(AC961,L956:P963,4,FALSE))</f>
        <v>D - Strat</v>
      </c>
      <c r="AJ961" s="419">
        <f>IF(ISNA(MATCH(AC961,R956:R963,0)),0,VLOOKUP(AC961,R956:U963,4,FALSE))</f>
        <v>0</v>
      </c>
      <c r="AK961" s="32">
        <f t="shared" si="859"/>
        <v>4</v>
      </c>
      <c r="AL961" s="32">
        <f t="shared" si="860"/>
        <v>0</v>
      </c>
      <c r="AM961" s="32">
        <f>IF(ISNA(MATCH(AC961,L956:L963,0)),0,VLOOKUP(AC961,L956:W963,AM$1,FALSE))</f>
        <v>5</v>
      </c>
      <c r="AN961" s="146">
        <f>IF(ISNA(MATCH(AC961,R956:R963,0)),0,VLOOKUP(AC961,R956:W963,AN$1,FALSE))</f>
        <v>0</v>
      </c>
      <c r="AP961" s="927"/>
      <c r="AQ961" s="927"/>
    </row>
    <row r="962" spans="1:47" ht="15.6" x14ac:dyDescent="0.3">
      <c r="A962" s="417">
        <f t="shared" si="861"/>
        <v>867</v>
      </c>
      <c r="B962" s="362" t="str">
        <f>'Event Details'!D$28</f>
        <v>F</v>
      </c>
      <c r="C962" s="381" t="str">
        <f>'Event Details'!E$28</f>
        <v>Tamworth</v>
      </c>
      <c r="D962" s="379"/>
      <c r="E962" s="378"/>
      <c r="F962" s="363" t="str">
        <f>'Event Details'!H$28</f>
        <v>Tam</v>
      </c>
      <c r="G962" s="380" t="str">
        <f>VLOOKUP($B955,IF($H955="F",TeamSheetFemale,TeamSheetMale),$Y962,FALSE)</f>
        <v>Tamworth</v>
      </c>
      <c r="H962" s="363">
        <f>VLOOKUP($B955,IF($H955="F",TeamSheetFemale,TeamSheetMale),$Y962+1,FALSE)</f>
        <v>0</v>
      </c>
      <c r="I962" s="364">
        <f>VLOOKUP($B955,IF($H955="F",TeamSheetFemale,TeamSheetMale),$Y962+2,FALSE)</f>
        <v>0</v>
      </c>
      <c r="K962" s="341" t="s">
        <v>277</v>
      </c>
      <c r="L962" s="16" t="str">
        <f t="shared" si="854"/>
        <v>Y</v>
      </c>
      <c r="M962" s="927" t="s">
        <v>151</v>
      </c>
      <c r="N962" s="927">
        <v>51.9</v>
      </c>
      <c r="O962" s="1242" t="str">
        <f>IF(N962&gt;1,M962&amp;" - "&amp;VLOOKUP($M962,B956:I963,5,FALSE),"")</f>
        <v>Y - Worc</v>
      </c>
      <c r="P962" s="373" t="str">
        <f>IF(LEN($M962)=1,VLOOKUP(LEFT($M962,1),B956:I963,6,FALSE),IF(LEN($M962)=2,VLOOKUP(LEFT($M962,1),B956:I963,8,FALSE),""))</f>
        <v>Worcester</v>
      </c>
      <c r="Q962" s="341" t="s">
        <v>277</v>
      </c>
      <c r="R962" s="146" t="str">
        <f t="shared" si="855"/>
        <v/>
      </c>
      <c r="S962" s="927"/>
      <c r="T962" s="927"/>
      <c r="U962" s="353" t="str">
        <f>IF(LEN($S962)=1,VLOOKUP(LEFT($S962,1),B956:I963,5,FALSE),IF(LEN($S962)=2,VLOOKUP(LEFT($S962,1),B956:I963,7,FALSE),""))</f>
        <v/>
      </c>
      <c r="V962" s="373" t="str">
        <f>IF(LEN($S962)=1,VLOOKUP(LEFT($S962,1),B956:I963,6,FALSE),IF(LEN($S962)=2,VLOOKUP(LEFT($S962,1),B956:I963,8,FALSE),""))</f>
        <v/>
      </c>
      <c r="W962" s="417">
        <f t="shared" si="862"/>
        <v>2</v>
      </c>
      <c r="Y962" s="417">
        <v>37</v>
      </c>
      <c r="Z962" s="16" t="str">
        <f t="shared" si="856"/>
        <v>Worc</v>
      </c>
      <c r="AA962" s="146">
        <f t="shared" si="857"/>
        <v>0</v>
      </c>
      <c r="AB962" s="32"/>
      <c r="AC962" s="16" t="str">
        <f t="shared" si="858"/>
        <v>F</v>
      </c>
      <c r="AD962" s="419" t="str">
        <f t="shared" si="858"/>
        <v>Tamworth</v>
      </c>
      <c r="AE962" s="419">
        <f>IF(ISNA(MATCH(AC962,N954:N963,0)),0,VLOOKUP(AC962,N954:S963,5,FALSE))</f>
        <v>0</v>
      </c>
      <c r="AF962" s="419" t="str">
        <f>IF(ISNA(MATCH(AC962,T954:T963,0))," ",VLOOKUP(AC962,T954:Y963,5,FALSE))</f>
        <v xml:space="preserve"> </v>
      </c>
      <c r="AG962" s="419">
        <f>IF(ISNA(MATCH(AC962,L956:L963,0)),0,VLOOKUP(AC962,L956:N963,3,FALSE))</f>
        <v>51.8</v>
      </c>
      <c r="AH962" s="419">
        <f>IF(ISNA(MATCH(AC962,R956:R963,0)),0,VLOOKUP(AC962,R956:T963,3,FALSE))</f>
        <v>0</v>
      </c>
      <c r="AI962" s="419" t="str">
        <f>IF(ISNA(MATCH(AC962,L956:L963,0)),0,VLOOKUP(AC962,L956:P963,4,FALSE))</f>
        <v>F - Tam</v>
      </c>
      <c r="AJ962" s="419">
        <f>IF(ISNA(MATCH(AC962,R956:R963,0)),0,VLOOKUP(AC962,R956:U963,4,FALSE))</f>
        <v>0</v>
      </c>
      <c r="AK962" s="32">
        <f t="shared" si="859"/>
        <v>6</v>
      </c>
      <c r="AL962" s="32">
        <f t="shared" si="860"/>
        <v>0</v>
      </c>
      <c r="AM962" s="32">
        <f>IF(ISNA(MATCH(AC962,L956:L963,0)),0,VLOOKUP(AC962,L956:W963,AM$1,FALSE))</f>
        <v>3</v>
      </c>
      <c r="AN962" s="146">
        <f>IF(ISNA(MATCH(AC962,R956:R963,0)),0,VLOOKUP(AC962,R956:W963,AN$1,FALSE))</f>
        <v>0</v>
      </c>
      <c r="AP962" s="927"/>
      <c r="AQ962" s="927"/>
    </row>
    <row r="963" spans="1:47" ht="16.2" thickBot="1" x14ac:dyDescent="0.35">
      <c r="A963" s="418">
        <f t="shared" si="861"/>
        <v>868</v>
      </c>
      <c r="B963" s="365" t="str">
        <f>'Event Details'!D$29</f>
        <v>Y</v>
      </c>
      <c r="C963" s="366" t="str">
        <f>'Event Details'!E$29</f>
        <v>Worcester</v>
      </c>
      <c r="D963" s="361"/>
      <c r="E963" s="370"/>
      <c r="F963" s="367" t="str">
        <f>'Event Details'!H$29</f>
        <v>Worc</v>
      </c>
      <c r="G963" s="368" t="str">
        <f>VLOOKUP($B955,IF($H955="F",TeamSheetFemale,TeamSheetMale),$Y963,FALSE)</f>
        <v>Worcester</v>
      </c>
      <c r="H963" s="367">
        <f>VLOOKUP($B955,IF($H955="F",TeamSheetFemale,TeamSheetMale),$Y963+1,FALSE)</f>
        <v>0</v>
      </c>
      <c r="I963" s="369">
        <f>VLOOKUP($B955,IF($H955="F",TeamSheetFemale,TeamSheetMale),$Y963+2,FALSE)</f>
        <v>0</v>
      </c>
      <c r="K963" s="346" t="s">
        <v>278</v>
      </c>
      <c r="L963" s="25" t="str">
        <f t="shared" si="854"/>
        <v/>
      </c>
      <c r="M963" s="928"/>
      <c r="N963" s="932"/>
      <c r="O963" s="1243" t="str">
        <f>IF(N963&gt;1,M963&amp;" - "&amp;VLOOKUP($M963,B956:I963,5,FALSE),"")</f>
        <v/>
      </c>
      <c r="P963" s="376" t="str">
        <f>IF(LEN($M963)=1,VLOOKUP(LEFT($M963,1),B956:I963,6,FALSE),IF(LEN($M963)=2,VLOOKUP(LEFT($M963,1),B956:I963,8,FALSE),""))</f>
        <v/>
      </c>
      <c r="Q963" s="346" t="s">
        <v>278</v>
      </c>
      <c r="R963" s="523" t="str">
        <f t="shared" si="855"/>
        <v/>
      </c>
      <c r="S963" s="928"/>
      <c r="T963" s="932"/>
      <c r="U963" s="375" t="str">
        <f>IF(LEN($S963)=1,VLOOKUP(LEFT($S963,1),B956:I963,5,FALSE),IF(LEN($S963)=2,VLOOKUP(LEFT($S963,1),B956:I963,7,FALSE),""))</f>
        <v/>
      </c>
      <c r="V963" s="376" t="str">
        <f>IF(LEN($S963)=1,VLOOKUP(LEFT($S963,1),B956:I963,6,FALSE),IF(LEN($S963)=2,VLOOKUP(LEFT($S963,1),B956:I963,8,FALSE),""))</f>
        <v/>
      </c>
      <c r="W963" s="418">
        <f t="shared" si="862"/>
        <v>1</v>
      </c>
      <c r="Y963" s="418">
        <v>42</v>
      </c>
      <c r="Z963" s="25">
        <f t="shared" si="856"/>
        <v>0</v>
      </c>
      <c r="AA963" s="523">
        <f t="shared" si="857"/>
        <v>0</v>
      </c>
      <c r="AB963" s="32"/>
      <c r="AC963" s="25" t="str">
        <f t="shared" si="858"/>
        <v>Y</v>
      </c>
      <c r="AD963" s="624" t="str">
        <f t="shared" si="858"/>
        <v>Worcester</v>
      </c>
      <c r="AE963" s="624">
        <f>IF(ISNA(MATCH(AC963,N955:N964,0)),0,VLOOKUP(AC963,N955:S964,5,FALSE))</f>
        <v>0</v>
      </c>
      <c r="AF963" s="624" t="str">
        <f t="shared" ref="AF963" si="863">IF(ISNA(MATCH(AC963,T955:T964,0))," ",VLOOKUP(AC963,T955:Y964,5,FALSE))</f>
        <v xml:space="preserve"> </v>
      </c>
      <c r="AG963" s="624">
        <f>IF(ISNA(MATCH(AC963,L956:L963,0)),0,VLOOKUP(AC963,L956:N963,3,FALSE))</f>
        <v>51.9</v>
      </c>
      <c r="AH963" s="624">
        <f>IF(ISNA(MATCH(AC963,R956:R963,0)),0,VLOOKUP(AC963,R956:T963,3,FALSE))</f>
        <v>0</v>
      </c>
      <c r="AI963" s="624" t="str">
        <f>IF(ISNA(MATCH(AC963,L956:L963,0)),0,VLOOKUP(AC963,L956:P963,4,FALSE))</f>
        <v>Y - Worc</v>
      </c>
      <c r="AJ963" s="624">
        <f>IF(ISNA(MATCH(AC963,R956:R963,0)),0,VLOOKUP(AC963,R956:U963,4,FALSE))</f>
        <v>0</v>
      </c>
      <c r="AK963" s="116">
        <f t="shared" si="859"/>
        <v>7</v>
      </c>
      <c r="AL963" s="116">
        <f t="shared" si="860"/>
        <v>0</v>
      </c>
      <c r="AM963" s="116">
        <f>IF(ISNA(MATCH(AC963,L956:L963,0)),0,VLOOKUP(AC963,L956:W963,AM$1,FALSE))</f>
        <v>2</v>
      </c>
      <c r="AN963" s="523">
        <f>IF(ISNA(MATCH(AC963,R956:R963,0)),0,VLOOKUP(AC963,R956:W963,AN$1,FALSE))</f>
        <v>0</v>
      </c>
      <c r="AP963" s="928"/>
      <c r="AQ963" s="932"/>
    </row>
    <row r="964" spans="1:47" ht="15" thickBot="1" x14ac:dyDescent="0.35">
      <c r="M964" s="276"/>
      <c r="N964" s="307"/>
      <c r="S964" s="276"/>
      <c r="T964" s="307"/>
      <c r="AP964" s="276"/>
      <c r="AQ964" s="307"/>
    </row>
    <row r="965" spans="1:47" x14ac:dyDescent="0.3">
      <c r="B965" s="400" t="s">
        <v>258</v>
      </c>
      <c r="C965" s="398"/>
      <c r="D965" s="401" t="s">
        <v>165</v>
      </c>
      <c r="E965" s="398"/>
      <c r="F965" s="398"/>
      <c r="G965" s="402" t="s">
        <v>259</v>
      </c>
      <c r="H965" s="403" t="s">
        <v>249</v>
      </c>
      <c r="I965" s="404" t="s">
        <v>168</v>
      </c>
      <c r="K965" s="360"/>
      <c r="L965" s="661"/>
      <c r="M965" s="387" t="s">
        <v>260</v>
      </c>
      <c r="N965" s="387" t="s">
        <v>261</v>
      </c>
      <c r="O965" s="387" t="s">
        <v>262</v>
      </c>
      <c r="P965" s="388" t="s">
        <v>75</v>
      </c>
      <c r="Q965" s="412"/>
      <c r="R965" s="657"/>
      <c r="S965" s="387" t="s">
        <v>260</v>
      </c>
      <c r="T965" s="387" t="s">
        <v>261</v>
      </c>
      <c r="U965" s="387" t="s">
        <v>262</v>
      </c>
      <c r="V965" s="388" t="s">
        <v>75</v>
      </c>
      <c r="W965" s="672" t="s">
        <v>76</v>
      </c>
      <c r="Y965" s="654" t="s">
        <v>263</v>
      </c>
      <c r="Z965" s="656" t="s">
        <v>74</v>
      </c>
      <c r="AA965" s="657" t="s">
        <v>75</v>
      </c>
      <c r="AC965" s="665" t="s">
        <v>71</v>
      </c>
      <c r="AD965" s="657" t="s">
        <v>86</v>
      </c>
      <c r="AE965" s="661" t="s">
        <v>149</v>
      </c>
      <c r="AF965" s="661" t="s">
        <v>94</v>
      </c>
      <c r="AG965" s="661" t="s">
        <v>149</v>
      </c>
      <c r="AH965" s="661" t="s">
        <v>94</v>
      </c>
      <c r="AI965" s="661" t="s">
        <v>149</v>
      </c>
      <c r="AJ965" s="661" t="s">
        <v>94</v>
      </c>
      <c r="AK965" s="1332" t="s">
        <v>149</v>
      </c>
      <c r="AL965" s="661" t="s">
        <v>94</v>
      </c>
      <c r="AM965" s="1406" t="s">
        <v>76</v>
      </c>
      <c r="AN965" s="1407"/>
      <c r="AP965" s="387" t="s">
        <v>260</v>
      </c>
      <c r="AQ965" s="387" t="s">
        <v>261</v>
      </c>
      <c r="AS965" s="1218" t="s">
        <v>165</v>
      </c>
      <c r="AT965" s="1219" t="s">
        <v>79</v>
      </c>
      <c r="AU965" s="1220" t="s">
        <v>80</v>
      </c>
    </row>
    <row r="966" spans="1:47" ht="15" thickBot="1" x14ac:dyDescent="0.35">
      <c r="B966" s="405">
        <v>87</v>
      </c>
      <c r="C966" s="399"/>
      <c r="D966" s="385" t="str">
        <f>VLOOKUP($B966,EventOrder,6,FALSE)</f>
        <v xml:space="preserve">4 x 100m (U18/U20) </v>
      </c>
      <c r="E966" s="399"/>
      <c r="F966" s="385"/>
      <c r="G966" s="386" t="str">
        <f>VLOOKUP($B966,EventOrder,4,FALSE)</f>
        <v>U18 Men</v>
      </c>
      <c r="H966" s="396" t="str">
        <f>IF(MID(G966,5,1)="F","F","M")</f>
        <v>M</v>
      </c>
      <c r="I966" s="397">
        <f>VLOOKUP($B966,EventOrder,2,FALSE)</f>
        <v>5.15</v>
      </c>
      <c r="K966" s="372"/>
      <c r="L966" s="667" t="s">
        <v>149</v>
      </c>
      <c r="M966" s="409" t="s">
        <v>264</v>
      </c>
      <c r="N966" s="409" t="s">
        <v>265</v>
      </c>
      <c r="O966" s="409" t="s">
        <v>266</v>
      </c>
      <c r="P966" s="408"/>
      <c r="Q966" s="413"/>
      <c r="R966" s="659" t="s">
        <v>94</v>
      </c>
      <c r="S966" s="409" t="s">
        <v>264</v>
      </c>
      <c r="T966" s="409" t="s">
        <v>265</v>
      </c>
      <c r="U966" s="409" t="s">
        <v>266</v>
      </c>
      <c r="V966" s="408"/>
      <c r="W966" s="671"/>
      <c r="Y966" s="655" t="s">
        <v>167</v>
      </c>
      <c r="Z966" s="658" t="s">
        <v>149</v>
      </c>
      <c r="AA966" s="659" t="s">
        <v>94</v>
      </c>
      <c r="AC966" s="666"/>
      <c r="AD966" s="668"/>
      <c r="AE966" s="768" t="s">
        <v>75</v>
      </c>
      <c r="AF966" s="768" t="s">
        <v>75</v>
      </c>
      <c r="AG966" s="768" t="s">
        <v>267</v>
      </c>
      <c r="AH966" s="768" t="s">
        <v>267</v>
      </c>
      <c r="AI966" s="768" t="s">
        <v>268</v>
      </c>
      <c r="AJ966" s="768" t="s">
        <v>268</v>
      </c>
      <c r="AK966" s="770" t="s">
        <v>269</v>
      </c>
      <c r="AL966" s="768" t="s">
        <v>269</v>
      </c>
      <c r="AM966" s="667" t="s">
        <v>149</v>
      </c>
      <c r="AN966" s="659" t="s">
        <v>94</v>
      </c>
      <c r="AP966" s="409" t="s">
        <v>264</v>
      </c>
      <c r="AQ966" s="409" t="s">
        <v>265</v>
      </c>
      <c r="AS966" s="1221" t="s">
        <v>270</v>
      </c>
      <c r="AT966" s="1222" t="s">
        <v>270</v>
      </c>
      <c r="AU966" s="1223" t="s">
        <v>270</v>
      </c>
    </row>
    <row r="967" spans="1:47" ht="15.6" x14ac:dyDescent="0.3">
      <c r="A967" s="416">
        <f>(B966*10)+1</f>
        <v>871</v>
      </c>
      <c r="B967" s="362" t="str">
        <f>'Event Details'!D$22</f>
        <v>S</v>
      </c>
      <c r="C967" s="381" t="str">
        <f>'Event Details'!E$22</f>
        <v>BRAT</v>
      </c>
      <c r="D967" s="379"/>
      <c r="E967" s="378"/>
      <c r="F967" s="1240" t="str">
        <f>'Event Details'!H$22</f>
        <v>BRAT</v>
      </c>
      <c r="G967" s="380" t="str">
        <f>VLOOKUP($B966,IF($H966="F",TeamSheetFemale,TeamSheetMale),$Y967,FALSE)</f>
        <v>BRAT</v>
      </c>
      <c r="H967" s="363">
        <f>VLOOKUP($B966,IF($H966="F",TeamSheetFemale,TeamSheetMale),$Y967+1,FALSE)</f>
        <v>0</v>
      </c>
      <c r="I967" s="364">
        <f>VLOOKUP($B966,IF($H966="F",TeamSheetFemale,TeamSheetMale),$Y967+2,FALSE)</f>
        <v>0</v>
      </c>
      <c r="K967" s="393" t="s">
        <v>271</v>
      </c>
      <c r="L967" s="16" t="str">
        <f t="shared" ref="L967:L974" si="864">LEFT(M967,1)</f>
        <v>D</v>
      </c>
      <c r="M967" s="926" t="s">
        <v>136</v>
      </c>
      <c r="N967" s="926">
        <v>47.2</v>
      </c>
      <c r="O967" s="1241" t="str">
        <f>IF(N967&gt;1,M967&amp;" - "&amp;VLOOKUP($M967,B967:I974,5,FALSE),"")</f>
        <v>D - Strat</v>
      </c>
      <c r="P967" s="395" t="str">
        <f>IF(LEN($M967)=1,VLOOKUP(LEFT($M967,1),B967:I974,6,FALSE),IF(LEN($M967)=2,VLOOKUP(LEFT($M967,1),B967:I974,8,FALSE),""))</f>
        <v>Stratford</v>
      </c>
      <c r="Q967" s="406" t="s">
        <v>271</v>
      </c>
      <c r="R967" s="146" t="str">
        <f t="shared" ref="R967:R974" si="865">LEFT(S967,1)</f>
        <v/>
      </c>
      <c r="S967" s="926"/>
      <c r="T967" s="926"/>
      <c r="U967" s="394" t="str">
        <f>IF(LEN($S967)=1,VLOOKUP(LEFT($S967,1),B967:I974,5,FALSE),IF(LEN($S967)=2,VLOOKUP(LEFT($S967,1),B967:I974,7,FALSE),""))</f>
        <v/>
      </c>
      <c r="V967" s="395" t="str">
        <f>IF(LEN($S967)=1,VLOOKUP(LEFT($S967,1),B967:I974,6,FALSE),IF(LEN($S967)=2,VLOOKUP(LEFT($S967,1),B967:I974,8,FALSE),""))</f>
        <v/>
      </c>
      <c r="W967" s="417">
        <f>AN$6</f>
        <v>8</v>
      </c>
      <c r="Y967" s="653">
        <v>7</v>
      </c>
      <c r="Z967" s="653" t="str">
        <f t="shared" ref="Z967:Z974" si="866">IF(LEN(M967)&gt;0,VLOOKUP(LEFT(M967,1),ShortName,5,FALSE),0)</f>
        <v>Strat</v>
      </c>
      <c r="AA967" s="138">
        <f t="shared" ref="AA967:AA974" si="867">IF(LEN(S967)&gt;0,VLOOKUP(LEFT(S967,1),ShortName,5,FALSE),0)</f>
        <v>0</v>
      </c>
      <c r="AC967" s="16" t="str">
        <f t="shared" ref="AC967:AD974" si="868">B967</f>
        <v>S</v>
      </c>
      <c r="AD967" s="419" t="str">
        <f t="shared" si="868"/>
        <v>BRAT</v>
      </c>
      <c r="AE967" s="635">
        <f>IF(ISNA(MATCH(AC967,N967:N976,0)),0,VLOOKUP(AC967,N967:S976,5,FALSE))</f>
        <v>0</v>
      </c>
      <c r="AF967" s="635" t="str">
        <f>IF(ISNA(MATCH(AC967,T967:T976,0))," ",VLOOKUP(AC967,T967:Y976,5,FALSE))</f>
        <v xml:space="preserve"> </v>
      </c>
      <c r="AG967" s="635">
        <f>IF(ISNA(MATCH(AC967,L967:L974,0)),0,VLOOKUP(AC967,L967:N974,3,FALSE))</f>
        <v>0</v>
      </c>
      <c r="AH967" s="635">
        <f>IF(ISNA(MATCH(AC967,R967:R974,0)),0,VLOOKUP(AC967,R967:T974,3,FALSE))</f>
        <v>0</v>
      </c>
      <c r="AI967" s="635">
        <f>IF(ISNA(MATCH(AC967,L967:L974,0)),0,VLOOKUP(AC967,L967:P974,4,FALSE))</f>
        <v>0</v>
      </c>
      <c r="AJ967" s="635">
        <f>IF(ISNA(MATCH(AC967,R967:R974,0)),0,VLOOKUP(AC967,R967:U974,4,FALSE))</f>
        <v>0</v>
      </c>
      <c r="AK967" s="49">
        <f t="shared" ref="AK967:AK974" si="869">IF(AM967=0,0,AN$6-(AM967-1))</f>
        <v>0</v>
      </c>
      <c r="AL967" s="49">
        <f t="shared" ref="AL967:AL974" si="870">IF(AN967=0,0,AN$6-(AN967-1))</f>
        <v>0</v>
      </c>
      <c r="AM967" s="49">
        <f>IF(ISNA(MATCH(AC967,L967:L974,0)),0,VLOOKUP(AC967,L967:W974,AM$1,FALSE))</f>
        <v>0</v>
      </c>
      <c r="AN967" s="138">
        <f>IF(ISNA(MATCH(AC967,R967:R974,0)),0,VLOOKUP(AC967,R967:W974,AN$1,FALSE))</f>
        <v>0</v>
      </c>
      <c r="AP967" s="926"/>
      <c r="AQ967" s="926"/>
      <c r="AS967" s="32">
        <f>IF(LEN(N967)&gt;0,1,0)</f>
        <v>1</v>
      </c>
      <c r="AT967" s="32">
        <f>IF(AND(AS967=1,H966="M"),1,0)</f>
        <v>1</v>
      </c>
      <c r="AU967" s="32">
        <f>IF(AND(AS967=1,H966="F"),1,0)</f>
        <v>0</v>
      </c>
    </row>
    <row r="968" spans="1:47" ht="15.6" x14ac:dyDescent="0.3">
      <c r="A968" s="417">
        <f>A967+1</f>
        <v>872</v>
      </c>
      <c r="B968" s="362" t="str">
        <f>'Event Details'!D$23</f>
        <v>U</v>
      </c>
      <c r="C968" s="381" t="str">
        <f>'Event Details'!E$23</f>
        <v>Kidder &amp; Stourport</v>
      </c>
      <c r="D968" s="379"/>
      <c r="E968" s="378"/>
      <c r="F968" s="1240" t="str">
        <f>'Event Details'!H$23</f>
        <v>K&amp;S</v>
      </c>
      <c r="G968" s="380" t="str">
        <f>VLOOKUP($B966,IF($H966="F",TeamSheetFemale,TeamSheetMale),$Y968,FALSE)</f>
        <v>Kidder &amp; Stourport</v>
      </c>
      <c r="H968" s="363">
        <f>VLOOKUP($B966,IF($H966="F",TeamSheetFemale,TeamSheetMale),$Y968+1,FALSE)</f>
        <v>0</v>
      </c>
      <c r="I968" s="364">
        <f>VLOOKUP($B966,IF($H966="F",TeamSheetFemale,TeamSheetMale),$Y968+2,FALSE)</f>
        <v>0</v>
      </c>
      <c r="K968" s="341" t="s">
        <v>272</v>
      </c>
      <c r="L968" s="16" t="str">
        <f t="shared" si="864"/>
        <v/>
      </c>
      <c r="M968" s="927"/>
      <c r="N968" s="927"/>
      <c r="O968" s="1242" t="str">
        <f>IF(N968&gt;1,M968&amp;" - "&amp;VLOOKUP($M968,B967:I974,5,FALSE),"")</f>
        <v/>
      </c>
      <c r="P968" s="410" t="str">
        <f>IF(LEN($M968)=1,VLOOKUP(LEFT($M968,1),B967:I974,6,FALSE),IF(LEN($M968)=2,VLOOKUP(LEFT($M968,1),B967:I974,8,FALSE),""))</f>
        <v/>
      </c>
      <c r="Q968" s="371" t="s">
        <v>272</v>
      </c>
      <c r="R968" s="146" t="str">
        <f t="shared" si="865"/>
        <v/>
      </c>
      <c r="S968" s="927"/>
      <c r="T968" s="927"/>
      <c r="U968" s="354" t="str">
        <f>IF(LEN($S968)=1,VLOOKUP(LEFT($S968,1),B967:I974,5,FALSE),IF(LEN($S968)=2,VLOOKUP(LEFT($S968,1),B967:I974,7,FALSE),""))</f>
        <v/>
      </c>
      <c r="V968" s="410" t="str">
        <f>IF(LEN($S968)=1,VLOOKUP(LEFT($S968,1),B967:I974,6,FALSE),IF(LEN($S968)=2,VLOOKUP(LEFT($S968,1),B967:I974,8,FALSE),""))</f>
        <v/>
      </c>
      <c r="W968" s="417">
        <f>W967-1</f>
        <v>7</v>
      </c>
      <c r="Y968" s="16">
        <v>12</v>
      </c>
      <c r="Z968" s="16">
        <f t="shared" si="866"/>
        <v>0</v>
      </c>
      <c r="AA968" s="146">
        <f t="shared" si="867"/>
        <v>0</v>
      </c>
      <c r="AC968" s="16" t="str">
        <f t="shared" si="868"/>
        <v>U</v>
      </c>
      <c r="AD968" s="419" t="str">
        <f t="shared" si="868"/>
        <v>Kidder &amp; Stourport</v>
      </c>
      <c r="AE968" s="419">
        <f>IF(ISNA(MATCH(AC968,N967:N976,0)),0,VLOOKUP(AC968,N967:S976,5,FALSE))</f>
        <v>0</v>
      </c>
      <c r="AF968" s="419" t="str">
        <f>IF(ISNA(MATCH(AC968,T967:T976,0))," ",VLOOKUP(AC968,T967:Y976,5,FALSE))</f>
        <v xml:space="preserve"> </v>
      </c>
      <c r="AG968" s="419">
        <f>IF(ISNA(MATCH(AC968,L967:L974,0)),0,VLOOKUP(AC968,L967:N974,3,FALSE))</f>
        <v>0</v>
      </c>
      <c r="AH968" s="419">
        <f>IF(ISNA(MATCH(AC968,R967:R974,0)),0,VLOOKUP(AC968,R967:T974,3,FALSE))</f>
        <v>0</v>
      </c>
      <c r="AI968" s="419">
        <f>IF(ISNA(MATCH(AC968,L967:L974,0)),0,VLOOKUP(AC968,L967:P974,4,FALSE))</f>
        <v>0</v>
      </c>
      <c r="AJ968" s="419">
        <f>IF(ISNA(MATCH(AC968,R967:R974,0)),0,VLOOKUP(AC968,R967:U974,4,FALSE))</f>
        <v>0</v>
      </c>
      <c r="AK968" s="32">
        <f t="shared" si="869"/>
        <v>0</v>
      </c>
      <c r="AL968" s="32">
        <f t="shared" si="870"/>
        <v>0</v>
      </c>
      <c r="AM968" s="32">
        <f>IF(ISNA(MATCH(AC968,L967:L974,0)),0,VLOOKUP(AC968,L967:W974,AM$1,FALSE))</f>
        <v>0</v>
      </c>
      <c r="AN968" s="146">
        <f>IF(ISNA(MATCH(AC968,R967:R974,0)),0,VLOOKUP(AC968,R967:W974,AN$1,FALSE))</f>
        <v>0</v>
      </c>
      <c r="AP968" s="927"/>
      <c r="AQ968" s="927"/>
    </row>
    <row r="969" spans="1:47" ht="15.6" x14ac:dyDescent="0.3">
      <c r="A969" s="417">
        <f t="shared" ref="A969:A974" si="871">A968+1</f>
        <v>873</v>
      </c>
      <c r="B969" s="362" t="str">
        <f>'Event Details'!D$24</f>
        <v>G</v>
      </c>
      <c r="C969" s="381" t="str">
        <f>'Event Details'!E$24</f>
        <v>Royal Sutton</v>
      </c>
      <c r="D969" s="379"/>
      <c r="E969" s="378"/>
      <c r="F969" s="1240" t="str">
        <f>'Event Details'!H$24</f>
        <v>Royal</v>
      </c>
      <c r="G969" s="380" t="str">
        <f>VLOOKUP($B966,IF($H966="F",TeamSheetFemale,TeamSheetMale),$Y969,FALSE)</f>
        <v>Royal Sutton</v>
      </c>
      <c r="H969" s="363">
        <f>VLOOKUP($B966,IF($H966="F",TeamSheetFemale,TeamSheetMale),$Y969+1,FALSE)</f>
        <v>0</v>
      </c>
      <c r="I969" s="364">
        <f>VLOOKUP($B966,IF($H966="F",TeamSheetFemale,TeamSheetMale),$Y969+2,FALSE)</f>
        <v>0</v>
      </c>
      <c r="K969" s="341" t="s">
        <v>273</v>
      </c>
      <c r="L969" s="16" t="str">
        <f t="shared" si="864"/>
        <v/>
      </c>
      <c r="M969" s="927"/>
      <c r="N969" s="927"/>
      <c r="O969" s="1242" t="str">
        <f>IF(N969&gt;1,M969&amp;" - "&amp;VLOOKUP($M969,B967:I974,5,FALSE),"")</f>
        <v/>
      </c>
      <c r="P969" s="410" t="str">
        <f>IF(LEN($M969)=1,VLOOKUP(LEFT($M969,1),B967:I974,6,FALSE),IF(LEN($M969)=2,VLOOKUP(LEFT($M969,1),B967:I974,8,FALSE),""))</f>
        <v/>
      </c>
      <c r="Q969" s="371" t="s">
        <v>273</v>
      </c>
      <c r="R969" s="146" t="str">
        <f t="shared" si="865"/>
        <v/>
      </c>
      <c r="S969" s="927"/>
      <c r="T969" s="927"/>
      <c r="U969" s="354" t="str">
        <f>IF(LEN($S969)=1,VLOOKUP(LEFT($S969,1),B967:I974,5,FALSE),IF(LEN($S969)=2,VLOOKUP(LEFT($S969,1),B967:I974,7,FALSE),""))</f>
        <v/>
      </c>
      <c r="V969" s="410" t="str">
        <f>IF(LEN($S969)=1,VLOOKUP(LEFT($S969,1),B967:I974,6,FALSE),IF(LEN($S969)=2,VLOOKUP(LEFT($S969,1),B967:I974,8,FALSE),""))</f>
        <v/>
      </c>
      <c r="W969" s="417">
        <f t="shared" ref="W969:W974" si="872">W968-1</f>
        <v>6</v>
      </c>
      <c r="Y969" s="16">
        <v>17</v>
      </c>
      <c r="Z969" s="16">
        <f t="shared" si="866"/>
        <v>0</v>
      </c>
      <c r="AA969" s="146">
        <f t="shared" si="867"/>
        <v>0</v>
      </c>
      <c r="AC969" s="16" t="str">
        <f t="shared" si="868"/>
        <v>G</v>
      </c>
      <c r="AD969" s="419" t="str">
        <f t="shared" si="868"/>
        <v>Royal Sutton</v>
      </c>
      <c r="AE969" s="419">
        <f>IF(ISNA(MATCH(AC969,N967:N976,0)),0,VLOOKUP(AC969,N967:S976,5,FALSE))</f>
        <v>0</v>
      </c>
      <c r="AF969" s="419" t="str">
        <f>IF(ISNA(MATCH(AC969,T967:T976,0))," ",VLOOKUP(AC969,T967:Y976,5,FALSE))</f>
        <v xml:space="preserve"> </v>
      </c>
      <c r="AG969" s="419">
        <f>IF(ISNA(MATCH(AC969,L967:L974,0)),0,VLOOKUP(AC969,L967:N974,3,FALSE))</f>
        <v>0</v>
      </c>
      <c r="AH969" s="419">
        <f>IF(ISNA(MATCH(AC969,R967:R974,0)),0,VLOOKUP(AC969,R967:T974,3,FALSE))</f>
        <v>0</v>
      </c>
      <c r="AI969" s="419">
        <f>IF(ISNA(MATCH(AC969,L967:L974,0)),0,VLOOKUP(AC969,L967:P974,4,FALSE))</f>
        <v>0</v>
      </c>
      <c r="AJ969" s="419">
        <f>IF(ISNA(MATCH(AC969,R967:R974,0)),0,VLOOKUP(AC969,R967:U974,4,FALSE))</f>
        <v>0</v>
      </c>
      <c r="AK969" s="32">
        <f t="shared" si="869"/>
        <v>0</v>
      </c>
      <c r="AL969" s="32">
        <f t="shared" si="870"/>
        <v>0</v>
      </c>
      <c r="AM969" s="32">
        <f>IF(ISNA(MATCH(AC969,L967:L974,0)),0,VLOOKUP(AC969,L967:W974,AM$1,FALSE))</f>
        <v>0</v>
      </c>
      <c r="AN969" s="146">
        <f>IF(ISNA(MATCH(AC969,R967:R974,0)),0,VLOOKUP(AC969,R967:W974,AN$1,FALSE))</f>
        <v>0</v>
      </c>
      <c r="AP969" s="927"/>
      <c r="AQ969" s="927"/>
    </row>
    <row r="970" spans="1:47" ht="15.6" x14ac:dyDescent="0.3">
      <c r="A970" s="417">
        <f t="shared" si="871"/>
        <v>874</v>
      </c>
      <c r="B970" s="362" t="str">
        <f>'Event Details'!D$25</f>
        <v>R</v>
      </c>
      <c r="C970" s="381" t="str">
        <f>'Event Details'!E$25</f>
        <v>Rugby &amp; N'hampton</v>
      </c>
      <c r="D970" s="379"/>
      <c r="E970" s="378"/>
      <c r="F970" s="1240" t="str">
        <f>'Event Details'!H$25</f>
        <v>Rugby</v>
      </c>
      <c r="G970" s="380" t="str">
        <f>VLOOKUP($B966,IF($H966="F",TeamSheetFemale,TeamSheetMale),$Y970,FALSE)</f>
        <v>Rugby &amp; N'hampton</v>
      </c>
      <c r="H970" s="363">
        <f>VLOOKUP($B966,IF($H966="F",TeamSheetFemale,TeamSheetMale),$Y970+1,FALSE)</f>
        <v>0</v>
      </c>
      <c r="I970" s="364">
        <f>VLOOKUP($B966,IF($H966="F",TeamSheetFemale,TeamSheetMale),$Y970+2,FALSE)</f>
        <v>0</v>
      </c>
      <c r="K970" s="341" t="s">
        <v>274</v>
      </c>
      <c r="L970" s="16" t="str">
        <f t="shared" si="864"/>
        <v/>
      </c>
      <c r="M970" s="927"/>
      <c r="N970" s="927"/>
      <c r="O970" s="1242" t="str">
        <f>IF(N970&gt;1,M970&amp;" - "&amp;VLOOKUP($M970,B967:I974,5,FALSE),"")</f>
        <v/>
      </c>
      <c r="P970" s="410" t="str">
        <f>IF(LEN($M970)=1,VLOOKUP(LEFT($M970,1),B967:I974,6,FALSE),IF(LEN($M970)=2,VLOOKUP(LEFT($M970,1),B967:I974,8,FALSE),""))</f>
        <v/>
      </c>
      <c r="Q970" s="371" t="s">
        <v>274</v>
      </c>
      <c r="R970" s="146" t="str">
        <f t="shared" si="865"/>
        <v/>
      </c>
      <c r="S970" s="927"/>
      <c r="T970" s="927"/>
      <c r="U970" s="354" t="str">
        <f>IF(LEN($S970)=1,VLOOKUP(LEFT($S970,1),B967:I974,5,FALSE),IF(LEN($S970)=2,VLOOKUP(LEFT($S970,1),B967:I974,7,FALSE),""))</f>
        <v/>
      </c>
      <c r="V970" s="410" t="str">
        <f>IF(LEN($S970)=1,VLOOKUP(LEFT($S970,1),B967:I974,6,FALSE),IF(LEN($S970)=2,VLOOKUP(LEFT($S970,1),B967:I974,8,FALSE),""))</f>
        <v/>
      </c>
      <c r="W970" s="417">
        <f t="shared" si="872"/>
        <v>5</v>
      </c>
      <c r="Y970" s="16">
        <v>22</v>
      </c>
      <c r="Z970" s="16">
        <f t="shared" si="866"/>
        <v>0</v>
      </c>
      <c r="AA970" s="146">
        <f t="shared" si="867"/>
        <v>0</v>
      </c>
      <c r="AC970" s="16" t="str">
        <f t="shared" si="868"/>
        <v>R</v>
      </c>
      <c r="AD970" s="419" t="str">
        <f t="shared" si="868"/>
        <v>Rugby &amp; N'hampton</v>
      </c>
      <c r="AE970" s="419">
        <f>IF(ISNA(MATCH(AC970,N967:N976,0)),0,VLOOKUP(AC970,N967:S976,5,FALSE))</f>
        <v>0</v>
      </c>
      <c r="AF970" s="419" t="str">
        <f>IF(ISNA(MATCH(AC970,T967:T976,0))," ",VLOOKUP(AC970,T967:Y976,5,FALSE))</f>
        <v xml:space="preserve"> </v>
      </c>
      <c r="AG970" s="419">
        <f>IF(ISNA(MATCH(AC970,L967:L974,0)),0,VLOOKUP(AC970,L967:N974,3,FALSE))</f>
        <v>0</v>
      </c>
      <c r="AH970" s="419">
        <f>IF(ISNA(MATCH(AC970,R967:R974,0)),0,VLOOKUP(AC970,R967:T974,3,FALSE))</f>
        <v>0</v>
      </c>
      <c r="AI970" s="419">
        <f>IF(ISNA(MATCH(AC970,L967:L974,0)),0,VLOOKUP(AC970,L967:P974,4,FALSE))</f>
        <v>0</v>
      </c>
      <c r="AJ970" s="419">
        <f>IF(ISNA(MATCH(AC970,R967:R974,0)),0,VLOOKUP(AC970,R967:U974,4,FALSE))</f>
        <v>0</v>
      </c>
      <c r="AK970" s="32">
        <f t="shared" si="869"/>
        <v>0</v>
      </c>
      <c r="AL970" s="32">
        <f t="shared" si="870"/>
        <v>0</v>
      </c>
      <c r="AM970" s="32">
        <f>IF(ISNA(MATCH(AC970,L967:L974,0)),0,VLOOKUP(AC970,L967:W974,AM$1,FALSE))</f>
        <v>0</v>
      </c>
      <c r="AN970" s="146">
        <f>IF(ISNA(MATCH(AC970,R967:R974,0)),0,VLOOKUP(AC970,R967:W974,AN$1,FALSE))</f>
        <v>0</v>
      </c>
      <c r="AP970" s="927"/>
      <c r="AQ970" s="927"/>
    </row>
    <row r="971" spans="1:47" ht="15.6" x14ac:dyDescent="0.3">
      <c r="A971" s="417">
        <f t="shared" si="871"/>
        <v>875</v>
      </c>
      <c r="B971" s="362" t="str">
        <f>'Event Details'!D$26</f>
        <v>M</v>
      </c>
      <c r="C971" s="381" t="str">
        <f>'Event Details'!E$26</f>
        <v>Solihull &amp; S.Heath</v>
      </c>
      <c r="D971" s="379"/>
      <c r="E971" s="378"/>
      <c r="F971" s="1240" t="str">
        <f>'Event Details'!H$26</f>
        <v>Sol</v>
      </c>
      <c r="G971" s="380" t="str">
        <f>VLOOKUP($B966,IF($H966="F",TeamSheetFemale,TeamSheetMale),$Y971,FALSE)</f>
        <v>Solihull &amp; S.Heath</v>
      </c>
      <c r="H971" s="363">
        <f>VLOOKUP($B966,IF($H966="F",TeamSheetFemale,TeamSheetMale),$Y971+1,FALSE)</f>
        <v>0</v>
      </c>
      <c r="I971" s="364">
        <f>VLOOKUP($B966,IF($H966="F",TeamSheetFemale,TeamSheetMale),$Y971+2,FALSE)</f>
        <v>0</v>
      </c>
      <c r="K971" s="341" t="s">
        <v>275</v>
      </c>
      <c r="L971" s="16" t="str">
        <f t="shared" si="864"/>
        <v/>
      </c>
      <c r="M971" s="927"/>
      <c r="N971" s="927"/>
      <c r="O971" s="1242" t="str">
        <f>IF(N971&gt;1,M971&amp;" - "&amp;VLOOKUP($M971,B967:I974,5,FALSE),"")</f>
        <v/>
      </c>
      <c r="P971" s="410" t="str">
        <f>IF(LEN($M971)=1,VLOOKUP(LEFT($M971,1),B967:I974,6,FALSE),IF(LEN($M971)=2,VLOOKUP(LEFT($M971,1),B967:I974,8,FALSE),""))</f>
        <v/>
      </c>
      <c r="Q971" s="371" t="s">
        <v>275</v>
      </c>
      <c r="R971" s="146" t="str">
        <f t="shared" si="865"/>
        <v/>
      </c>
      <c r="S971" s="927"/>
      <c r="T971" s="927"/>
      <c r="U971" s="354" t="str">
        <f>IF(LEN($S971)=1,VLOOKUP(LEFT($S971,1),B967:I974,5,FALSE),IF(LEN($S971)=2,VLOOKUP(LEFT($S971,1),B967:I974,7,FALSE),""))</f>
        <v/>
      </c>
      <c r="V971" s="410" t="str">
        <f>IF(LEN($S971)=1,VLOOKUP(LEFT($S971,1),B967:I974,6,FALSE),IF(LEN($S971)=2,VLOOKUP(LEFT($S971,1),B967:I974,8,FALSE),""))</f>
        <v/>
      </c>
      <c r="W971" s="417">
        <f t="shared" si="872"/>
        <v>4</v>
      </c>
      <c r="Y971" s="16">
        <v>27</v>
      </c>
      <c r="Z971" s="16">
        <f t="shared" si="866"/>
        <v>0</v>
      </c>
      <c r="AA971" s="146">
        <f t="shared" si="867"/>
        <v>0</v>
      </c>
      <c r="AC971" s="16" t="str">
        <f t="shared" si="868"/>
        <v>M</v>
      </c>
      <c r="AD971" s="419" t="str">
        <f t="shared" si="868"/>
        <v>Solihull &amp; S.Heath</v>
      </c>
      <c r="AE971" s="419">
        <f>IF(ISNA(MATCH(AC971,N967:N976,0)),0,VLOOKUP(AC971,N967:S976,5,FALSE))</f>
        <v>0</v>
      </c>
      <c r="AF971" s="419" t="str">
        <f>IF(ISNA(MATCH(AC971,T967:T976,0))," ",VLOOKUP(AC971,T967:Y976,5,FALSE))</f>
        <v xml:space="preserve"> </v>
      </c>
      <c r="AG971" s="419">
        <f>IF(ISNA(MATCH(AC971,L967:L974,0)),0,VLOOKUP(AC971,L967:N974,3,FALSE))</f>
        <v>0</v>
      </c>
      <c r="AH971" s="419">
        <f>IF(ISNA(MATCH(AC971,R967:R974,0)),0,VLOOKUP(AC971,R967:T974,3,FALSE))</f>
        <v>0</v>
      </c>
      <c r="AI971" s="419">
        <f>IF(ISNA(MATCH(AC971,L967:L974,0)),0,VLOOKUP(AC971,L967:P974,4,FALSE))</f>
        <v>0</v>
      </c>
      <c r="AJ971" s="419">
        <f>IF(ISNA(MATCH(AC971,R967:R974,0)),0,VLOOKUP(AC971,R967:U974,4,FALSE))</f>
        <v>0</v>
      </c>
      <c r="AK971" s="32">
        <f t="shared" si="869"/>
        <v>0</v>
      </c>
      <c r="AL971" s="32">
        <f t="shared" si="870"/>
        <v>0</v>
      </c>
      <c r="AM971" s="32">
        <f>IF(ISNA(MATCH(AC971,L967:L974,0)),0,VLOOKUP(AC971,L967:W974,AM$1,FALSE))</f>
        <v>0</v>
      </c>
      <c r="AN971" s="146">
        <f>IF(ISNA(MATCH(AC971,R967:R974,0)),0,VLOOKUP(AC971,R967:W974,AN$1,FALSE))</f>
        <v>0</v>
      </c>
      <c r="AP971" s="927"/>
      <c r="AQ971" s="927"/>
    </row>
    <row r="972" spans="1:47" ht="15.6" x14ac:dyDescent="0.3">
      <c r="A972" s="417">
        <f t="shared" si="871"/>
        <v>876</v>
      </c>
      <c r="B972" s="362" t="str">
        <f>'Event Details'!D$27</f>
        <v>D</v>
      </c>
      <c r="C972" s="381" t="str">
        <f>'Event Details'!E$27</f>
        <v>Stratford</v>
      </c>
      <c r="D972" s="379"/>
      <c r="E972" s="378"/>
      <c r="F972" s="1240" t="str">
        <f>'Event Details'!H$27</f>
        <v>Strat</v>
      </c>
      <c r="G972" s="380" t="str">
        <f>VLOOKUP($B966,IF($H966="F",TeamSheetFemale,TeamSheetMale),$Y972,FALSE)</f>
        <v>Stratford</v>
      </c>
      <c r="H972" s="363">
        <f>VLOOKUP($B966,IF($H966="F",TeamSheetFemale,TeamSheetMale),$Y972+1,FALSE)</f>
        <v>0</v>
      </c>
      <c r="I972" s="364">
        <f>VLOOKUP($B966,IF($H966="F",TeamSheetFemale,TeamSheetMale),$Y972+2,FALSE)</f>
        <v>0</v>
      </c>
      <c r="K972" s="341" t="s">
        <v>276</v>
      </c>
      <c r="L972" s="16" t="str">
        <f t="shared" si="864"/>
        <v/>
      </c>
      <c r="M972" s="927"/>
      <c r="N972" s="927"/>
      <c r="O972" s="1242" t="str">
        <f>IF(N972&gt;1,M972&amp;" - "&amp;VLOOKUP($M972,B967:I974,5,FALSE),"")</f>
        <v/>
      </c>
      <c r="P972" s="410" t="str">
        <f>IF(LEN($M972)=1,VLOOKUP(LEFT($M972,1),B967:I974,6,FALSE),IF(LEN($M972)=2,VLOOKUP(LEFT($M972,1),B967:I974,8,FALSE),""))</f>
        <v/>
      </c>
      <c r="Q972" s="371" t="s">
        <v>276</v>
      </c>
      <c r="R972" s="146" t="str">
        <f t="shared" si="865"/>
        <v/>
      </c>
      <c r="S972" s="927"/>
      <c r="T972" s="927"/>
      <c r="U972" s="354" t="str">
        <f>IF(LEN($S972)=1,VLOOKUP(LEFT($S972,1),B967:I974,5,FALSE),IF(LEN($S972)=2,VLOOKUP(LEFT($S972,1),B967:I974,7,FALSE),""))</f>
        <v/>
      </c>
      <c r="V972" s="410" t="str">
        <f>IF(LEN($S972)=1,VLOOKUP(LEFT($S972,1),B967:I974,6,FALSE),IF(LEN($S972)=2,VLOOKUP(LEFT($S972,1),B967:I974,8,FALSE),""))</f>
        <v/>
      </c>
      <c r="W972" s="417">
        <f t="shared" si="872"/>
        <v>3</v>
      </c>
      <c r="Y972" s="16">
        <v>32</v>
      </c>
      <c r="Z972" s="16">
        <f t="shared" si="866"/>
        <v>0</v>
      </c>
      <c r="AA972" s="146">
        <f t="shared" si="867"/>
        <v>0</v>
      </c>
      <c r="AC972" s="16" t="str">
        <f t="shared" si="868"/>
        <v>D</v>
      </c>
      <c r="AD972" s="419" t="str">
        <f t="shared" si="868"/>
        <v>Stratford</v>
      </c>
      <c r="AE972" s="419">
        <f>IF(ISNA(MATCH(AC972,N967:N976,0)),0,VLOOKUP(AC972,N967:S976,5,FALSE))</f>
        <v>0</v>
      </c>
      <c r="AF972" s="419" t="str">
        <f>IF(ISNA(MATCH(AC972,T967:T976,0))," ",VLOOKUP(AC972,T967:Y976,5,FALSE))</f>
        <v xml:space="preserve"> </v>
      </c>
      <c r="AG972" s="419">
        <f>IF(ISNA(MATCH(AC972,L967:L974,0)),0,VLOOKUP(AC972,L967:N974,3,FALSE))</f>
        <v>47.2</v>
      </c>
      <c r="AH972" s="419">
        <f>IF(ISNA(MATCH(AC972,R967:R974,0)),0,VLOOKUP(AC972,R967:T974,3,FALSE))</f>
        <v>0</v>
      </c>
      <c r="AI972" s="419" t="str">
        <f>IF(ISNA(MATCH(AC972,L967:L974,0)),0,VLOOKUP(AC972,L967:P974,4,FALSE))</f>
        <v>D - Strat</v>
      </c>
      <c r="AJ972" s="419">
        <f>IF(ISNA(MATCH(AC972,R967:R974,0)),0,VLOOKUP(AC972,R967:U974,4,FALSE))</f>
        <v>0</v>
      </c>
      <c r="AK972" s="32">
        <f t="shared" si="869"/>
        <v>1</v>
      </c>
      <c r="AL972" s="32">
        <f t="shared" si="870"/>
        <v>0</v>
      </c>
      <c r="AM972" s="32">
        <f>IF(ISNA(MATCH(AC972,L967:L974,0)),0,VLOOKUP(AC972,L967:W974,AM$1,FALSE))</f>
        <v>8</v>
      </c>
      <c r="AN972" s="146">
        <f>IF(ISNA(MATCH(AC972,R967:R974,0)),0,VLOOKUP(AC972,R967:W974,AN$1,FALSE))</f>
        <v>0</v>
      </c>
      <c r="AP972" s="927"/>
      <c r="AQ972" s="927"/>
    </row>
    <row r="973" spans="1:47" ht="15.6" x14ac:dyDescent="0.3">
      <c r="A973" s="417">
        <f t="shared" si="871"/>
        <v>877</v>
      </c>
      <c r="B973" s="362" t="str">
        <f>'Event Details'!D$28</f>
        <v>F</v>
      </c>
      <c r="C973" s="381" t="str">
        <f>'Event Details'!E$28</f>
        <v>Tamworth</v>
      </c>
      <c r="D973" s="379"/>
      <c r="E973" s="378"/>
      <c r="F973" s="1240" t="str">
        <f>'Event Details'!H$28</f>
        <v>Tam</v>
      </c>
      <c r="G973" s="380" t="str">
        <f>VLOOKUP($B966,IF($H966="F",TeamSheetFemale,TeamSheetMale),$Y973,FALSE)</f>
        <v>Tamworth</v>
      </c>
      <c r="H973" s="363">
        <f>VLOOKUP($B966,IF($H966="F",TeamSheetFemale,TeamSheetMale),$Y973+1,FALSE)</f>
        <v>0</v>
      </c>
      <c r="I973" s="364">
        <f>VLOOKUP($B966,IF($H966="F",TeamSheetFemale,TeamSheetMale),$Y973+2,FALSE)</f>
        <v>0</v>
      </c>
      <c r="K973" s="341" t="s">
        <v>277</v>
      </c>
      <c r="L973" s="16" t="str">
        <f t="shared" si="864"/>
        <v/>
      </c>
      <c r="M973" s="931"/>
      <c r="N973" s="927"/>
      <c r="O973" s="1242" t="str">
        <f>IF(N973&gt;1,M973&amp;" - "&amp;VLOOKUP($M973,B967:I974,5,FALSE),"")</f>
        <v/>
      </c>
      <c r="P973" s="410" t="str">
        <f>IF(LEN($M973)=1,VLOOKUP(LEFT($M973,1),B967:I974,6,FALSE),IF(LEN($M973)=2,VLOOKUP(LEFT($M973,1),B967:I974,8,FALSE),""))</f>
        <v/>
      </c>
      <c r="Q973" s="371" t="s">
        <v>277</v>
      </c>
      <c r="R973" s="146" t="str">
        <f t="shared" si="865"/>
        <v/>
      </c>
      <c r="S973" s="931"/>
      <c r="T973" s="927"/>
      <c r="U973" s="354" t="str">
        <f>IF(LEN($S973)=1,VLOOKUP(LEFT($S973,1),B967:I974,5,FALSE),IF(LEN($S973)=2,VLOOKUP(LEFT($S973,1),B967:I974,7,FALSE),""))</f>
        <v/>
      </c>
      <c r="V973" s="410" t="str">
        <f>IF(LEN($S973)=1,VLOOKUP(LEFT($S973,1),B967:I974,6,FALSE),IF(LEN($S973)=2,VLOOKUP(LEFT($S973,1),B967:I974,8,FALSE),""))</f>
        <v/>
      </c>
      <c r="W973" s="417">
        <f t="shared" si="872"/>
        <v>2</v>
      </c>
      <c r="Y973" s="16">
        <v>37</v>
      </c>
      <c r="Z973" s="16">
        <f t="shared" si="866"/>
        <v>0</v>
      </c>
      <c r="AA973" s="146">
        <f t="shared" si="867"/>
        <v>0</v>
      </c>
      <c r="AC973" s="16" t="str">
        <f t="shared" si="868"/>
        <v>F</v>
      </c>
      <c r="AD973" s="419" t="str">
        <f t="shared" si="868"/>
        <v>Tamworth</v>
      </c>
      <c r="AE973" s="419">
        <f>IF(ISNA(MATCH(AC973,N965:N974,0)),0,VLOOKUP(AC973,N965:S974,5,FALSE))</f>
        <v>0</v>
      </c>
      <c r="AF973" s="419" t="str">
        <f>IF(ISNA(MATCH(AC973,T965:T974,0))," ",VLOOKUP(AC973,T965:Y974,5,FALSE))</f>
        <v xml:space="preserve"> </v>
      </c>
      <c r="AG973" s="419">
        <f>IF(ISNA(MATCH(AC973,L967:L974,0)),0,VLOOKUP(AC973,L967:N974,3,FALSE))</f>
        <v>0</v>
      </c>
      <c r="AH973" s="419">
        <f>IF(ISNA(MATCH(AC973,R967:R974,0)),0,VLOOKUP(AC973,R967:T974,3,FALSE))</f>
        <v>0</v>
      </c>
      <c r="AI973" s="419">
        <f>IF(ISNA(MATCH(AC973,L967:L974,0)),0,VLOOKUP(AC973,L967:P974,4,FALSE))</f>
        <v>0</v>
      </c>
      <c r="AJ973" s="419">
        <f>IF(ISNA(MATCH(AC973,R967:R974,0)),0,VLOOKUP(AC973,R967:U974,4,FALSE))</f>
        <v>0</v>
      </c>
      <c r="AK973" s="32">
        <f t="shared" si="869"/>
        <v>0</v>
      </c>
      <c r="AL973" s="32">
        <f t="shared" si="870"/>
        <v>0</v>
      </c>
      <c r="AM973" s="32">
        <f>IF(ISNA(MATCH(AC973,L967:L974,0)),0,VLOOKUP(AC973,L967:W974,AM$1,FALSE))</f>
        <v>0</v>
      </c>
      <c r="AN973" s="146">
        <f>IF(ISNA(MATCH(AC973,R967:R974,0)),0,VLOOKUP(AC973,R967:W974,AN$1,FALSE))</f>
        <v>0</v>
      </c>
      <c r="AP973" s="931"/>
      <c r="AQ973" s="927"/>
    </row>
    <row r="974" spans="1:47" ht="16.2" thickBot="1" x14ac:dyDescent="0.35">
      <c r="A974" s="418">
        <f t="shared" si="871"/>
        <v>878</v>
      </c>
      <c r="B974" s="365" t="str">
        <f>'Event Details'!D$29</f>
        <v>Y</v>
      </c>
      <c r="C974" s="366" t="str">
        <f>'Event Details'!E$29</f>
        <v>Worcester</v>
      </c>
      <c r="D974" s="361"/>
      <c r="E974" s="370"/>
      <c r="F974" s="1240" t="str">
        <f>'Event Details'!H$29</f>
        <v>Worc</v>
      </c>
      <c r="G974" s="368" t="str">
        <f>VLOOKUP($B966,IF($H966="F",TeamSheetFemale,TeamSheetMale),$Y974,FALSE)</f>
        <v>Worcester</v>
      </c>
      <c r="H974" s="367">
        <f>VLOOKUP($B966,IF($H966="F",TeamSheetFemale,TeamSheetMale),$Y974+1,FALSE)</f>
        <v>0</v>
      </c>
      <c r="I974" s="369">
        <f>VLOOKUP($B966,IF($H966="F",TeamSheetFemale,TeamSheetMale),$Y974+2,FALSE)</f>
        <v>0</v>
      </c>
      <c r="K974" s="346" t="s">
        <v>278</v>
      </c>
      <c r="L974" s="25" t="str">
        <f t="shared" si="864"/>
        <v/>
      </c>
      <c r="M974" s="928" t="s">
        <v>148</v>
      </c>
      <c r="N974" s="932"/>
      <c r="O974" s="1243" t="str">
        <f>IF(N974&gt;1,M974&amp;" - "&amp;VLOOKUP($M974,B967:I974,5,FALSE),"")</f>
        <v/>
      </c>
      <c r="P974" s="411" t="str">
        <f>IF(LEN($M974)=1,VLOOKUP(LEFT($M974,1),B967:I974,6,FALSE),IF(LEN($M974)=2,VLOOKUP(LEFT($M974,1),B967:I974,8,FALSE),""))</f>
        <v/>
      </c>
      <c r="Q974" s="407" t="s">
        <v>278</v>
      </c>
      <c r="R974" s="523" t="str">
        <f t="shared" si="865"/>
        <v/>
      </c>
      <c r="S974" s="928" t="s">
        <v>148</v>
      </c>
      <c r="T974" s="932"/>
      <c r="U974" s="374" t="str">
        <f>IF(LEN($S974)=1,VLOOKUP(LEFT($S974,1),B967:I974,5,FALSE),IF(LEN($S974)=2,VLOOKUP(LEFT($S974,1),B967:I974,7,FALSE),""))</f>
        <v/>
      </c>
      <c r="V974" s="411" t="str">
        <f>IF(LEN($S974)=1,VLOOKUP(LEFT($S974,1),B967:I974,6,FALSE),IF(LEN($S974)=2,VLOOKUP(LEFT($S974,1),B967:I974,8,FALSE),""))</f>
        <v/>
      </c>
      <c r="W974" s="418">
        <f t="shared" si="872"/>
        <v>1</v>
      </c>
      <c r="Y974" s="25">
        <v>42</v>
      </c>
      <c r="Z974" s="25">
        <f t="shared" si="866"/>
        <v>0</v>
      </c>
      <c r="AA974" s="523">
        <f t="shared" si="867"/>
        <v>0</v>
      </c>
      <c r="AC974" s="25" t="str">
        <f t="shared" si="868"/>
        <v>Y</v>
      </c>
      <c r="AD974" s="624" t="str">
        <f t="shared" si="868"/>
        <v>Worcester</v>
      </c>
      <c r="AE974" s="624">
        <f>IF(ISNA(MATCH(AC974,N966:N975,0)),0,VLOOKUP(AC974,N966:S975,5,FALSE))</f>
        <v>0</v>
      </c>
      <c r="AF974" s="624" t="str">
        <f t="shared" ref="AF974" si="873">IF(ISNA(MATCH(AC974,T966:T975,0))," ",VLOOKUP(AC974,T966:Y975,5,FALSE))</f>
        <v xml:space="preserve"> </v>
      </c>
      <c r="AG974" s="624">
        <f>IF(ISNA(MATCH(AC974,L967:L974,0)),0,VLOOKUP(AC974,L967:N974,3,FALSE))</f>
        <v>0</v>
      </c>
      <c r="AH974" s="624">
        <f>IF(ISNA(MATCH(AC974,R967:R974,0)),0,VLOOKUP(AC974,R967:T974,3,FALSE))</f>
        <v>0</v>
      </c>
      <c r="AI974" s="624">
        <f>IF(ISNA(MATCH(AC974,L967:L974,0)),0,VLOOKUP(AC974,L967:P974,4,FALSE))</f>
        <v>0</v>
      </c>
      <c r="AJ974" s="624">
        <f>IF(ISNA(MATCH(AC974,R967:R974,0)),0,VLOOKUP(AC974,R967:U974,4,FALSE))</f>
        <v>0</v>
      </c>
      <c r="AK974" s="116">
        <f t="shared" si="869"/>
        <v>0</v>
      </c>
      <c r="AL974" s="116">
        <f t="shared" si="870"/>
        <v>0</v>
      </c>
      <c r="AM974" s="116">
        <f>IF(ISNA(MATCH(AC974,L967:L974,0)),0,VLOOKUP(AC974,L967:W974,AM$1,FALSE))</f>
        <v>0</v>
      </c>
      <c r="AN974" s="523">
        <f>IF(ISNA(MATCH(AC974,R967:R974,0)),0,VLOOKUP(AC974,R967:W974,AN$1,FALSE))</f>
        <v>0</v>
      </c>
      <c r="AP974" s="928" t="s">
        <v>148</v>
      </c>
      <c r="AQ974" s="932"/>
    </row>
    <row r="975" spans="1:47" ht="15" thickBot="1" x14ac:dyDescent="0.35">
      <c r="K975" s="1207" t="s">
        <v>281</v>
      </c>
      <c r="M975" s="276"/>
      <c r="N975" s="307"/>
      <c r="S975" s="276"/>
      <c r="T975" s="307"/>
      <c r="AP975" s="276"/>
      <c r="AQ975" s="307"/>
    </row>
    <row r="976" spans="1:47" x14ac:dyDescent="0.3">
      <c r="B976" s="400" t="s">
        <v>258</v>
      </c>
      <c r="C976" s="398"/>
      <c r="D976" s="401" t="s">
        <v>165</v>
      </c>
      <c r="E976" s="398"/>
      <c r="F976" s="398"/>
      <c r="G976" s="402" t="s">
        <v>259</v>
      </c>
      <c r="H976" s="403" t="s">
        <v>249</v>
      </c>
      <c r="I976" s="404" t="s">
        <v>168</v>
      </c>
      <c r="K976" s="360"/>
      <c r="L976" s="661"/>
      <c r="M976" s="387" t="s">
        <v>260</v>
      </c>
      <c r="N976" s="387" t="s">
        <v>261</v>
      </c>
      <c r="O976" s="387" t="s">
        <v>262</v>
      </c>
      <c r="P976" s="388" t="s">
        <v>75</v>
      </c>
      <c r="Q976" s="389"/>
      <c r="R976" s="657"/>
      <c r="S976" s="387" t="s">
        <v>260</v>
      </c>
      <c r="T976" s="387" t="s">
        <v>261</v>
      </c>
      <c r="U976" s="387" t="s">
        <v>262</v>
      </c>
      <c r="V976" s="388" t="s">
        <v>75</v>
      </c>
      <c r="W976" s="672" t="s">
        <v>76</v>
      </c>
      <c r="Y976" s="414" t="s">
        <v>263</v>
      </c>
      <c r="Z976" s="656" t="s">
        <v>74</v>
      </c>
      <c r="AA976" s="657" t="s">
        <v>75</v>
      </c>
      <c r="AC976" s="665" t="s">
        <v>71</v>
      </c>
      <c r="AD976" s="657" t="s">
        <v>86</v>
      </c>
      <c r="AE976" s="661" t="s">
        <v>149</v>
      </c>
      <c r="AF976" s="661" t="s">
        <v>94</v>
      </c>
      <c r="AG976" s="661" t="s">
        <v>149</v>
      </c>
      <c r="AH976" s="661" t="s">
        <v>94</v>
      </c>
      <c r="AI976" s="661" t="s">
        <v>149</v>
      </c>
      <c r="AJ976" s="661" t="s">
        <v>94</v>
      </c>
      <c r="AK976" s="1332" t="s">
        <v>149</v>
      </c>
      <c r="AL976" s="661" t="s">
        <v>94</v>
      </c>
      <c r="AM976" s="1406" t="s">
        <v>76</v>
      </c>
      <c r="AN976" s="1407"/>
      <c r="AP976" s="387" t="s">
        <v>260</v>
      </c>
      <c r="AQ976" s="387" t="s">
        <v>261</v>
      </c>
      <c r="AS976" s="1218" t="s">
        <v>165</v>
      </c>
      <c r="AT976" s="1219" t="s">
        <v>79</v>
      </c>
      <c r="AU976" s="1220" t="s">
        <v>80</v>
      </c>
    </row>
    <row r="977" spans="1:47" ht="15" thickBot="1" x14ac:dyDescent="0.35">
      <c r="B977" s="405">
        <v>88</v>
      </c>
      <c r="C977" s="399"/>
      <c r="D977" s="385" t="str">
        <f>VLOOKUP($B977,EventOrder,6,FALSE)</f>
        <v>1500m U14 Female</v>
      </c>
      <c r="E977" s="399"/>
      <c r="F977" s="385"/>
      <c r="G977" s="386" t="str">
        <f>VLOOKUP($B977,EventOrder,4,FALSE)</f>
        <v>U14 Female</v>
      </c>
      <c r="H977" s="396" t="str">
        <f>IF(MID(G977,5,1)="F","F","M")</f>
        <v>F</v>
      </c>
      <c r="I977" s="397">
        <f>VLOOKUP($B977,EventOrder,2,FALSE)</f>
        <v>11</v>
      </c>
      <c r="K977" s="377"/>
      <c r="L977" s="667" t="s">
        <v>149</v>
      </c>
      <c r="M977" s="409" t="s">
        <v>264</v>
      </c>
      <c r="N977" s="409" t="s">
        <v>265</v>
      </c>
      <c r="O977" s="390" t="s">
        <v>266</v>
      </c>
      <c r="P977" s="391"/>
      <c r="Q977" s="392"/>
      <c r="R977" s="659" t="s">
        <v>94</v>
      </c>
      <c r="S977" s="409" t="s">
        <v>264</v>
      </c>
      <c r="T977" s="409" t="s">
        <v>265</v>
      </c>
      <c r="U977" s="390" t="s">
        <v>266</v>
      </c>
      <c r="V977" s="391"/>
      <c r="W977" s="671"/>
      <c r="Y977" s="415" t="s">
        <v>167</v>
      </c>
      <c r="Z977" s="658" t="s">
        <v>149</v>
      </c>
      <c r="AA977" s="659" t="s">
        <v>94</v>
      </c>
      <c r="AC977" s="666"/>
      <c r="AD977" s="668"/>
      <c r="AE977" s="768" t="s">
        <v>75</v>
      </c>
      <c r="AF977" s="768" t="s">
        <v>75</v>
      </c>
      <c r="AG977" s="768" t="s">
        <v>267</v>
      </c>
      <c r="AH977" s="768" t="s">
        <v>267</v>
      </c>
      <c r="AI977" s="768" t="s">
        <v>268</v>
      </c>
      <c r="AJ977" s="768" t="s">
        <v>268</v>
      </c>
      <c r="AK977" s="770" t="s">
        <v>269</v>
      </c>
      <c r="AL977" s="768" t="s">
        <v>269</v>
      </c>
      <c r="AM977" s="667" t="s">
        <v>149</v>
      </c>
      <c r="AN977" s="659" t="s">
        <v>94</v>
      </c>
      <c r="AP977" s="409" t="s">
        <v>264</v>
      </c>
      <c r="AQ977" s="409" t="s">
        <v>265</v>
      </c>
      <c r="AS977" s="1221" t="s">
        <v>270</v>
      </c>
      <c r="AT977" s="1222" t="s">
        <v>270</v>
      </c>
      <c r="AU977" s="1223" t="s">
        <v>270</v>
      </c>
    </row>
    <row r="978" spans="1:47" ht="15.6" x14ac:dyDescent="0.3">
      <c r="A978" s="416">
        <f>(B977*10)+1</f>
        <v>881</v>
      </c>
      <c r="B978" s="362" t="str">
        <f>'Event Details'!D$22</f>
        <v>S</v>
      </c>
      <c r="C978" s="381" t="str">
        <f>'Event Details'!E$22</f>
        <v>BRAT</v>
      </c>
      <c r="D978" s="379"/>
      <c r="E978" s="378"/>
      <c r="F978" s="363">
        <f>VLOOKUP($B977,IF($H977="F",TeamSheetFemale,TeamSheetMale),$Y978-1,FALSE)</f>
        <v>30</v>
      </c>
      <c r="G978" s="380" t="str">
        <f>VLOOKUP($B977,IF($H977="F",TeamSheetFemale,TeamSheetMale),$Y978,FALSE)</f>
        <v xml:space="preserve">Sophia Ratnasuriya </v>
      </c>
      <c r="H978" s="363">
        <f>VLOOKUP($B977,IF($H977="F",TeamSheetFemale,TeamSheetMale),$Y978+1,FALSE)</f>
        <v>0</v>
      </c>
      <c r="I978" s="364">
        <f>VLOOKUP($B977,IF($H977="F",TeamSheetFemale,TeamSheetMale),$Y978+2,FALSE)</f>
        <v>0</v>
      </c>
      <c r="K978" s="393" t="s">
        <v>271</v>
      </c>
      <c r="L978" s="16" t="str">
        <f t="shared" ref="L978:L985" si="874">LEFT(M978,1)</f>
        <v>D</v>
      </c>
      <c r="M978" s="926" t="s">
        <v>136</v>
      </c>
      <c r="N978" s="926" t="s">
        <v>972</v>
      </c>
      <c r="O978" s="394">
        <f>IF(LEN($M978)=1,VLOOKUP(LEFT($M978,1),B978:I985,5,FALSE),IF(LEN($M978)=2,VLOOKUP(LEFT($M978,1),B978:I985,7,FALSE),""))</f>
        <v>152</v>
      </c>
      <c r="P978" s="395" t="str">
        <f>IF(LEN($M978)=1,VLOOKUP(LEFT($M978,1),B978:I985,6,FALSE),IF(LEN($M978)=2,VLOOKUP(LEFT($M978,1),B978:I985,8,FALSE),""))</f>
        <v xml:space="preserve">Eliza McLeod </v>
      </c>
      <c r="Q978" s="393" t="s">
        <v>271</v>
      </c>
      <c r="R978" s="146" t="str">
        <f t="shared" ref="R978:R985" si="875">LEFT(S978,1)</f>
        <v/>
      </c>
      <c r="S978" s="926"/>
      <c r="T978" s="926"/>
      <c r="U978" s="394" t="str">
        <f>IF(LEN($S978)=1,VLOOKUP(LEFT($S978,1),B978:I985,5,FALSE),IF(LEN($S978)=2,VLOOKUP(LEFT($S978,1),B978:I985,7,FALSE),""))</f>
        <v/>
      </c>
      <c r="V978" s="395" t="str">
        <f>IF(LEN($S978)=1,VLOOKUP(LEFT($S978,1),B978:I985,6,FALSE),IF(LEN($S978)=2,VLOOKUP(LEFT($S978,1),B978:I985,8,FALSE),""))</f>
        <v/>
      </c>
      <c r="W978" s="417">
        <f>AN$6</f>
        <v>8</v>
      </c>
      <c r="Y978" s="416">
        <v>7</v>
      </c>
      <c r="Z978" s="653" t="str">
        <f t="shared" ref="Z978:Z985" si="876">IF(LEN(M978)&gt;0,VLOOKUP(LEFT(M978,1),ShortName,5,FALSE),0)</f>
        <v>Strat</v>
      </c>
      <c r="AA978" s="138">
        <f t="shared" ref="AA978:AA985" si="877">IF(LEN(S978)&gt;0,VLOOKUP(LEFT(S978,1),ShortName,5,FALSE),0)</f>
        <v>0</v>
      </c>
      <c r="AC978" s="16" t="str">
        <f t="shared" ref="AC978:AD985" si="878">B978</f>
        <v>S</v>
      </c>
      <c r="AD978" s="419" t="str">
        <f t="shared" si="878"/>
        <v>BRAT</v>
      </c>
      <c r="AE978" s="635">
        <f>IF(ISNA(MATCH(AC978,N978:N987,0)),0,VLOOKUP(AC978,N978:S987,5,FALSE))</f>
        <v>0</v>
      </c>
      <c r="AF978" s="635" t="str">
        <f>IF(ISNA(MATCH(AC978,T978:T987,0))," ",VLOOKUP(AC978,T978:Y987,5,FALSE))</f>
        <v xml:space="preserve"> </v>
      </c>
      <c r="AG978" s="635" t="str">
        <f>IF(ISNA(MATCH(AC978,L978:L985,0)),0,VLOOKUP(AC978,L978:N985,3,FALSE))</f>
        <v>6.22.7</v>
      </c>
      <c r="AH978" s="635">
        <f>IF(ISNA(MATCH(AC978,R978:R985,0)),0,VLOOKUP(AC978,R978:T985,3,FALSE))</f>
        <v>0</v>
      </c>
      <c r="AI978" s="635">
        <f>IF(ISNA(MATCH(AC978,L978:L985,0)),0,VLOOKUP(AC978,L978:P985,4,FALSE))</f>
        <v>30</v>
      </c>
      <c r="AJ978" s="635">
        <f>IF(ISNA(MATCH(AC978,R978:R985,0)),0,VLOOKUP(AC978,R978:U985,4,FALSE))</f>
        <v>0</v>
      </c>
      <c r="AK978" s="49">
        <f t="shared" ref="AK978:AK985" si="879">IF(AM978=0,0,AN$6-(AM978-1))</f>
        <v>3</v>
      </c>
      <c r="AL978" s="49">
        <f t="shared" ref="AL978:AL985" si="880">IF(AN978=0,0,AN$6-(AN978-1))</f>
        <v>0</v>
      </c>
      <c r="AM978" s="49">
        <f>IF(ISNA(MATCH(AC978,L978:L985,0)),0,VLOOKUP(AC978,L978:W985,AM$1,FALSE))</f>
        <v>6</v>
      </c>
      <c r="AN978" s="138">
        <f>IF(ISNA(MATCH(AC978,R978:R985,0)),0,VLOOKUP(AC978,R978:W985,AN$1,FALSE))</f>
        <v>0</v>
      </c>
      <c r="AP978" s="926"/>
      <c r="AQ978" s="926"/>
      <c r="AS978" s="32">
        <f>IF(LEN(N978)&gt;0,1,0)</f>
        <v>1</v>
      </c>
      <c r="AT978" s="32">
        <f>IF(AND(AS978=1,H977="M"),1,0)</f>
        <v>0</v>
      </c>
      <c r="AU978" s="32">
        <f>IF(AND(AS978=1,H977="F"),1,0)</f>
        <v>1</v>
      </c>
    </row>
    <row r="979" spans="1:47" ht="15.6" x14ac:dyDescent="0.3">
      <c r="A979" s="417">
        <f>A978+1</f>
        <v>882</v>
      </c>
      <c r="B979" s="362" t="str">
        <f>'Event Details'!D$23</f>
        <v>U</v>
      </c>
      <c r="C979" s="381" t="str">
        <f>'Event Details'!E$23</f>
        <v>Kidder &amp; Stourport</v>
      </c>
      <c r="D979" s="379"/>
      <c r="E979" s="378"/>
      <c r="F979" s="363">
        <f>VLOOKUP($B977,IF($H977="F",TeamSheetFemale,TeamSheetMale),$Y979-1,FALSE)</f>
        <v>0</v>
      </c>
      <c r="G979" s="380">
        <f>VLOOKUP($B977,IF($H977="F",TeamSheetFemale,TeamSheetMale),$Y979,FALSE)</f>
        <v>0</v>
      </c>
      <c r="H979" s="363">
        <f>VLOOKUP($B977,IF($H977="F",TeamSheetFemale,TeamSheetMale),$Y979+1,FALSE)</f>
        <v>0</v>
      </c>
      <c r="I979" s="364">
        <f>VLOOKUP($B977,IF($H977="F",TeamSheetFemale,TeamSheetMale),$Y979+2,FALSE)</f>
        <v>0</v>
      </c>
      <c r="K979" s="341" t="s">
        <v>272</v>
      </c>
      <c r="L979" s="16" t="str">
        <f t="shared" si="874"/>
        <v>R</v>
      </c>
      <c r="M979" s="927" t="s">
        <v>118</v>
      </c>
      <c r="N979" s="927" t="s">
        <v>973</v>
      </c>
      <c r="O979" s="353">
        <f>IF(LEN($M979)=1,VLOOKUP(LEFT($M979,1),B978:I985,5,FALSE),IF(LEN($M979)=2,VLOOKUP(LEFT($M979,1),B978:I985,7,FALSE),""))</f>
        <v>114</v>
      </c>
      <c r="P979" s="373" t="str">
        <f>IF(LEN($M979)=1,VLOOKUP(LEFT($M979,1),B978:I985,6,FALSE),IF(LEN($M979)=2,VLOOKUP(LEFT($M979,1),B978:I985,8,FALSE),""))</f>
        <v>Isabelle Norris</v>
      </c>
      <c r="Q979" s="341" t="s">
        <v>272</v>
      </c>
      <c r="R979" s="146" t="str">
        <f t="shared" si="875"/>
        <v/>
      </c>
      <c r="S979" s="927"/>
      <c r="T979" s="927"/>
      <c r="U979" s="353" t="str">
        <f>IF(LEN($S979)=1,VLOOKUP(LEFT($S979,1),B978:I985,5,FALSE),IF(LEN($S979)=2,VLOOKUP(LEFT($S979,1),B978:I985,7,FALSE),""))</f>
        <v/>
      </c>
      <c r="V979" s="373" t="str">
        <f>IF(LEN($S979)=1,VLOOKUP(LEFT($S979,1),B978:I985,6,FALSE),IF(LEN($S979)=2,VLOOKUP(LEFT($S979,1),B978:I985,8,FALSE),""))</f>
        <v/>
      </c>
      <c r="W979" s="417">
        <f>W978-1</f>
        <v>7</v>
      </c>
      <c r="Y979" s="417">
        <v>12</v>
      </c>
      <c r="Z979" s="16" t="str">
        <f t="shared" si="876"/>
        <v>Rugby</v>
      </c>
      <c r="AA979" s="146">
        <f t="shared" si="877"/>
        <v>0</v>
      </c>
      <c r="AC979" s="16" t="str">
        <f t="shared" si="878"/>
        <v>U</v>
      </c>
      <c r="AD979" s="419" t="str">
        <f t="shared" si="878"/>
        <v>Kidder &amp; Stourport</v>
      </c>
      <c r="AE979" s="419">
        <f>IF(ISNA(MATCH(AC979,N978:N987,0)),0,VLOOKUP(AC979,N978:S987,5,FALSE))</f>
        <v>0</v>
      </c>
      <c r="AF979" s="419" t="str">
        <f>IF(ISNA(MATCH(AC979,T978:T987,0))," ",VLOOKUP(AC979,T978:Y987,5,FALSE))</f>
        <v xml:space="preserve"> </v>
      </c>
      <c r="AG979" s="419">
        <f>IF(ISNA(MATCH(AC979,L978:L985,0)),0,VLOOKUP(AC979,L978:N985,3,FALSE))</f>
        <v>0</v>
      </c>
      <c r="AH979" s="419">
        <f>IF(ISNA(MATCH(AC979,R978:R985,0)),0,VLOOKUP(AC979,R978:T985,3,FALSE))</f>
        <v>0</v>
      </c>
      <c r="AI979" s="419">
        <f>IF(ISNA(MATCH(AC979,L978:L985,0)),0,VLOOKUP(AC979,L978:P985,4,FALSE))</f>
        <v>0</v>
      </c>
      <c r="AJ979" s="419">
        <f>IF(ISNA(MATCH(AC979,R978:R985,0)),0,VLOOKUP(AC979,R978:U985,4,FALSE))</f>
        <v>0</v>
      </c>
      <c r="AK979" s="32">
        <f t="shared" si="879"/>
        <v>0</v>
      </c>
      <c r="AL979" s="32">
        <f t="shared" si="880"/>
        <v>0</v>
      </c>
      <c r="AM979" s="32">
        <f>IF(ISNA(MATCH(AC979,L978:L985,0)),0,VLOOKUP(AC979,L978:W985,AM$1,FALSE))</f>
        <v>0</v>
      </c>
      <c r="AN979" s="146">
        <f>IF(ISNA(MATCH(AC979,R978:R985,0)),0,VLOOKUP(AC979,R978:W985,AN$1,FALSE))</f>
        <v>0</v>
      </c>
      <c r="AP979" s="927"/>
      <c r="AQ979" s="927"/>
    </row>
    <row r="980" spans="1:47" ht="15.6" x14ac:dyDescent="0.3">
      <c r="A980" s="417">
        <f t="shared" ref="A980:A985" si="881">A979+1</f>
        <v>883</v>
      </c>
      <c r="B980" s="362" t="str">
        <f>'Event Details'!D$24</f>
        <v>G</v>
      </c>
      <c r="C980" s="381" t="str">
        <f>'Event Details'!E$24</f>
        <v>Royal Sutton</v>
      </c>
      <c r="D980" s="379"/>
      <c r="E980" s="378"/>
      <c r="F980" s="363">
        <f>VLOOKUP($B977,IF($H977="F",TeamSheetFemale,TeamSheetMale),$Y980-1,FALSE)</f>
        <v>0</v>
      </c>
      <c r="G980" s="380">
        <f>VLOOKUP($B977,IF($H977="F",TeamSheetFemale,TeamSheetMale),$Y980,FALSE)</f>
        <v>0</v>
      </c>
      <c r="H980" s="363">
        <f>VLOOKUP($B977,IF($H977="F",TeamSheetFemale,TeamSheetMale),$Y980+1,FALSE)</f>
        <v>0</v>
      </c>
      <c r="I980" s="364">
        <f>VLOOKUP($B977,IF($H977="F",TeamSheetFemale,TeamSheetMale),$Y980+2,FALSE)</f>
        <v>0</v>
      </c>
      <c r="K980" s="341" t="s">
        <v>273</v>
      </c>
      <c r="L980" s="16" t="str">
        <f t="shared" si="874"/>
        <v>S</v>
      </c>
      <c r="M980" s="927" t="s">
        <v>100</v>
      </c>
      <c r="N980" s="927" t="s">
        <v>974</v>
      </c>
      <c r="O980" s="353">
        <v>30</v>
      </c>
      <c r="P980" s="299" t="s">
        <v>722</v>
      </c>
      <c r="Q980" s="341" t="s">
        <v>273</v>
      </c>
      <c r="R980" s="146" t="str">
        <f t="shared" si="875"/>
        <v/>
      </c>
      <c r="S980" s="927"/>
      <c r="T980" s="927"/>
      <c r="U980" s="353" t="str">
        <f>IF(LEN($S980)=1,VLOOKUP(LEFT($S980,1),B978:I985,5,FALSE),IF(LEN($S980)=2,VLOOKUP(LEFT($S980,1),B978:I985,7,FALSE),""))</f>
        <v/>
      </c>
      <c r="V980" s="373" t="str">
        <f>IF(LEN($S980)=1,VLOOKUP(LEFT($S980,1),B978:I985,6,FALSE),IF(LEN($S980)=2,VLOOKUP(LEFT($S980,1),B978:I985,8,FALSE),""))</f>
        <v/>
      </c>
      <c r="W980" s="417">
        <f t="shared" ref="W980:W985" si="882">W979-1</f>
        <v>6</v>
      </c>
      <c r="Y980" s="417">
        <v>17</v>
      </c>
      <c r="Z980" s="16" t="str">
        <f t="shared" si="876"/>
        <v>BRAT</v>
      </c>
      <c r="AA980" s="146">
        <f t="shared" si="877"/>
        <v>0</v>
      </c>
      <c r="AB980" s="32"/>
      <c r="AC980" s="16" t="str">
        <f t="shared" si="878"/>
        <v>G</v>
      </c>
      <c r="AD980" s="419" t="str">
        <f t="shared" si="878"/>
        <v>Royal Sutton</v>
      </c>
      <c r="AE980" s="419">
        <f>IF(ISNA(MATCH(AC980,N978:N987,0)),0,VLOOKUP(AC980,N978:S987,5,FALSE))</f>
        <v>0</v>
      </c>
      <c r="AF980" s="419" t="str">
        <f>IF(ISNA(MATCH(AC980,T978:T987,0))," ",VLOOKUP(AC980,T978:Y987,5,FALSE))</f>
        <v xml:space="preserve"> </v>
      </c>
      <c r="AG980" s="419">
        <f>IF(ISNA(MATCH(AC980,L978:L985,0)),0,VLOOKUP(AC980,L978:N985,3,FALSE))</f>
        <v>0</v>
      </c>
      <c r="AH980" s="419">
        <f>IF(ISNA(MATCH(AC980,R978:R985,0)),0,VLOOKUP(AC980,R978:T985,3,FALSE))</f>
        <v>0</v>
      </c>
      <c r="AI980" s="419">
        <f>IF(ISNA(MATCH(AC980,L978:L985,0)),0,VLOOKUP(AC980,L978:P985,4,FALSE))</f>
        <v>0</v>
      </c>
      <c r="AJ980" s="419">
        <f>IF(ISNA(MATCH(AC980,R978:R985,0)),0,VLOOKUP(AC980,R978:U985,4,FALSE))</f>
        <v>0</v>
      </c>
      <c r="AK980" s="32">
        <f t="shared" si="879"/>
        <v>0</v>
      </c>
      <c r="AL980" s="32">
        <f t="shared" si="880"/>
        <v>0</v>
      </c>
      <c r="AM980" s="32">
        <f>IF(ISNA(MATCH(AC980,L978:L985,0)),0,VLOOKUP(AC980,L978:W985,AM$1,FALSE))</f>
        <v>0</v>
      </c>
      <c r="AN980" s="146">
        <f>IF(ISNA(MATCH(AC980,R978:R985,0)),0,VLOOKUP(AC980,R978:W985,AN$1,FALSE))</f>
        <v>0</v>
      </c>
      <c r="AP980" s="927"/>
      <c r="AQ980" s="927"/>
    </row>
    <row r="981" spans="1:47" ht="15.6" x14ac:dyDescent="0.3">
      <c r="A981" s="417">
        <f t="shared" si="881"/>
        <v>884</v>
      </c>
      <c r="B981" s="362" t="str">
        <f>'Event Details'!D$25</f>
        <v>R</v>
      </c>
      <c r="C981" s="381" t="str">
        <f>'Event Details'!E$25</f>
        <v>Rugby &amp; N'hampton</v>
      </c>
      <c r="D981" s="379"/>
      <c r="E981" s="378"/>
      <c r="F981" s="363">
        <f>VLOOKUP($B977,IF($H977="F",TeamSheetFemale,TeamSheetMale),$Y981-1,FALSE)</f>
        <v>114</v>
      </c>
      <c r="G981" s="380" t="str">
        <f>VLOOKUP($B977,IF($H977="F",TeamSheetFemale,TeamSheetMale),$Y981,FALSE)</f>
        <v>Isabelle Norris</v>
      </c>
      <c r="H981" s="363">
        <f>VLOOKUP($B977,IF($H977="F",TeamSheetFemale,TeamSheetMale),$Y981+1,FALSE)</f>
        <v>0</v>
      </c>
      <c r="I981" s="364">
        <f>VLOOKUP($B977,IF($H977="F",TeamSheetFemale,TeamSheetMale),$Y981+2,FALSE)</f>
        <v>0</v>
      </c>
      <c r="K981" s="341" t="s">
        <v>274</v>
      </c>
      <c r="L981" s="16" t="str">
        <f t="shared" si="874"/>
        <v/>
      </c>
      <c r="M981" s="927"/>
      <c r="N981" s="927"/>
      <c r="O981" s="353" t="str">
        <f>IF(LEN($M981)=1,VLOOKUP(LEFT($M981,1),B978:I985,5,FALSE),IF(LEN($M981)=2,VLOOKUP(LEFT($M981,1),B978:I985,7,FALSE),""))</f>
        <v/>
      </c>
      <c r="P981" s="373" t="str">
        <f>IF(LEN($M981)=1,VLOOKUP(LEFT($M981,1),B978:I985,6,FALSE),IF(LEN($M981)=2,VLOOKUP(LEFT($M981,1),B978:I985,8,FALSE),""))</f>
        <v/>
      </c>
      <c r="Q981" s="341" t="s">
        <v>274</v>
      </c>
      <c r="R981" s="146" t="str">
        <f t="shared" si="875"/>
        <v/>
      </c>
      <c r="S981" s="927"/>
      <c r="T981" s="927"/>
      <c r="U981" s="353" t="str">
        <f>IF(LEN($S981)=1,VLOOKUP(LEFT($S981,1),B978:I985,5,FALSE),IF(LEN($S981)=2,VLOOKUP(LEFT($S981,1),B978:I985,7,FALSE),""))</f>
        <v/>
      </c>
      <c r="V981" s="373" t="str">
        <f>IF(LEN($S981)=1,VLOOKUP(LEFT($S981,1),B978:I985,6,FALSE),IF(LEN($S981)=2,VLOOKUP(LEFT($S981,1),B978:I985,8,FALSE),""))</f>
        <v/>
      </c>
      <c r="W981" s="417">
        <f t="shared" si="882"/>
        <v>5</v>
      </c>
      <c r="Y981" s="417">
        <v>22</v>
      </c>
      <c r="Z981" s="16">
        <f t="shared" si="876"/>
        <v>0</v>
      </c>
      <c r="AA981" s="146">
        <f t="shared" si="877"/>
        <v>0</v>
      </c>
      <c r="AB981" s="32"/>
      <c r="AC981" s="16" t="str">
        <f t="shared" si="878"/>
        <v>R</v>
      </c>
      <c r="AD981" s="419" t="str">
        <f t="shared" si="878"/>
        <v>Rugby &amp; N'hampton</v>
      </c>
      <c r="AE981" s="419">
        <f>IF(ISNA(MATCH(AC981,N978:N987,0)),0,VLOOKUP(AC981,N978:S987,5,FALSE))</f>
        <v>0</v>
      </c>
      <c r="AF981" s="419" t="str">
        <f>IF(ISNA(MATCH(AC981,T978:T987,0))," ",VLOOKUP(AC981,T978:Y987,5,FALSE))</f>
        <v xml:space="preserve"> </v>
      </c>
      <c r="AG981" s="419" t="str">
        <f>IF(ISNA(MATCH(AC981,L978:L985,0)),0,VLOOKUP(AC981,L978:N985,3,FALSE))</f>
        <v>6.02.7</v>
      </c>
      <c r="AH981" s="419">
        <f>IF(ISNA(MATCH(AC981,R978:R985,0)),0,VLOOKUP(AC981,R978:T985,3,FALSE))</f>
        <v>0</v>
      </c>
      <c r="AI981" s="419">
        <f>IF(ISNA(MATCH(AC981,L978:L985,0)),0,VLOOKUP(AC981,L978:P985,4,FALSE))</f>
        <v>114</v>
      </c>
      <c r="AJ981" s="419">
        <f>IF(ISNA(MATCH(AC981,R978:R985,0)),0,VLOOKUP(AC981,R978:U985,4,FALSE))</f>
        <v>0</v>
      </c>
      <c r="AK981" s="32">
        <f t="shared" si="879"/>
        <v>2</v>
      </c>
      <c r="AL981" s="32">
        <f t="shared" si="880"/>
        <v>0</v>
      </c>
      <c r="AM981" s="32">
        <f>IF(ISNA(MATCH(AC981,L978:L985,0)),0,VLOOKUP(AC981,L978:W985,AM$1,FALSE))</f>
        <v>7</v>
      </c>
      <c r="AN981" s="146">
        <f>IF(ISNA(MATCH(AC981,R978:R985,0)),0,VLOOKUP(AC981,R978:W985,AN$1,FALSE))</f>
        <v>0</v>
      </c>
      <c r="AP981" s="927"/>
      <c r="AQ981" s="927"/>
    </row>
    <row r="982" spans="1:47" ht="15.6" x14ac:dyDescent="0.3">
      <c r="A982" s="417">
        <f t="shared" si="881"/>
        <v>885</v>
      </c>
      <c r="B982" s="362" t="str">
        <f>'Event Details'!D$26</f>
        <v>M</v>
      </c>
      <c r="C982" s="381" t="str">
        <f>'Event Details'!E$26</f>
        <v>Solihull &amp; S.Heath</v>
      </c>
      <c r="D982" s="379"/>
      <c r="E982" s="378"/>
      <c r="F982" s="363">
        <f>VLOOKUP($B977,IF($H977="F",TeamSheetFemale,TeamSheetMale),$Y982-1,FALSE)</f>
        <v>0</v>
      </c>
      <c r="G982" s="380">
        <f>VLOOKUP($B977,IF($H977="F",TeamSheetFemale,TeamSheetMale),$Y982,FALSE)</f>
        <v>0</v>
      </c>
      <c r="H982" s="363">
        <f>VLOOKUP($B977,IF($H977="F",TeamSheetFemale,TeamSheetMale),$Y982+1,FALSE)</f>
        <v>0</v>
      </c>
      <c r="I982" s="364">
        <f>VLOOKUP($B977,IF($H977="F",TeamSheetFemale,TeamSheetMale),$Y982+2,FALSE)</f>
        <v>0</v>
      </c>
      <c r="K982" s="341" t="s">
        <v>275</v>
      </c>
      <c r="L982" s="16" t="str">
        <f t="shared" si="874"/>
        <v/>
      </c>
      <c r="M982" s="927"/>
      <c r="N982" s="927"/>
      <c r="O982" s="353" t="str">
        <f>IF(LEN($M982)=1,VLOOKUP(LEFT($M982,1),B978:I985,5,FALSE),IF(LEN($M982)=2,VLOOKUP(LEFT($M982,1),B978:I985,7,FALSE),""))</f>
        <v/>
      </c>
      <c r="P982" s="373" t="str">
        <f>IF(LEN($M982)=1,VLOOKUP(LEFT($M982,1),B978:I985,6,FALSE),IF(LEN($M982)=2,VLOOKUP(LEFT($M982,1),B978:I985,8,FALSE),""))</f>
        <v/>
      </c>
      <c r="Q982" s="341" t="s">
        <v>275</v>
      </c>
      <c r="R982" s="146" t="str">
        <f t="shared" si="875"/>
        <v/>
      </c>
      <c r="S982" s="927"/>
      <c r="T982" s="927"/>
      <c r="U982" s="353" t="str">
        <f>IF(LEN($S982)=1,VLOOKUP(LEFT($S982,1),B978:I985,5,FALSE),IF(LEN($S982)=2,VLOOKUP(LEFT($S982,1),B978:I985,7,FALSE),""))</f>
        <v/>
      </c>
      <c r="V982" s="373" t="str">
        <f>IF(LEN($S982)=1,VLOOKUP(LEFT($S982,1),B978:I985,6,FALSE),IF(LEN($S982)=2,VLOOKUP(LEFT($S982,1),B978:I985,8,FALSE),""))</f>
        <v/>
      </c>
      <c r="W982" s="417">
        <f t="shared" si="882"/>
        <v>4</v>
      </c>
      <c r="Y982" s="417">
        <v>27</v>
      </c>
      <c r="Z982" s="16">
        <f t="shared" si="876"/>
        <v>0</v>
      </c>
      <c r="AA982" s="146">
        <f t="shared" si="877"/>
        <v>0</v>
      </c>
      <c r="AB982" s="32"/>
      <c r="AC982" s="16" t="str">
        <f t="shared" si="878"/>
        <v>M</v>
      </c>
      <c r="AD982" s="419" t="str">
        <f t="shared" si="878"/>
        <v>Solihull &amp; S.Heath</v>
      </c>
      <c r="AE982" s="419">
        <f>IF(ISNA(MATCH(AC982,N978:N987,0)),0,VLOOKUP(AC982,N978:S987,5,FALSE))</f>
        <v>0</v>
      </c>
      <c r="AF982" s="419" t="str">
        <f>IF(ISNA(MATCH(AC982,T978:T987,0))," ",VLOOKUP(AC982,T978:Y987,5,FALSE))</f>
        <v xml:space="preserve"> </v>
      </c>
      <c r="AG982" s="419">
        <f>IF(ISNA(MATCH(AC982,L978:L985,0)),0,VLOOKUP(AC982,L978:N985,3,FALSE))</f>
        <v>0</v>
      </c>
      <c r="AH982" s="419">
        <f>IF(ISNA(MATCH(AC982,R978:R985,0)),0,VLOOKUP(AC982,R978:T985,3,FALSE))</f>
        <v>0</v>
      </c>
      <c r="AI982" s="419">
        <f>IF(ISNA(MATCH(AC982,L978:L985,0)),0,VLOOKUP(AC982,L978:P985,4,FALSE))</f>
        <v>0</v>
      </c>
      <c r="AJ982" s="419">
        <f>IF(ISNA(MATCH(AC982,R978:R985,0)),0,VLOOKUP(AC982,R978:U985,4,FALSE))</f>
        <v>0</v>
      </c>
      <c r="AK982" s="32">
        <f t="shared" si="879"/>
        <v>0</v>
      </c>
      <c r="AL982" s="32">
        <f t="shared" si="880"/>
        <v>0</v>
      </c>
      <c r="AM982" s="32">
        <f>IF(ISNA(MATCH(AC982,L978:L985,0)),0,VLOOKUP(AC982,L978:W985,AM$1,FALSE))</f>
        <v>0</v>
      </c>
      <c r="AN982" s="146">
        <f>IF(ISNA(MATCH(AC982,R978:R985,0)),0,VLOOKUP(AC982,R978:W985,AN$1,FALSE))</f>
        <v>0</v>
      </c>
      <c r="AP982" s="927"/>
      <c r="AQ982" s="927"/>
    </row>
    <row r="983" spans="1:47" ht="15.6" x14ac:dyDescent="0.3">
      <c r="A983" s="417">
        <f t="shared" si="881"/>
        <v>886</v>
      </c>
      <c r="B983" s="362" t="str">
        <f>'Event Details'!D$27</f>
        <v>D</v>
      </c>
      <c r="C983" s="381" t="str">
        <f>'Event Details'!E$27</f>
        <v>Stratford</v>
      </c>
      <c r="D983" s="379"/>
      <c r="E983" s="378"/>
      <c r="F983" s="363">
        <f>VLOOKUP($B977,IF($H977="F",TeamSheetFemale,TeamSheetMale),$Y983-1,FALSE)</f>
        <v>152</v>
      </c>
      <c r="G983" s="380" t="str">
        <f>VLOOKUP($B977,IF($H977="F",TeamSheetFemale,TeamSheetMale),$Y983,FALSE)</f>
        <v xml:space="preserve">Eliza McLeod </v>
      </c>
      <c r="H983" s="363">
        <f>VLOOKUP($B977,IF($H977="F",TeamSheetFemale,TeamSheetMale),$Y983+1,FALSE)</f>
        <v>0</v>
      </c>
      <c r="I983" s="364">
        <f>VLOOKUP($B977,IF($H977="F",TeamSheetFemale,TeamSheetMale),$Y983+2,FALSE)</f>
        <v>0</v>
      </c>
      <c r="K983" s="341" t="s">
        <v>276</v>
      </c>
      <c r="L983" s="16" t="str">
        <f t="shared" si="874"/>
        <v/>
      </c>
      <c r="M983" s="927"/>
      <c r="N983" s="927"/>
      <c r="O983" s="353" t="str">
        <f>IF(LEN($M983)=1,VLOOKUP(LEFT($M983,1),B978:I985,5,FALSE),IF(LEN($M983)=2,VLOOKUP(LEFT($M983,1),B978:I985,7,FALSE),""))</f>
        <v/>
      </c>
      <c r="P983" s="373" t="str">
        <f>IF(LEN($M983)=1,VLOOKUP(LEFT($M983,1),B978:I985,6,FALSE),IF(LEN($M983)=2,VLOOKUP(LEFT($M983,1),B978:I985,8,FALSE),""))</f>
        <v/>
      </c>
      <c r="Q983" s="341" t="s">
        <v>276</v>
      </c>
      <c r="R983" s="146" t="str">
        <f t="shared" si="875"/>
        <v/>
      </c>
      <c r="S983" s="927"/>
      <c r="T983" s="927"/>
      <c r="U983" s="353" t="str">
        <f>IF(LEN($S983)=1,VLOOKUP(LEFT($S983,1),B978:I985,5,FALSE),IF(LEN($S983)=2,VLOOKUP(LEFT($S983,1),B978:I985,7,FALSE),""))</f>
        <v/>
      </c>
      <c r="V983" s="373" t="str">
        <f>IF(LEN($S983)=1,VLOOKUP(LEFT($S983,1),B978:I985,6,FALSE),IF(LEN($S983)=2,VLOOKUP(LEFT($S983,1),B978:I985,8,FALSE),""))</f>
        <v/>
      </c>
      <c r="W983" s="417">
        <f t="shared" si="882"/>
        <v>3</v>
      </c>
      <c r="Y983" s="417">
        <v>32</v>
      </c>
      <c r="Z983" s="16">
        <f t="shared" si="876"/>
        <v>0</v>
      </c>
      <c r="AA983" s="146">
        <f t="shared" si="877"/>
        <v>0</v>
      </c>
      <c r="AB983" s="32"/>
      <c r="AC983" s="16" t="str">
        <f t="shared" si="878"/>
        <v>D</v>
      </c>
      <c r="AD983" s="419" t="str">
        <f t="shared" si="878"/>
        <v>Stratford</v>
      </c>
      <c r="AE983" s="419">
        <f>IF(ISNA(MATCH(AC983,N978:N987,0)),0,VLOOKUP(AC983,N978:S987,5,FALSE))</f>
        <v>0</v>
      </c>
      <c r="AF983" s="419" t="str">
        <f>IF(ISNA(MATCH(AC983,T978:T987,0))," ",VLOOKUP(AC983,T978:Y987,5,FALSE))</f>
        <v xml:space="preserve"> </v>
      </c>
      <c r="AG983" s="419" t="str">
        <f>IF(ISNA(MATCH(AC983,L978:L985,0)),0,VLOOKUP(AC983,L978:N985,3,FALSE))</f>
        <v>5.37.6</v>
      </c>
      <c r="AH983" s="419">
        <f>IF(ISNA(MATCH(AC983,R978:R985,0)),0,VLOOKUP(AC983,R978:T985,3,FALSE))</f>
        <v>0</v>
      </c>
      <c r="AI983" s="419">
        <f>IF(ISNA(MATCH(AC983,L978:L985,0)),0,VLOOKUP(AC983,L978:P985,4,FALSE))</f>
        <v>152</v>
      </c>
      <c r="AJ983" s="419">
        <f>IF(ISNA(MATCH(AC983,R978:R985,0)),0,VLOOKUP(AC983,R978:U985,4,FALSE))</f>
        <v>0</v>
      </c>
      <c r="AK983" s="32">
        <f t="shared" si="879"/>
        <v>1</v>
      </c>
      <c r="AL983" s="32">
        <f t="shared" si="880"/>
        <v>0</v>
      </c>
      <c r="AM983" s="32">
        <f>IF(ISNA(MATCH(AC983,L978:L985,0)),0,VLOOKUP(AC983,L978:W985,AM$1,FALSE))</f>
        <v>8</v>
      </c>
      <c r="AN983" s="146">
        <f>IF(ISNA(MATCH(AC983,R978:R985,0)),0,VLOOKUP(AC983,R978:W985,AN$1,FALSE))</f>
        <v>0</v>
      </c>
      <c r="AP983" s="927"/>
      <c r="AQ983" s="927"/>
    </row>
    <row r="984" spans="1:47" ht="15.6" x14ac:dyDescent="0.3">
      <c r="A984" s="417">
        <f t="shared" si="881"/>
        <v>887</v>
      </c>
      <c r="B984" s="362" t="str">
        <f>'Event Details'!D$28</f>
        <v>F</v>
      </c>
      <c r="C984" s="381" t="str">
        <f>'Event Details'!E$28</f>
        <v>Tamworth</v>
      </c>
      <c r="D984" s="379"/>
      <c r="E984" s="378"/>
      <c r="F984" s="363">
        <f>VLOOKUP($B977,IF($H977="F",TeamSheetFemale,TeamSheetMale),$Y984-1,FALSE)</f>
        <v>0</v>
      </c>
      <c r="G984" s="380">
        <f>VLOOKUP($B977,IF($H977="F",TeamSheetFemale,TeamSheetMale),$Y984,FALSE)</f>
        <v>0</v>
      </c>
      <c r="H984" s="363">
        <f>VLOOKUP($B977,IF($H977="F",TeamSheetFemale,TeamSheetMale),$Y984+1,FALSE)</f>
        <v>0</v>
      </c>
      <c r="I984" s="364">
        <f>VLOOKUP($B977,IF($H977="F",TeamSheetFemale,TeamSheetMale),$Y984+2,FALSE)</f>
        <v>0</v>
      </c>
      <c r="K984" s="341" t="s">
        <v>277</v>
      </c>
      <c r="L984" s="16" t="str">
        <f t="shared" si="874"/>
        <v/>
      </c>
      <c r="M984" s="931"/>
      <c r="N984" s="927"/>
      <c r="O984" s="353" t="str">
        <f>IF(LEN($M984)=1,VLOOKUP(LEFT($M984,1),B978:I985,5,FALSE),IF(LEN($M984)=2,VLOOKUP(LEFT($M984,1),B978:I985,7,FALSE),""))</f>
        <v/>
      </c>
      <c r="P984" s="373" t="str">
        <f>IF(LEN($M984)=1,VLOOKUP(LEFT($M984,1),B978:I985,6,FALSE),IF(LEN($M984)=2,VLOOKUP(LEFT($M984,1),B978:I985,8,FALSE),""))</f>
        <v/>
      </c>
      <c r="Q984" s="341" t="s">
        <v>277</v>
      </c>
      <c r="R984" s="146" t="str">
        <f t="shared" si="875"/>
        <v/>
      </c>
      <c r="S984" s="931"/>
      <c r="T984" s="927"/>
      <c r="U984" s="353" t="str">
        <f>IF(LEN($S984)=1,VLOOKUP(LEFT($S984,1),B978:I985,5,FALSE),IF(LEN($S984)=2,VLOOKUP(LEFT($S984,1),B978:I985,7,FALSE),""))</f>
        <v/>
      </c>
      <c r="V984" s="373" t="str">
        <f>IF(LEN($S984)=1,VLOOKUP(LEFT($S984,1),B978:I985,6,FALSE),IF(LEN($S984)=2,VLOOKUP(LEFT($S984,1),B978:I985,8,FALSE),""))</f>
        <v/>
      </c>
      <c r="W984" s="417">
        <f t="shared" si="882"/>
        <v>2</v>
      </c>
      <c r="Y984" s="417">
        <v>37</v>
      </c>
      <c r="Z984" s="16">
        <f t="shared" si="876"/>
        <v>0</v>
      </c>
      <c r="AA984" s="146">
        <f t="shared" si="877"/>
        <v>0</v>
      </c>
      <c r="AB984" s="32"/>
      <c r="AC984" s="16" t="str">
        <f t="shared" si="878"/>
        <v>F</v>
      </c>
      <c r="AD984" s="419" t="str">
        <f t="shared" si="878"/>
        <v>Tamworth</v>
      </c>
      <c r="AE984" s="419">
        <f>IF(ISNA(MATCH(AC984,N976:N985,0)),0,VLOOKUP(AC984,N976:S985,5,FALSE))</f>
        <v>0</v>
      </c>
      <c r="AF984" s="419" t="str">
        <f>IF(ISNA(MATCH(AC984,T976:T985,0))," ",VLOOKUP(AC984,T976:Y985,5,FALSE))</f>
        <v xml:space="preserve"> </v>
      </c>
      <c r="AG984" s="419">
        <f>IF(ISNA(MATCH(AC984,L978:L985,0)),0,VLOOKUP(AC984,L978:N985,3,FALSE))</f>
        <v>0</v>
      </c>
      <c r="AH984" s="419">
        <f>IF(ISNA(MATCH(AC984,R978:R985,0)),0,VLOOKUP(AC984,R978:T985,3,FALSE))</f>
        <v>0</v>
      </c>
      <c r="AI984" s="419">
        <f>IF(ISNA(MATCH(AC984,L978:L985,0)),0,VLOOKUP(AC984,L978:P985,4,FALSE))</f>
        <v>0</v>
      </c>
      <c r="AJ984" s="419">
        <f>IF(ISNA(MATCH(AC984,R978:R985,0)),0,VLOOKUP(AC984,R978:U985,4,FALSE))</f>
        <v>0</v>
      </c>
      <c r="AK984" s="32">
        <f t="shared" si="879"/>
        <v>0</v>
      </c>
      <c r="AL984" s="32">
        <f t="shared" si="880"/>
        <v>0</v>
      </c>
      <c r="AM984" s="32">
        <f>IF(ISNA(MATCH(AC984,L978:L985,0)),0,VLOOKUP(AC984,L978:W985,AM$1,FALSE))</f>
        <v>0</v>
      </c>
      <c r="AN984" s="146">
        <f>IF(ISNA(MATCH(AC984,R978:R985,0)),0,VLOOKUP(AC984,R978:W985,AN$1,FALSE))</f>
        <v>0</v>
      </c>
      <c r="AP984" s="931"/>
      <c r="AQ984" s="927"/>
    </row>
    <row r="985" spans="1:47" ht="16.2" thickBot="1" x14ac:dyDescent="0.35">
      <c r="A985" s="418">
        <f t="shared" si="881"/>
        <v>888</v>
      </c>
      <c r="B985" s="365" t="str">
        <f>'Event Details'!D$29</f>
        <v>Y</v>
      </c>
      <c r="C985" s="366" t="str">
        <f>'Event Details'!E$29</f>
        <v>Worcester</v>
      </c>
      <c r="D985" s="361"/>
      <c r="E985" s="370"/>
      <c r="F985" s="367">
        <f>VLOOKUP($B977,IF($H977="F",TeamSheetFemale,TeamSheetMale),$Y985-1,FALSE)</f>
        <v>0</v>
      </c>
      <c r="G985" s="368">
        <f>VLOOKUP($B977,IF($H977="F",TeamSheetFemale,TeamSheetMale),$Y985,FALSE)</f>
        <v>0</v>
      </c>
      <c r="H985" s="367">
        <f>VLOOKUP($B977,IF($H977="F",TeamSheetFemale,TeamSheetMale),$Y985+1,FALSE)</f>
        <v>0</v>
      </c>
      <c r="I985" s="369">
        <f>VLOOKUP($B977,IF($H977="F",TeamSheetFemale,TeamSheetMale),$Y985+2,FALSE)</f>
        <v>0</v>
      </c>
      <c r="K985" s="346" t="s">
        <v>278</v>
      </c>
      <c r="L985" s="25" t="str">
        <f t="shared" si="874"/>
        <v/>
      </c>
      <c r="M985" s="928"/>
      <c r="N985" s="932"/>
      <c r="O985" s="375" t="str">
        <f>IF(LEN($M985)=1,VLOOKUP(LEFT($M985,1),B978:I985,5,FALSE),IF(LEN($M985)=2,VLOOKUP(LEFT($M985,1),B978:I985,7,FALSE),""))</f>
        <v/>
      </c>
      <c r="P985" s="376" t="str">
        <f>IF(LEN($M985)=1,VLOOKUP(LEFT($M985,1),B978:I985,6,FALSE),IF(LEN($M985)=2,VLOOKUP(LEFT($M985,1),B978:I985,8,FALSE),""))</f>
        <v/>
      </c>
      <c r="Q985" s="346" t="s">
        <v>278</v>
      </c>
      <c r="R985" s="523" t="str">
        <f t="shared" si="875"/>
        <v/>
      </c>
      <c r="S985" s="928"/>
      <c r="T985" s="932"/>
      <c r="U985" s="375" t="str">
        <f>IF(LEN($S985)=1,VLOOKUP(LEFT($S985,1),B978:I985,5,FALSE),IF(LEN($S985)=2,VLOOKUP(LEFT($S985,1),B978:I985,7,FALSE),""))</f>
        <v/>
      </c>
      <c r="V985" s="376" t="str">
        <f>IF(LEN($S985)=1,VLOOKUP(LEFT($S985,1),B978:I985,6,FALSE),IF(LEN($S985)=2,VLOOKUP(LEFT($S985,1),B978:I985,8,FALSE),""))</f>
        <v/>
      </c>
      <c r="W985" s="418">
        <f t="shared" si="882"/>
        <v>1</v>
      </c>
      <c r="Y985" s="418">
        <v>42</v>
      </c>
      <c r="Z985" s="25">
        <f t="shared" si="876"/>
        <v>0</v>
      </c>
      <c r="AA985" s="523">
        <f t="shared" si="877"/>
        <v>0</v>
      </c>
      <c r="AB985" s="32"/>
      <c r="AC985" s="25" t="str">
        <f t="shared" si="878"/>
        <v>Y</v>
      </c>
      <c r="AD985" s="624" t="str">
        <f t="shared" si="878"/>
        <v>Worcester</v>
      </c>
      <c r="AE985" s="624">
        <f>IF(ISNA(MATCH(AC985,N977:N986,0)),0,VLOOKUP(AC985,N977:S986,5,FALSE))</f>
        <v>0</v>
      </c>
      <c r="AF985" s="624" t="str">
        <f t="shared" ref="AF985" si="883">IF(ISNA(MATCH(AC985,T977:T986,0))," ",VLOOKUP(AC985,T977:Y986,5,FALSE))</f>
        <v xml:space="preserve"> </v>
      </c>
      <c r="AG985" s="624">
        <f>IF(ISNA(MATCH(AC985,L978:L985,0)),0,VLOOKUP(AC985,L978:N985,3,FALSE))</f>
        <v>0</v>
      </c>
      <c r="AH985" s="624">
        <f>IF(ISNA(MATCH(AC985,R978:R985,0)),0,VLOOKUP(AC985,R978:T985,3,FALSE))</f>
        <v>0</v>
      </c>
      <c r="AI985" s="624">
        <f>IF(ISNA(MATCH(AC985,L978:L985,0)),0,VLOOKUP(AC985,L978:P985,4,FALSE))</f>
        <v>0</v>
      </c>
      <c r="AJ985" s="624">
        <f>IF(ISNA(MATCH(AC985,R978:R985,0)),0,VLOOKUP(AC985,R978:U985,4,FALSE))</f>
        <v>0</v>
      </c>
      <c r="AK985" s="116">
        <f t="shared" si="879"/>
        <v>0</v>
      </c>
      <c r="AL985" s="116">
        <f t="shared" si="880"/>
        <v>0</v>
      </c>
      <c r="AM985" s="116">
        <f>IF(ISNA(MATCH(AC985,L978:L985,0)),0,VLOOKUP(AC985,L978:W985,AM$1,FALSE))</f>
        <v>0</v>
      </c>
      <c r="AN985" s="523">
        <f>IF(ISNA(MATCH(AC985,R978:R985,0)),0,VLOOKUP(AC985,R978:W985,AN$1,FALSE))</f>
        <v>0</v>
      </c>
      <c r="AP985" s="928"/>
      <c r="AQ985" s="932"/>
    </row>
    <row r="986" spans="1:47" ht="15" thickBot="1" x14ac:dyDescent="0.35">
      <c r="K986" s="1207" t="s">
        <v>281</v>
      </c>
      <c r="M986" s="276"/>
      <c r="N986" s="307"/>
      <c r="S986" s="276"/>
      <c r="T986" s="307"/>
      <c r="AP986" s="276"/>
      <c r="AQ986" s="307"/>
    </row>
    <row r="987" spans="1:47" x14ac:dyDescent="0.3">
      <c r="B987" s="400" t="s">
        <v>258</v>
      </c>
      <c r="C987" s="398"/>
      <c r="D987" s="401" t="s">
        <v>165</v>
      </c>
      <c r="E987" s="398"/>
      <c r="F987" s="398"/>
      <c r="G987" s="402" t="s">
        <v>259</v>
      </c>
      <c r="H987" s="403" t="s">
        <v>249</v>
      </c>
      <c r="I987" s="404" t="s">
        <v>168</v>
      </c>
      <c r="K987" s="360"/>
      <c r="L987" s="661"/>
      <c r="M987" s="387" t="s">
        <v>260</v>
      </c>
      <c r="N987" s="387" t="s">
        <v>261</v>
      </c>
      <c r="O987" s="387" t="s">
        <v>262</v>
      </c>
      <c r="P987" s="388" t="s">
        <v>75</v>
      </c>
      <c r="Q987" s="412"/>
      <c r="R987" s="657"/>
      <c r="S987" s="387" t="s">
        <v>260</v>
      </c>
      <c r="T987" s="387" t="s">
        <v>261</v>
      </c>
      <c r="U987" s="387" t="s">
        <v>262</v>
      </c>
      <c r="V987" s="388" t="s">
        <v>75</v>
      </c>
      <c r="W987" s="672" t="s">
        <v>76</v>
      </c>
      <c r="Y987" s="654" t="s">
        <v>263</v>
      </c>
      <c r="Z987" s="656" t="s">
        <v>74</v>
      </c>
      <c r="AA987" s="657" t="s">
        <v>75</v>
      </c>
      <c r="AC987" s="665" t="s">
        <v>71</v>
      </c>
      <c r="AD987" s="657" t="s">
        <v>86</v>
      </c>
      <c r="AE987" s="661" t="s">
        <v>149</v>
      </c>
      <c r="AF987" s="661" t="s">
        <v>94</v>
      </c>
      <c r="AG987" s="661" t="s">
        <v>149</v>
      </c>
      <c r="AH987" s="661" t="s">
        <v>94</v>
      </c>
      <c r="AI987" s="661" t="s">
        <v>149</v>
      </c>
      <c r="AJ987" s="661" t="s">
        <v>94</v>
      </c>
      <c r="AK987" s="1332" t="s">
        <v>149</v>
      </c>
      <c r="AL987" s="661" t="s">
        <v>94</v>
      </c>
      <c r="AM987" s="1406" t="s">
        <v>76</v>
      </c>
      <c r="AN987" s="1407"/>
      <c r="AP987" s="387" t="s">
        <v>260</v>
      </c>
      <c r="AQ987" s="387" t="s">
        <v>261</v>
      </c>
      <c r="AS987" s="1218" t="s">
        <v>165</v>
      </c>
      <c r="AT987" s="1219" t="s">
        <v>79</v>
      </c>
      <c r="AU987" s="1220" t="s">
        <v>80</v>
      </c>
    </row>
    <row r="988" spans="1:47" ht="15" thickBot="1" x14ac:dyDescent="0.35">
      <c r="B988" s="405">
        <v>89</v>
      </c>
      <c r="C988" s="399"/>
      <c r="D988" s="385" t="str">
        <f>VLOOKUP($B988,EventOrder,6,FALSE)</f>
        <v>1500m U16 Female</v>
      </c>
      <c r="E988" s="399"/>
      <c r="F988" s="385"/>
      <c r="G988" s="386" t="str">
        <f>VLOOKUP($B988,EventOrder,4,FALSE)</f>
        <v>U16 Female</v>
      </c>
      <c r="H988" s="396" t="str">
        <f>IF(MID(G988,5,1)="F","F","M")</f>
        <v>F</v>
      </c>
      <c r="I988" s="397">
        <f>VLOOKUP($B988,EventOrder,2,FALSE)</f>
        <v>11.1</v>
      </c>
      <c r="K988" s="372"/>
      <c r="L988" s="667" t="s">
        <v>149</v>
      </c>
      <c r="M988" s="409" t="s">
        <v>264</v>
      </c>
      <c r="N988" s="409" t="s">
        <v>265</v>
      </c>
      <c r="O988" s="409" t="s">
        <v>266</v>
      </c>
      <c r="P988" s="408"/>
      <c r="Q988" s="413"/>
      <c r="R988" s="659" t="s">
        <v>94</v>
      </c>
      <c r="S988" s="409" t="s">
        <v>264</v>
      </c>
      <c r="T988" s="409" t="s">
        <v>265</v>
      </c>
      <c r="U988" s="409" t="s">
        <v>266</v>
      </c>
      <c r="V988" s="408"/>
      <c r="W988" s="671"/>
      <c r="Y988" s="655" t="s">
        <v>167</v>
      </c>
      <c r="Z988" s="658" t="s">
        <v>149</v>
      </c>
      <c r="AA988" s="659" t="s">
        <v>94</v>
      </c>
      <c r="AC988" s="666"/>
      <c r="AD988" s="668"/>
      <c r="AE988" s="768" t="s">
        <v>75</v>
      </c>
      <c r="AF988" s="768" t="s">
        <v>75</v>
      </c>
      <c r="AG988" s="768" t="s">
        <v>267</v>
      </c>
      <c r="AH988" s="768" t="s">
        <v>267</v>
      </c>
      <c r="AI988" s="768" t="s">
        <v>268</v>
      </c>
      <c r="AJ988" s="768" t="s">
        <v>268</v>
      </c>
      <c r="AK988" s="770" t="s">
        <v>269</v>
      </c>
      <c r="AL988" s="768" t="s">
        <v>269</v>
      </c>
      <c r="AM988" s="667" t="s">
        <v>149</v>
      </c>
      <c r="AN988" s="659" t="s">
        <v>94</v>
      </c>
      <c r="AP988" s="409" t="s">
        <v>264</v>
      </c>
      <c r="AQ988" s="409" t="s">
        <v>265</v>
      </c>
      <c r="AS988" s="1221" t="s">
        <v>270</v>
      </c>
      <c r="AT988" s="1222" t="s">
        <v>270</v>
      </c>
      <c r="AU988" s="1223" t="s">
        <v>270</v>
      </c>
    </row>
    <row r="989" spans="1:47" ht="15.6" x14ac:dyDescent="0.3">
      <c r="A989" s="416">
        <f>(B988*10)+1</f>
        <v>891</v>
      </c>
      <c r="B989" s="362" t="str">
        <f>'Event Details'!D$22</f>
        <v>S</v>
      </c>
      <c r="C989" s="381" t="str">
        <f>'Event Details'!E$22</f>
        <v>BRAT</v>
      </c>
      <c r="D989" s="379"/>
      <c r="E989" s="378"/>
      <c r="F989" s="363">
        <f>VLOOKUP($B988,IF($H988="F",TeamSheetFemale,TeamSheetMale),$Y989-1,FALSE)</f>
        <v>0</v>
      </c>
      <c r="G989" s="380">
        <f>VLOOKUP($B988,IF($H988="F",TeamSheetFemale,TeamSheetMale),$Y989,FALSE)</f>
        <v>0</v>
      </c>
      <c r="H989" s="363">
        <f>VLOOKUP($B988,IF($H988="F",TeamSheetFemale,TeamSheetMale),$Y989+1,FALSE)</f>
        <v>0</v>
      </c>
      <c r="I989" s="364">
        <f>VLOOKUP($B988,IF($H988="F",TeamSheetFemale,TeamSheetMale),$Y989+2,FALSE)</f>
        <v>0</v>
      </c>
      <c r="K989" s="393" t="s">
        <v>271</v>
      </c>
      <c r="L989" s="16" t="str">
        <f t="shared" ref="L989:L996" si="884">LEFT(M989,1)</f>
        <v/>
      </c>
      <c r="M989" s="926"/>
      <c r="N989" s="926"/>
      <c r="O989" s="394" t="str">
        <f>IF(LEN($M989)=1,VLOOKUP(LEFT($M989,1),B989:I996,5,FALSE),IF(LEN($M989)=2,VLOOKUP(LEFT($M989,1),B989:I996,7,FALSE),""))</f>
        <v/>
      </c>
      <c r="P989" s="395" t="str">
        <f>IF(LEN($M989)=1,VLOOKUP(LEFT($M989,1),B989:I996,6,FALSE),IF(LEN($M989)=2,VLOOKUP(LEFT($M989,1),B989:I996,8,FALSE),""))</f>
        <v/>
      </c>
      <c r="Q989" s="406" t="s">
        <v>271</v>
      </c>
      <c r="R989" s="146" t="str">
        <f t="shared" ref="R989:R996" si="885">LEFT(S989,1)</f>
        <v/>
      </c>
      <c r="S989" s="926"/>
      <c r="T989" s="926"/>
      <c r="U989" s="394" t="str">
        <f>IF(LEN($S989)=1,VLOOKUP(LEFT($S989,1),B989:I996,5,FALSE),IF(LEN($S989)=2,VLOOKUP(LEFT($S989,1),B989:I996,7,FALSE),""))</f>
        <v/>
      </c>
      <c r="V989" s="395" t="str">
        <f>IF(LEN($S989)=1,VLOOKUP(LEFT($S989,1),B989:I996,6,FALSE),IF(LEN($S989)=2,VLOOKUP(LEFT($S989,1),B989:I996,8,FALSE),""))</f>
        <v/>
      </c>
      <c r="W989" s="417">
        <f>AN$6</f>
        <v>8</v>
      </c>
      <c r="Y989" s="653">
        <v>7</v>
      </c>
      <c r="Z989" s="653">
        <f t="shared" ref="Z989:Z996" si="886">IF(LEN(M989)&gt;0,VLOOKUP(LEFT(M989,1),ShortName,5,FALSE),0)</f>
        <v>0</v>
      </c>
      <c r="AA989" s="138">
        <f t="shared" ref="AA989:AA996" si="887">IF(LEN(S989)&gt;0,VLOOKUP(LEFT(S989,1),ShortName,5,FALSE),0)</f>
        <v>0</v>
      </c>
      <c r="AC989" s="16" t="str">
        <f t="shared" ref="AC989:AD996" si="888">B989</f>
        <v>S</v>
      </c>
      <c r="AD989" s="419" t="str">
        <f t="shared" si="888"/>
        <v>BRAT</v>
      </c>
      <c r="AE989" s="635">
        <f>IF(ISNA(MATCH(AC989,N989:N998,0)),0,VLOOKUP(AC989,N989:S998,5,FALSE))</f>
        <v>0</v>
      </c>
      <c r="AF989" s="635" t="str">
        <f>IF(ISNA(MATCH(AC989,T989:T998,0))," ",VLOOKUP(AC989,T989:Y998,5,FALSE))</f>
        <v xml:space="preserve"> </v>
      </c>
      <c r="AG989" s="635">
        <f>IF(ISNA(MATCH(AC989,L989:L996,0)),0,VLOOKUP(AC989,L989:N996,3,FALSE))</f>
        <v>0</v>
      </c>
      <c r="AH989" s="635">
        <f>IF(ISNA(MATCH(AC989,R989:R996,0)),0,VLOOKUP(AC989,R989:T996,3,FALSE))</f>
        <v>0</v>
      </c>
      <c r="AI989" s="635">
        <f>IF(ISNA(MATCH(AC989,L989:L996,0)),0,VLOOKUP(AC989,L989:P996,4,FALSE))</f>
        <v>0</v>
      </c>
      <c r="AJ989" s="635">
        <f>IF(ISNA(MATCH(AC989,R989:R996,0)),0,VLOOKUP(AC989,R989:U996,4,FALSE))</f>
        <v>0</v>
      </c>
      <c r="AK989" s="49">
        <f t="shared" ref="AK989:AK996" si="889">IF(AM989=0,0,AN$6-(AM989-1))</f>
        <v>0</v>
      </c>
      <c r="AL989" s="49">
        <f t="shared" ref="AL989:AL996" si="890">IF(AN989=0,0,AN$6-(AN989-1))</f>
        <v>0</v>
      </c>
      <c r="AM989" s="49">
        <f>IF(ISNA(MATCH(AC989,L989:L996,0)),0,VLOOKUP(AC989,L989:W996,AM$1,FALSE))</f>
        <v>0</v>
      </c>
      <c r="AN989" s="138">
        <f>IF(ISNA(MATCH(AC989,R989:R996,0)),0,VLOOKUP(AC989,R989:W996,AN$1,FALSE))</f>
        <v>0</v>
      </c>
      <c r="AP989" s="926"/>
      <c r="AQ989" s="926"/>
      <c r="AS989" s="32">
        <f>IF(LEN(N989)&gt;0,1,0)</f>
        <v>0</v>
      </c>
      <c r="AT989" s="32">
        <f>IF(AND(AS989=1,H988="M"),1,0)</f>
        <v>0</v>
      </c>
      <c r="AU989" s="32">
        <f>IF(AND(AS989=1,H988="F"),1,0)</f>
        <v>0</v>
      </c>
    </row>
    <row r="990" spans="1:47" ht="15.6" x14ac:dyDescent="0.3">
      <c r="A990" s="417">
        <f>A989+1</f>
        <v>892</v>
      </c>
      <c r="B990" s="362" t="str">
        <f>'Event Details'!D$23</f>
        <v>U</v>
      </c>
      <c r="C990" s="381" t="str">
        <f>'Event Details'!E$23</f>
        <v>Kidder &amp; Stourport</v>
      </c>
      <c r="D990" s="379"/>
      <c r="E990" s="378"/>
      <c r="F990" s="363">
        <f>VLOOKUP($B988,IF($H988="F",TeamSheetFemale,TeamSheetMale),$Y990-1,FALSE)</f>
        <v>0</v>
      </c>
      <c r="G990" s="380">
        <f>VLOOKUP($B988,IF($H988="F",TeamSheetFemale,TeamSheetMale),$Y990,FALSE)</f>
        <v>0</v>
      </c>
      <c r="H990" s="363">
        <f>VLOOKUP($B988,IF($H988="F",TeamSheetFemale,TeamSheetMale),$Y990+1,FALSE)</f>
        <v>0</v>
      </c>
      <c r="I990" s="364">
        <f>VLOOKUP($B988,IF($H988="F",TeamSheetFemale,TeamSheetMale),$Y990+2,FALSE)</f>
        <v>0</v>
      </c>
      <c r="K990" s="341" t="s">
        <v>272</v>
      </c>
      <c r="L990" s="16" t="str">
        <f t="shared" si="884"/>
        <v/>
      </c>
      <c r="M990" s="927"/>
      <c r="N990" s="927"/>
      <c r="O990" s="354" t="str">
        <f>IF(LEN($M990)=1,VLOOKUP(LEFT($M990,1),B989:I996,5,FALSE),IF(LEN($M990)=2,VLOOKUP(LEFT($M990,1),B989:I996,7,FALSE),""))</f>
        <v/>
      </c>
      <c r="P990" s="410" t="str">
        <f>IF(LEN($M990)=1,VLOOKUP(LEFT($M990,1),B989:I996,6,FALSE),IF(LEN($M990)=2,VLOOKUP(LEFT($M990,1),B989:I996,8,FALSE),""))</f>
        <v/>
      </c>
      <c r="Q990" s="371" t="s">
        <v>272</v>
      </c>
      <c r="R990" s="146" t="str">
        <f t="shared" si="885"/>
        <v/>
      </c>
      <c r="S990" s="927"/>
      <c r="T990" s="927"/>
      <c r="U990" s="354" t="str">
        <f>IF(LEN($S990)=1,VLOOKUP(LEFT($S990,1),B989:I996,5,FALSE),IF(LEN($S990)=2,VLOOKUP(LEFT($S990,1),B989:I996,7,FALSE),""))</f>
        <v/>
      </c>
      <c r="V990" s="410" t="str">
        <f>IF(LEN($S990)=1,VLOOKUP(LEFT($S990,1),B989:I996,6,FALSE),IF(LEN($S990)=2,VLOOKUP(LEFT($S990,1),B989:I996,8,FALSE),""))</f>
        <v/>
      </c>
      <c r="W990" s="417">
        <f>W989-1</f>
        <v>7</v>
      </c>
      <c r="Y990" s="16">
        <v>12</v>
      </c>
      <c r="Z990" s="16">
        <f t="shared" si="886"/>
        <v>0</v>
      </c>
      <c r="AA990" s="146">
        <f t="shared" si="887"/>
        <v>0</v>
      </c>
      <c r="AC990" s="16" t="str">
        <f t="shared" si="888"/>
        <v>U</v>
      </c>
      <c r="AD990" s="419" t="str">
        <f t="shared" si="888"/>
        <v>Kidder &amp; Stourport</v>
      </c>
      <c r="AE990" s="419">
        <f>IF(ISNA(MATCH(AC990,N989:N998,0)),0,VLOOKUP(AC990,N989:S998,5,FALSE))</f>
        <v>0</v>
      </c>
      <c r="AF990" s="419" t="str">
        <f>IF(ISNA(MATCH(AC990,T989:T998,0))," ",VLOOKUP(AC990,T989:Y998,5,FALSE))</f>
        <v xml:space="preserve"> </v>
      </c>
      <c r="AG990" s="419">
        <f>IF(ISNA(MATCH(AC990,L989:L996,0)),0,VLOOKUP(AC990,L989:N996,3,FALSE))</f>
        <v>0</v>
      </c>
      <c r="AH990" s="419">
        <f>IF(ISNA(MATCH(AC990,R989:R996,0)),0,VLOOKUP(AC990,R989:T996,3,FALSE))</f>
        <v>0</v>
      </c>
      <c r="AI990" s="419">
        <f>IF(ISNA(MATCH(AC990,L989:L996,0)),0,VLOOKUP(AC990,L989:P996,4,FALSE))</f>
        <v>0</v>
      </c>
      <c r="AJ990" s="419">
        <f>IF(ISNA(MATCH(AC990,R989:R996,0)),0,VLOOKUP(AC990,R989:U996,4,FALSE))</f>
        <v>0</v>
      </c>
      <c r="AK990" s="32">
        <f t="shared" si="889"/>
        <v>0</v>
      </c>
      <c r="AL990" s="32">
        <f t="shared" si="890"/>
        <v>0</v>
      </c>
      <c r="AM990" s="32">
        <f>IF(ISNA(MATCH(AC990,L989:L996,0)),0,VLOOKUP(AC990,L989:W996,AM$1,FALSE))</f>
        <v>0</v>
      </c>
      <c r="AN990" s="146">
        <f>IF(ISNA(MATCH(AC990,R989:R996,0)),0,VLOOKUP(AC990,R989:W996,AN$1,FALSE))</f>
        <v>0</v>
      </c>
      <c r="AP990" s="927"/>
      <c r="AQ990" s="927"/>
    </row>
    <row r="991" spans="1:47" ht="15.6" x14ac:dyDescent="0.3">
      <c r="A991" s="417">
        <f t="shared" ref="A991:A996" si="891">A990+1</f>
        <v>893</v>
      </c>
      <c r="B991" s="362" t="str">
        <f>'Event Details'!D$24</f>
        <v>G</v>
      </c>
      <c r="C991" s="381" t="str">
        <f>'Event Details'!E$24</f>
        <v>Royal Sutton</v>
      </c>
      <c r="D991" s="379"/>
      <c r="E991" s="378"/>
      <c r="F991" s="363">
        <f>VLOOKUP($B988,IF($H988="F",TeamSheetFemale,TeamSheetMale),$Y991-1,FALSE)</f>
        <v>0</v>
      </c>
      <c r="G991" s="380">
        <f>VLOOKUP($B988,IF($H988="F",TeamSheetFemale,TeamSheetMale),$Y991,FALSE)</f>
        <v>0</v>
      </c>
      <c r="H991" s="363">
        <f>VLOOKUP($B988,IF($H988="F",TeamSheetFemale,TeamSheetMale),$Y991+1,FALSE)</f>
        <v>0</v>
      </c>
      <c r="I991" s="364">
        <f>VLOOKUP($B988,IF($H988="F",TeamSheetFemale,TeamSheetMale),$Y991+2,FALSE)</f>
        <v>0</v>
      </c>
      <c r="K991" s="341" t="s">
        <v>273</v>
      </c>
      <c r="L991" s="16" t="str">
        <f t="shared" si="884"/>
        <v/>
      </c>
      <c r="M991" s="927"/>
      <c r="N991" s="927"/>
      <c r="O991" s="354" t="str">
        <f>IF(LEN($M991)=1,VLOOKUP(LEFT($M991,1),B989:I996,5,FALSE),IF(LEN($M991)=2,VLOOKUP(LEFT($M991,1),B989:I996,7,FALSE),""))</f>
        <v/>
      </c>
      <c r="P991" s="410" t="str">
        <f>IF(LEN($M991)=1,VLOOKUP(LEFT($M991,1),B989:I996,6,FALSE),IF(LEN($M991)=2,VLOOKUP(LEFT($M991,1),B989:I996,8,FALSE),""))</f>
        <v/>
      </c>
      <c r="Q991" s="371" t="s">
        <v>273</v>
      </c>
      <c r="R991" s="146" t="str">
        <f t="shared" si="885"/>
        <v/>
      </c>
      <c r="S991" s="927"/>
      <c r="T991" s="927"/>
      <c r="U991" s="354" t="str">
        <f>IF(LEN($S991)=1,VLOOKUP(LEFT($S991,1),B989:I996,5,FALSE),IF(LEN($S991)=2,VLOOKUP(LEFT($S991,1),B989:I996,7,FALSE),""))</f>
        <v/>
      </c>
      <c r="V991" s="410" t="str">
        <f>IF(LEN($S991)=1,VLOOKUP(LEFT($S991,1),B989:I996,6,FALSE),IF(LEN($S991)=2,VLOOKUP(LEFT($S991,1),B989:I996,8,FALSE),""))</f>
        <v/>
      </c>
      <c r="W991" s="417">
        <f t="shared" ref="W991:W996" si="892">W990-1</f>
        <v>6</v>
      </c>
      <c r="Y991" s="16">
        <v>17</v>
      </c>
      <c r="Z991" s="16">
        <f t="shared" si="886"/>
        <v>0</v>
      </c>
      <c r="AA991" s="146">
        <f t="shared" si="887"/>
        <v>0</v>
      </c>
      <c r="AC991" s="16" t="str">
        <f t="shared" si="888"/>
        <v>G</v>
      </c>
      <c r="AD991" s="419" t="str">
        <f t="shared" si="888"/>
        <v>Royal Sutton</v>
      </c>
      <c r="AE991" s="419">
        <f>IF(ISNA(MATCH(AC991,N989:N998,0)),0,VLOOKUP(AC991,N989:S998,5,FALSE))</f>
        <v>0</v>
      </c>
      <c r="AF991" s="419" t="str">
        <f>IF(ISNA(MATCH(AC991,T989:T998,0))," ",VLOOKUP(AC991,T989:Y998,5,FALSE))</f>
        <v xml:space="preserve"> </v>
      </c>
      <c r="AG991" s="419">
        <f>IF(ISNA(MATCH(AC991,L989:L996,0)),0,VLOOKUP(AC991,L989:N996,3,FALSE))</f>
        <v>0</v>
      </c>
      <c r="AH991" s="419">
        <f>IF(ISNA(MATCH(AC991,R989:R996,0)),0,VLOOKUP(AC991,R989:T996,3,FALSE))</f>
        <v>0</v>
      </c>
      <c r="AI991" s="419">
        <f>IF(ISNA(MATCH(AC991,L989:L996,0)),0,VLOOKUP(AC991,L989:P996,4,FALSE))</f>
        <v>0</v>
      </c>
      <c r="AJ991" s="419">
        <f>IF(ISNA(MATCH(AC991,R989:R996,0)),0,VLOOKUP(AC991,R989:U996,4,FALSE))</f>
        <v>0</v>
      </c>
      <c r="AK991" s="32">
        <f t="shared" si="889"/>
        <v>0</v>
      </c>
      <c r="AL991" s="32">
        <f t="shared" si="890"/>
        <v>0</v>
      </c>
      <c r="AM991" s="32">
        <f>IF(ISNA(MATCH(AC991,L989:L996,0)),0,VLOOKUP(AC991,L989:W996,AM$1,FALSE))</f>
        <v>0</v>
      </c>
      <c r="AN991" s="146">
        <f>IF(ISNA(MATCH(AC991,R989:R996,0)),0,VLOOKUP(AC991,R989:W996,AN$1,FALSE))</f>
        <v>0</v>
      </c>
      <c r="AP991" s="927"/>
      <c r="AQ991" s="927"/>
    </row>
    <row r="992" spans="1:47" ht="15.6" x14ac:dyDescent="0.3">
      <c r="A992" s="417">
        <f t="shared" si="891"/>
        <v>894</v>
      </c>
      <c r="B992" s="362" t="str">
        <f>'Event Details'!D$25</f>
        <v>R</v>
      </c>
      <c r="C992" s="381" t="str">
        <f>'Event Details'!E$25</f>
        <v>Rugby &amp; N'hampton</v>
      </c>
      <c r="D992" s="379"/>
      <c r="E992" s="378"/>
      <c r="F992" s="363">
        <f>VLOOKUP($B988,IF($H988="F",TeamSheetFemale,TeamSheetMale),$Y992-1,FALSE)</f>
        <v>0</v>
      </c>
      <c r="G992" s="380">
        <f>VLOOKUP($B988,IF($H988="F",TeamSheetFemale,TeamSheetMale),$Y992,FALSE)</f>
        <v>0</v>
      </c>
      <c r="H992" s="363">
        <f>VLOOKUP($B988,IF($H988="F",TeamSheetFemale,TeamSheetMale),$Y992+1,FALSE)</f>
        <v>0</v>
      </c>
      <c r="I992" s="364">
        <f>VLOOKUP($B988,IF($H988="F",TeamSheetFemale,TeamSheetMale),$Y992+2,FALSE)</f>
        <v>0</v>
      </c>
      <c r="K992" s="341" t="s">
        <v>274</v>
      </c>
      <c r="L992" s="16" t="str">
        <f t="shared" si="884"/>
        <v/>
      </c>
      <c r="M992" s="927"/>
      <c r="N992" s="927"/>
      <c r="O992" s="354" t="str">
        <f>IF(LEN($M992)=1,VLOOKUP(LEFT($M992,1),B989:I996,5,FALSE),IF(LEN($M992)=2,VLOOKUP(LEFT($M992,1),B989:I996,7,FALSE),""))</f>
        <v/>
      </c>
      <c r="P992" s="410" t="str">
        <f>IF(LEN($M992)=1,VLOOKUP(LEFT($M992,1),B989:I996,6,FALSE),IF(LEN($M992)=2,VLOOKUP(LEFT($M992,1),B989:I996,8,FALSE),""))</f>
        <v/>
      </c>
      <c r="Q992" s="371" t="s">
        <v>274</v>
      </c>
      <c r="R992" s="146" t="str">
        <f t="shared" si="885"/>
        <v/>
      </c>
      <c r="S992" s="927"/>
      <c r="T992" s="927"/>
      <c r="U992" s="354" t="str">
        <f>IF(LEN($S992)=1,VLOOKUP(LEFT($S992,1),B989:I996,5,FALSE),IF(LEN($S992)=2,VLOOKUP(LEFT($S992,1),B989:I996,7,FALSE),""))</f>
        <v/>
      </c>
      <c r="V992" s="410" t="str">
        <f>IF(LEN($S992)=1,VLOOKUP(LEFT($S992,1),B989:I996,6,FALSE),IF(LEN($S992)=2,VLOOKUP(LEFT($S992,1),B989:I996,8,FALSE),""))</f>
        <v/>
      </c>
      <c r="W992" s="417">
        <f t="shared" si="892"/>
        <v>5</v>
      </c>
      <c r="Y992" s="16">
        <v>22</v>
      </c>
      <c r="Z992" s="16">
        <f t="shared" si="886"/>
        <v>0</v>
      </c>
      <c r="AA992" s="146">
        <f t="shared" si="887"/>
        <v>0</v>
      </c>
      <c r="AC992" s="16" t="str">
        <f t="shared" si="888"/>
        <v>R</v>
      </c>
      <c r="AD992" s="419" t="str">
        <f t="shared" si="888"/>
        <v>Rugby &amp; N'hampton</v>
      </c>
      <c r="AE992" s="419">
        <f>IF(ISNA(MATCH(AC992,N989:N998,0)),0,VLOOKUP(AC992,N989:S998,5,FALSE))</f>
        <v>0</v>
      </c>
      <c r="AF992" s="419" t="str">
        <f>IF(ISNA(MATCH(AC992,T989:T998,0))," ",VLOOKUP(AC992,T989:Y998,5,FALSE))</f>
        <v xml:space="preserve"> </v>
      </c>
      <c r="AG992" s="419">
        <f>IF(ISNA(MATCH(AC992,L989:L996,0)),0,VLOOKUP(AC992,L989:N996,3,FALSE))</f>
        <v>0</v>
      </c>
      <c r="AH992" s="419">
        <f>IF(ISNA(MATCH(AC992,R989:R996,0)),0,VLOOKUP(AC992,R989:T996,3,FALSE))</f>
        <v>0</v>
      </c>
      <c r="AI992" s="419">
        <f>IF(ISNA(MATCH(AC992,L989:L996,0)),0,VLOOKUP(AC992,L989:P996,4,FALSE))</f>
        <v>0</v>
      </c>
      <c r="AJ992" s="419">
        <f>IF(ISNA(MATCH(AC992,R989:R996,0)),0,VLOOKUP(AC992,R989:U996,4,FALSE))</f>
        <v>0</v>
      </c>
      <c r="AK992" s="32">
        <f t="shared" si="889"/>
        <v>0</v>
      </c>
      <c r="AL992" s="32">
        <f t="shared" si="890"/>
        <v>0</v>
      </c>
      <c r="AM992" s="32">
        <f>IF(ISNA(MATCH(AC992,L989:L996,0)),0,VLOOKUP(AC992,L989:W996,AM$1,FALSE))</f>
        <v>0</v>
      </c>
      <c r="AN992" s="146">
        <f>IF(ISNA(MATCH(AC992,R989:R996,0)),0,VLOOKUP(AC992,R989:W996,AN$1,FALSE))</f>
        <v>0</v>
      </c>
      <c r="AP992" s="927"/>
      <c r="AQ992" s="927"/>
    </row>
    <row r="993" spans="1:47" ht="15.6" x14ac:dyDescent="0.3">
      <c r="A993" s="417">
        <f t="shared" si="891"/>
        <v>895</v>
      </c>
      <c r="B993" s="362" t="str">
        <f>'Event Details'!D$26</f>
        <v>M</v>
      </c>
      <c r="C993" s="381" t="str">
        <f>'Event Details'!E$26</f>
        <v>Solihull &amp; S.Heath</v>
      </c>
      <c r="D993" s="379"/>
      <c r="E993" s="378"/>
      <c r="F993" s="363">
        <f>VLOOKUP($B988,IF($H988="F",TeamSheetFemale,TeamSheetMale),$Y993-1,FALSE)</f>
        <v>0</v>
      </c>
      <c r="G993" s="380">
        <f>VLOOKUP($B988,IF($H988="F",TeamSheetFemale,TeamSheetMale),$Y993,FALSE)</f>
        <v>0</v>
      </c>
      <c r="H993" s="363">
        <f>VLOOKUP($B988,IF($H988="F",TeamSheetFemale,TeamSheetMale),$Y993+1,FALSE)</f>
        <v>0</v>
      </c>
      <c r="I993" s="364">
        <f>VLOOKUP($B988,IF($H988="F",TeamSheetFemale,TeamSheetMale),$Y993+2,FALSE)</f>
        <v>0</v>
      </c>
      <c r="K993" s="341" t="s">
        <v>275</v>
      </c>
      <c r="L993" s="16" t="str">
        <f t="shared" si="884"/>
        <v/>
      </c>
      <c r="M993" s="927"/>
      <c r="N993" s="927"/>
      <c r="O993" s="354" t="str">
        <f>IF(LEN($M993)=1,VLOOKUP(LEFT($M993,1),B989:I996,5,FALSE),IF(LEN($M993)=2,VLOOKUP(LEFT($M993,1),B989:I996,7,FALSE),""))</f>
        <v/>
      </c>
      <c r="P993" s="410" t="str">
        <f>IF(LEN($M993)=1,VLOOKUP(LEFT($M993,1),B989:I996,6,FALSE),IF(LEN($M993)=2,VLOOKUP(LEFT($M993,1),B989:I996,8,FALSE),""))</f>
        <v/>
      </c>
      <c r="Q993" s="371" t="s">
        <v>275</v>
      </c>
      <c r="R993" s="146" t="str">
        <f t="shared" si="885"/>
        <v/>
      </c>
      <c r="S993" s="927"/>
      <c r="T993" s="927"/>
      <c r="U993" s="354" t="str">
        <f>IF(LEN($S993)=1,VLOOKUP(LEFT($S993,1),B989:I996,5,FALSE),IF(LEN($S993)=2,VLOOKUP(LEFT($S993,1),B989:I996,7,FALSE),""))</f>
        <v/>
      </c>
      <c r="V993" s="410" t="str">
        <f>IF(LEN($S993)=1,VLOOKUP(LEFT($S993,1),B989:I996,6,FALSE),IF(LEN($S993)=2,VLOOKUP(LEFT($S993,1),B989:I996,8,FALSE),""))</f>
        <v/>
      </c>
      <c r="W993" s="417">
        <f t="shared" si="892"/>
        <v>4</v>
      </c>
      <c r="Y993" s="16">
        <v>27</v>
      </c>
      <c r="Z993" s="16">
        <f t="shared" si="886"/>
        <v>0</v>
      </c>
      <c r="AA993" s="146">
        <f t="shared" si="887"/>
        <v>0</v>
      </c>
      <c r="AC993" s="16" t="str">
        <f t="shared" si="888"/>
        <v>M</v>
      </c>
      <c r="AD993" s="419" t="str">
        <f t="shared" si="888"/>
        <v>Solihull &amp; S.Heath</v>
      </c>
      <c r="AE993" s="419">
        <f>IF(ISNA(MATCH(AC993,N989:N998,0)),0,VLOOKUP(AC993,N989:S998,5,FALSE))</f>
        <v>0</v>
      </c>
      <c r="AF993" s="419" t="str">
        <f>IF(ISNA(MATCH(AC993,T989:T998,0))," ",VLOOKUP(AC993,T989:Y998,5,FALSE))</f>
        <v xml:space="preserve"> </v>
      </c>
      <c r="AG993" s="419">
        <f>IF(ISNA(MATCH(AC993,L989:L996,0)),0,VLOOKUP(AC993,L989:N996,3,FALSE))</f>
        <v>0</v>
      </c>
      <c r="AH993" s="419">
        <f>IF(ISNA(MATCH(AC993,R989:R996,0)),0,VLOOKUP(AC993,R989:T996,3,FALSE))</f>
        <v>0</v>
      </c>
      <c r="AI993" s="419">
        <f>IF(ISNA(MATCH(AC993,L989:L996,0)),0,VLOOKUP(AC993,L989:P996,4,FALSE))</f>
        <v>0</v>
      </c>
      <c r="AJ993" s="419">
        <f>IF(ISNA(MATCH(AC993,R989:R996,0)),0,VLOOKUP(AC993,R989:U996,4,FALSE))</f>
        <v>0</v>
      </c>
      <c r="AK993" s="32">
        <f t="shared" si="889"/>
        <v>0</v>
      </c>
      <c r="AL993" s="32">
        <f t="shared" si="890"/>
        <v>0</v>
      </c>
      <c r="AM993" s="32">
        <f>IF(ISNA(MATCH(AC993,L989:L996,0)),0,VLOOKUP(AC993,L989:W996,AM$1,FALSE))</f>
        <v>0</v>
      </c>
      <c r="AN993" s="146">
        <f>IF(ISNA(MATCH(AC993,R989:R996,0)),0,VLOOKUP(AC993,R989:W996,AN$1,FALSE))</f>
        <v>0</v>
      </c>
      <c r="AP993" s="927"/>
      <c r="AQ993" s="927"/>
    </row>
    <row r="994" spans="1:47" ht="15.6" x14ac:dyDescent="0.3">
      <c r="A994" s="417">
        <f t="shared" si="891"/>
        <v>896</v>
      </c>
      <c r="B994" s="362" t="str">
        <f>'Event Details'!D$27</f>
        <v>D</v>
      </c>
      <c r="C994" s="381" t="str">
        <f>'Event Details'!E$27</f>
        <v>Stratford</v>
      </c>
      <c r="D994" s="379"/>
      <c r="E994" s="378"/>
      <c r="F994" s="363">
        <f>VLOOKUP($B988,IF($H988="F",TeamSheetFemale,TeamSheetMale),$Y994-1,FALSE)</f>
        <v>0</v>
      </c>
      <c r="G994" s="380">
        <f>VLOOKUP($B988,IF($H988="F",TeamSheetFemale,TeamSheetMale),$Y994,FALSE)</f>
        <v>0</v>
      </c>
      <c r="H994" s="363">
        <f>VLOOKUP($B988,IF($H988="F",TeamSheetFemale,TeamSheetMale),$Y994+1,FALSE)</f>
        <v>0</v>
      </c>
      <c r="I994" s="364">
        <f>VLOOKUP($B988,IF($H988="F",TeamSheetFemale,TeamSheetMale),$Y994+2,FALSE)</f>
        <v>0</v>
      </c>
      <c r="K994" s="341" t="s">
        <v>276</v>
      </c>
      <c r="L994" s="16" t="str">
        <f t="shared" si="884"/>
        <v/>
      </c>
      <c r="M994" s="927"/>
      <c r="N994" s="927"/>
      <c r="O994" s="354" t="str">
        <f>IF(LEN($M994)=1,VLOOKUP(LEFT($M994,1),B989:I996,5,FALSE),IF(LEN($M994)=2,VLOOKUP(LEFT($M994,1),B989:I996,7,FALSE),""))</f>
        <v/>
      </c>
      <c r="P994" s="410" t="str">
        <f>IF(LEN($M994)=1,VLOOKUP(LEFT($M994,1),B989:I996,6,FALSE),IF(LEN($M994)=2,VLOOKUP(LEFT($M994,1),B989:I996,8,FALSE),""))</f>
        <v/>
      </c>
      <c r="Q994" s="371" t="s">
        <v>276</v>
      </c>
      <c r="R994" s="146" t="str">
        <f t="shared" si="885"/>
        <v/>
      </c>
      <c r="S994" s="927"/>
      <c r="T994" s="927"/>
      <c r="U994" s="354" t="str">
        <f>IF(LEN($S994)=1,VLOOKUP(LEFT($S994,1),B989:I996,5,FALSE),IF(LEN($S994)=2,VLOOKUP(LEFT($S994,1),B989:I996,7,FALSE),""))</f>
        <v/>
      </c>
      <c r="V994" s="410" t="str">
        <f>IF(LEN($S994)=1,VLOOKUP(LEFT($S994,1),B989:I996,6,FALSE),IF(LEN($S994)=2,VLOOKUP(LEFT($S994,1),B989:I996,8,FALSE),""))</f>
        <v/>
      </c>
      <c r="W994" s="417">
        <f t="shared" si="892"/>
        <v>3</v>
      </c>
      <c r="Y994" s="16">
        <v>32</v>
      </c>
      <c r="Z994" s="16">
        <f t="shared" si="886"/>
        <v>0</v>
      </c>
      <c r="AA994" s="146">
        <f t="shared" si="887"/>
        <v>0</v>
      </c>
      <c r="AC994" s="16" t="str">
        <f t="shared" si="888"/>
        <v>D</v>
      </c>
      <c r="AD994" s="419" t="str">
        <f t="shared" si="888"/>
        <v>Stratford</v>
      </c>
      <c r="AE994" s="419">
        <f>IF(ISNA(MATCH(AC994,N989:N998,0)),0,VLOOKUP(AC994,N989:S998,5,FALSE))</f>
        <v>0</v>
      </c>
      <c r="AF994" s="419" t="str">
        <f>IF(ISNA(MATCH(AC994,T989:T998,0))," ",VLOOKUP(AC994,T989:Y998,5,FALSE))</f>
        <v xml:space="preserve"> </v>
      </c>
      <c r="AG994" s="419">
        <f>IF(ISNA(MATCH(AC994,L989:L996,0)),0,VLOOKUP(AC994,L989:N996,3,FALSE))</f>
        <v>0</v>
      </c>
      <c r="AH994" s="419">
        <f>IF(ISNA(MATCH(AC994,R989:R996,0)),0,VLOOKUP(AC994,R989:T996,3,FALSE))</f>
        <v>0</v>
      </c>
      <c r="AI994" s="419">
        <f>IF(ISNA(MATCH(AC994,L989:L996,0)),0,VLOOKUP(AC994,L989:P996,4,FALSE))</f>
        <v>0</v>
      </c>
      <c r="AJ994" s="419">
        <f>IF(ISNA(MATCH(AC994,R989:R996,0)),0,VLOOKUP(AC994,R989:U996,4,FALSE))</f>
        <v>0</v>
      </c>
      <c r="AK994" s="32">
        <f t="shared" si="889"/>
        <v>0</v>
      </c>
      <c r="AL994" s="32">
        <f t="shared" si="890"/>
        <v>0</v>
      </c>
      <c r="AM994" s="32">
        <f>IF(ISNA(MATCH(AC994,L989:L996,0)),0,VLOOKUP(AC994,L989:W996,AM$1,FALSE))</f>
        <v>0</v>
      </c>
      <c r="AN994" s="146">
        <f>IF(ISNA(MATCH(AC994,R989:R996,0)),0,VLOOKUP(AC994,R989:W996,AN$1,FALSE))</f>
        <v>0</v>
      </c>
      <c r="AP994" s="927"/>
      <c r="AQ994" s="927"/>
    </row>
    <row r="995" spans="1:47" ht="15.6" x14ac:dyDescent="0.3">
      <c r="A995" s="417">
        <f t="shared" si="891"/>
        <v>897</v>
      </c>
      <c r="B995" s="362" t="str">
        <f>'Event Details'!D$28</f>
        <v>F</v>
      </c>
      <c r="C995" s="381" t="str">
        <f>'Event Details'!E$28</f>
        <v>Tamworth</v>
      </c>
      <c r="D995" s="379"/>
      <c r="E995" s="378"/>
      <c r="F995" s="363">
        <f>VLOOKUP($B988,IF($H988="F",TeamSheetFemale,TeamSheetMale),$Y995-1,FALSE)</f>
        <v>0</v>
      </c>
      <c r="G995" s="380">
        <f>VLOOKUP($B988,IF($H988="F",TeamSheetFemale,TeamSheetMale),$Y995,FALSE)</f>
        <v>0</v>
      </c>
      <c r="H995" s="363">
        <f>VLOOKUP($B988,IF($H988="F",TeamSheetFemale,TeamSheetMale),$Y995+1,FALSE)</f>
        <v>0</v>
      </c>
      <c r="I995" s="364">
        <f>VLOOKUP($B988,IF($H988="F",TeamSheetFemale,TeamSheetMale),$Y995+2,FALSE)</f>
        <v>0</v>
      </c>
      <c r="K995" s="341" t="s">
        <v>277</v>
      </c>
      <c r="L995" s="16" t="str">
        <f t="shared" si="884"/>
        <v/>
      </c>
      <c r="M995" s="927"/>
      <c r="N995" s="927"/>
      <c r="O995" s="354" t="str">
        <f>IF(LEN($M995)=1,VLOOKUP(LEFT($M995,1),B989:I996,5,FALSE),IF(LEN($M995)=2,VLOOKUP(LEFT($M995,1),B989:I996,7,FALSE),""))</f>
        <v/>
      </c>
      <c r="P995" s="410" t="str">
        <f>IF(LEN($M995)=1,VLOOKUP(LEFT($M995,1),B989:I996,6,FALSE),IF(LEN($M995)=2,VLOOKUP(LEFT($M995,1),B989:I996,8,FALSE),""))</f>
        <v/>
      </c>
      <c r="Q995" s="371" t="s">
        <v>277</v>
      </c>
      <c r="R995" s="146" t="str">
        <f t="shared" si="885"/>
        <v/>
      </c>
      <c r="S995" s="927"/>
      <c r="T995" s="927"/>
      <c r="U995" s="354" t="str">
        <f>IF(LEN($S995)=1,VLOOKUP(LEFT($S995,1),B989:I996,5,FALSE),IF(LEN($S995)=2,VLOOKUP(LEFT($S995,1),B989:I996,7,FALSE),""))</f>
        <v/>
      </c>
      <c r="V995" s="410" t="str">
        <f>IF(LEN($S995)=1,VLOOKUP(LEFT($S995,1),B989:I996,6,FALSE),IF(LEN($S995)=2,VLOOKUP(LEFT($S995,1),B989:I996,8,FALSE),""))</f>
        <v/>
      </c>
      <c r="W995" s="417">
        <f t="shared" si="892"/>
        <v>2</v>
      </c>
      <c r="Y995" s="16">
        <v>37</v>
      </c>
      <c r="Z995" s="16">
        <f t="shared" si="886"/>
        <v>0</v>
      </c>
      <c r="AA995" s="146">
        <f t="shared" si="887"/>
        <v>0</v>
      </c>
      <c r="AC995" s="16" t="str">
        <f t="shared" si="888"/>
        <v>F</v>
      </c>
      <c r="AD995" s="419" t="str">
        <f t="shared" si="888"/>
        <v>Tamworth</v>
      </c>
      <c r="AE995" s="419">
        <f>IF(ISNA(MATCH(AC995,N987:N996,0)),0,VLOOKUP(AC995,N987:S996,5,FALSE))</f>
        <v>0</v>
      </c>
      <c r="AF995" s="419" t="str">
        <f>IF(ISNA(MATCH(AC995,T987:T996,0))," ",VLOOKUP(AC995,T987:Y996,5,FALSE))</f>
        <v xml:space="preserve"> </v>
      </c>
      <c r="AG995" s="419">
        <f>IF(ISNA(MATCH(AC995,L989:L996,0)),0,VLOOKUP(AC995,L989:N996,3,FALSE))</f>
        <v>0</v>
      </c>
      <c r="AH995" s="419">
        <f>IF(ISNA(MATCH(AC995,R989:R996,0)),0,VLOOKUP(AC995,R989:T996,3,FALSE))</f>
        <v>0</v>
      </c>
      <c r="AI995" s="419">
        <f>IF(ISNA(MATCH(AC995,L989:L996,0)),0,VLOOKUP(AC995,L989:P996,4,FALSE))</f>
        <v>0</v>
      </c>
      <c r="AJ995" s="419">
        <f>IF(ISNA(MATCH(AC995,R989:R996,0)),0,VLOOKUP(AC995,R989:U996,4,FALSE))</f>
        <v>0</v>
      </c>
      <c r="AK995" s="32">
        <f t="shared" si="889"/>
        <v>0</v>
      </c>
      <c r="AL995" s="32">
        <f t="shared" si="890"/>
        <v>0</v>
      </c>
      <c r="AM995" s="32">
        <f>IF(ISNA(MATCH(AC995,L989:L996,0)),0,VLOOKUP(AC995,L989:W996,AM$1,FALSE))</f>
        <v>0</v>
      </c>
      <c r="AN995" s="146">
        <f>IF(ISNA(MATCH(AC995,R989:R996,0)),0,VLOOKUP(AC995,R989:W996,AN$1,FALSE))</f>
        <v>0</v>
      </c>
      <c r="AP995" s="927"/>
      <c r="AQ995" s="927"/>
    </row>
    <row r="996" spans="1:47" ht="16.2" thickBot="1" x14ac:dyDescent="0.35">
      <c r="A996" s="418">
        <f t="shared" si="891"/>
        <v>898</v>
      </c>
      <c r="B996" s="365" t="str">
        <f>'Event Details'!D$29</f>
        <v>Y</v>
      </c>
      <c r="C996" s="366" t="str">
        <f>'Event Details'!E$29</f>
        <v>Worcester</v>
      </c>
      <c r="D996" s="361"/>
      <c r="E996" s="370"/>
      <c r="F996" s="367">
        <f>VLOOKUP($B988,IF($H988="F",TeamSheetFemale,TeamSheetMale),$Y996-1,FALSE)</f>
        <v>0</v>
      </c>
      <c r="G996" s="368">
        <f>VLOOKUP($B988,IF($H988="F",TeamSheetFemale,TeamSheetMale),$Y996,FALSE)</f>
        <v>0</v>
      </c>
      <c r="H996" s="367">
        <f>VLOOKUP($B988,IF($H988="F",TeamSheetFemale,TeamSheetMale),$Y996+1,FALSE)</f>
        <v>0</v>
      </c>
      <c r="I996" s="369">
        <f>VLOOKUP($B988,IF($H988="F",TeamSheetFemale,TeamSheetMale),$Y996+2,FALSE)</f>
        <v>0</v>
      </c>
      <c r="K996" s="346" t="s">
        <v>278</v>
      </c>
      <c r="L996" s="25" t="str">
        <f t="shared" si="884"/>
        <v/>
      </c>
      <c r="M996" s="932"/>
      <c r="N996" s="932"/>
      <c r="O996" s="374" t="str">
        <f>IF(LEN($M996)=1,VLOOKUP(LEFT($M996,1),B989:I996,5,FALSE),IF(LEN($M996)=2,VLOOKUP(LEFT($M996,1),B989:I996,7,FALSE),""))</f>
        <v/>
      </c>
      <c r="P996" s="411" t="str">
        <f>IF(LEN($M996)=1,VLOOKUP(LEFT($M996,1),B989:I996,6,FALSE),IF(LEN($M996)=2,VLOOKUP(LEFT($M996,1),B989:I996,8,FALSE),""))</f>
        <v/>
      </c>
      <c r="Q996" s="407" t="s">
        <v>278</v>
      </c>
      <c r="R996" s="523" t="str">
        <f t="shared" si="885"/>
        <v/>
      </c>
      <c r="S996" s="932"/>
      <c r="T996" s="932"/>
      <c r="U996" s="374" t="str">
        <f>IF(LEN($S996)=1,VLOOKUP(LEFT($S996,1),B989:I996,5,FALSE),IF(LEN($S996)=2,VLOOKUP(LEFT($S996,1),B989:I996,7,FALSE),""))</f>
        <v/>
      </c>
      <c r="V996" s="411" t="str">
        <f>IF(LEN($S996)=1,VLOOKUP(LEFT($S996,1),B989:I996,6,FALSE),IF(LEN($S996)=2,VLOOKUP(LEFT($S996,1),B989:I996,8,FALSE),""))</f>
        <v/>
      </c>
      <c r="W996" s="418">
        <f t="shared" si="892"/>
        <v>1</v>
      </c>
      <c r="Y996" s="25">
        <v>42</v>
      </c>
      <c r="Z996" s="25">
        <f t="shared" si="886"/>
        <v>0</v>
      </c>
      <c r="AA996" s="523">
        <f t="shared" si="887"/>
        <v>0</v>
      </c>
      <c r="AC996" s="25" t="str">
        <f t="shared" si="888"/>
        <v>Y</v>
      </c>
      <c r="AD996" s="624" t="str">
        <f t="shared" si="888"/>
        <v>Worcester</v>
      </c>
      <c r="AE996" s="624">
        <f>IF(ISNA(MATCH(AC996,N988:N997,0)),0,VLOOKUP(AC996,N988:S997,5,FALSE))</f>
        <v>0</v>
      </c>
      <c r="AF996" s="624" t="str">
        <f t="shared" ref="AF996" si="893">IF(ISNA(MATCH(AC996,T988:T997,0))," ",VLOOKUP(AC996,T988:Y997,5,FALSE))</f>
        <v xml:space="preserve"> </v>
      </c>
      <c r="AG996" s="624">
        <f>IF(ISNA(MATCH(AC996,L989:L996,0)),0,VLOOKUP(AC996,L989:N996,3,FALSE))</f>
        <v>0</v>
      </c>
      <c r="AH996" s="624">
        <f>IF(ISNA(MATCH(AC996,R989:R996,0)),0,VLOOKUP(AC996,R989:T996,3,FALSE))</f>
        <v>0</v>
      </c>
      <c r="AI996" s="624">
        <f>IF(ISNA(MATCH(AC996,L989:L996,0)),0,VLOOKUP(AC996,L989:P996,4,FALSE))</f>
        <v>0</v>
      </c>
      <c r="AJ996" s="624">
        <f>IF(ISNA(MATCH(AC996,R989:R996,0)),0,VLOOKUP(AC996,R989:U996,4,FALSE))</f>
        <v>0</v>
      </c>
      <c r="AK996" s="116">
        <f t="shared" si="889"/>
        <v>0</v>
      </c>
      <c r="AL996" s="116">
        <f t="shared" si="890"/>
        <v>0</v>
      </c>
      <c r="AM996" s="116">
        <f>IF(ISNA(MATCH(AC996,L989:L996,0)),0,VLOOKUP(AC996,L989:W996,AM$1,FALSE))</f>
        <v>0</v>
      </c>
      <c r="AN996" s="523">
        <f>IF(ISNA(MATCH(AC996,R989:R996,0)),0,VLOOKUP(AC996,R989:W996,AN$1,FALSE))</f>
        <v>0</v>
      </c>
      <c r="AP996" s="932"/>
      <c r="AQ996" s="932"/>
    </row>
    <row r="997" spans="1:47" ht="15" thickBot="1" x14ac:dyDescent="0.35">
      <c r="K997" s="1207" t="s">
        <v>281</v>
      </c>
      <c r="M997" s="276"/>
      <c r="N997" s="307"/>
      <c r="S997" s="276"/>
      <c r="T997" s="307"/>
      <c r="AP997" s="276"/>
      <c r="AQ997" s="307"/>
    </row>
    <row r="998" spans="1:47" x14ac:dyDescent="0.3">
      <c r="B998" s="400" t="s">
        <v>258</v>
      </c>
      <c r="C998" s="398"/>
      <c r="D998" s="401" t="s">
        <v>165</v>
      </c>
      <c r="E998" s="398"/>
      <c r="F998" s="398"/>
      <c r="G998" s="402" t="s">
        <v>259</v>
      </c>
      <c r="H998" s="403" t="s">
        <v>249</v>
      </c>
      <c r="I998" s="404" t="s">
        <v>168</v>
      </c>
      <c r="K998" s="360"/>
      <c r="L998" s="661"/>
      <c r="M998" s="387" t="s">
        <v>260</v>
      </c>
      <c r="N998" s="387" t="s">
        <v>261</v>
      </c>
      <c r="O998" s="387" t="s">
        <v>262</v>
      </c>
      <c r="P998" s="388" t="s">
        <v>75</v>
      </c>
      <c r="Q998" s="389"/>
      <c r="R998" s="657"/>
      <c r="S998" s="387" t="s">
        <v>260</v>
      </c>
      <c r="T998" s="387" t="s">
        <v>261</v>
      </c>
      <c r="U998" s="387" t="s">
        <v>262</v>
      </c>
      <c r="V998" s="388" t="s">
        <v>75</v>
      </c>
      <c r="W998" s="672" t="s">
        <v>76</v>
      </c>
      <c r="Y998" s="414" t="s">
        <v>263</v>
      </c>
      <c r="Z998" s="656" t="s">
        <v>74</v>
      </c>
      <c r="AA998" s="657" t="s">
        <v>75</v>
      </c>
      <c r="AC998" s="665" t="s">
        <v>71</v>
      </c>
      <c r="AD998" s="657" t="s">
        <v>86</v>
      </c>
      <c r="AE998" s="661" t="s">
        <v>149</v>
      </c>
      <c r="AF998" s="661" t="s">
        <v>94</v>
      </c>
      <c r="AG998" s="661" t="s">
        <v>149</v>
      </c>
      <c r="AH998" s="661" t="s">
        <v>94</v>
      </c>
      <c r="AI998" s="661" t="s">
        <v>149</v>
      </c>
      <c r="AJ998" s="661" t="s">
        <v>94</v>
      </c>
      <c r="AK998" s="1332" t="s">
        <v>149</v>
      </c>
      <c r="AL998" s="661" t="s">
        <v>94</v>
      </c>
      <c r="AM998" s="1406" t="s">
        <v>76</v>
      </c>
      <c r="AN998" s="1407"/>
      <c r="AP998" s="387" t="s">
        <v>260</v>
      </c>
      <c r="AQ998" s="387" t="s">
        <v>261</v>
      </c>
      <c r="AS998" s="1218" t="s">
        <v>165</v>
      </c>
      <c r="AT998" s="1219" t="s">
        <v>79</v>
      </c>
      <c r="AU998" s="1220" t="s">
        <v>80</v>
      </c>
    </row>
    <row r="999" spans="1:47" ht="15" thickBot="1" x14ac:dyDescent="0.35">
      <c r="B999" s="405">
        <v>90</v>
      </c>
      <c r="C999" s="399"/>
      <c r="D999" s="385" t="str">
        <f>VLOOKUP($B999,EventOrder,6,FALSE)</f>
        <v>1500m (U18/U20) Female</v>
      </c>
      <c r="E999" s="399"/>
      <c r="F999" s="385"/>
      <c r="G999" s="386" t="str">
        <f>VLOOKUP($B999,EventOrder,4,FALSE)</f>
        <v>U18 Female</v>
      </c>
      <c r="H999" s="396" t="str">
        <f>IF(MID(G999,5,1)="F","F","M")</f>
        <v>F</v>
      </c>
      <c r="I999" s="397">
        <f>VLOOKUP($B999,EventOrder,2,FALSE)</f>
        <v>11.2</v>
      </c>
      <c r="K999" s="377"/>
      <c r="L999" s="667" t="s">
        <v>149</v>
      </c>
      <c r="M999" s="409" t="s">
        <v>264</v>
      </c>
      <c r="N999" s="409" t="s">
        <v>265</v>
      </c>
      <c r="O999" s="390" t="s">
        <v>266</v>
      </c>
      <c r="P999" s="391"/>
      <c r="Q999" s="392"/>
      <c r="R999" s="659" t="s">
        <v>94</v>
      </c>
      <c r="S999" s="409" t="s">
        <v>264</v>
      </c>
      <c r="T999" s="409" t="s">
        <v>265</v>
      </c>
      <c r="U999" s="390" t="s">
        <v>266</v>
      </c>
      <c r="V999" s="391"/>
      <c r="W999" s="671"/>
      <c r="Y999" s="415" t="s">
        <v>167</v>
      </c>
      <c r="Z999" s="658" t="s">
        <v>149</v>
      </c>
      <c r="AA999" s="659" t="s">
        <v>94</v>
      </c>
      <c r="AC999" s="666"/>
      <c r="AD999" s="668"/>
      <c r="AE999" s="768" t="s">
        <v>75</v>
      </c>
      <c r="AF999" s="768" t="s">
        <v>75</v>
      </c>
      <c r="AG999" s="768" t="s">
        <v>267</v>
      </c>
      <c r="AH999" s="768" t="s">
        <v>267</v>
      </c>
      <c r="AI999" s="768" t="s">
        <v>268</v>
      </c>
      <c r="AJ999" s="768" t="s">
        <v>268</v>
      </c>
      <c r="AK999" s="770" t="s">
        <v>269</v>
      </c>
      <c r="AL999" s="768" t="s">
        <v>269</v>
      </c>
      <c r="AM999" s="667" t="s">
        <v>149</v>
      </c>
      <c r="AN999" s="659" t="s">
        <v>94</v>
      </c>
      <c r="AP999" s="409" t="s">
        <v>264</v>
      </c>
      <c r="AQ999" s="409" t="s">
        <v>265</v>
      </c>
      <c r="AS999" s="1221" t="s">
        <v>270</v>
      </c>
      <c r="AT999" s="1222" t="s">
        <v>270</v>
      </c>
      <c r="AU999" s="1223" t="s">
        <v>270</v>
      </c>
    </row>
    <row r="1000" spans="1:47" ht="15.6" x14ac:dyDescent="0.3">
      <c r="A1000" s="416">
        <f>(B999*10)+1</f>
        <v>901</v>
      </c>
      <c r="B1000" s="362" t="str">
        <f>'Event Details'!D$22</f>
        <v>S</v>
      </c>
      <c r="C1000" s="381" t="str">
        <f>'Event Details'!E$22</f>
        <v>BRAT</v>
      </c>
      <c r="D1000" s="379"/>
      <c r="E1000" s="378"/>
      <c r="F1000" s="363">
        <f>VLOOKUP($B999,IF($H999="F",TeamSheetFemale,TeamSheetMale),$Y1000-1,FALSE)</f>
        <v>0</v>
      </c>
      <c r="G1000" s="380">
        <f>VLOOKUP($B999,IF($H999="F",TeamSheetFemale,TeamSheetMale),$Y1000,FALSE)</f>
        <v>0</v>
      </c>
      <c r="H1000" s="363">
        <f>VLOOKUP($B999,IF($H999="F",TeamSheetFemale,TeamSheetMale),$Y1000+1,FALSE)</f>
        <v>0</v>
      </c>
      <c r="I1000" s="364">
        <f>VLOOKUP($B999,IF($H999="F",TeamSheetFemale,TeamSheetMale),$Y1000+2,FALSE)</f>
        <v>0</v>
      </c>
      <c r="K1000" s="393" t="s">
        <v>271</v>
      </c>
      <c r="L1000" s="16" t="str">
        <f t="shared" ref="L1000:L1007" si="894">LEFT(M1000,1)</f>
        <v/>
      </c>
      <c r="M1000" s="926"/>
      <c r="N1000" s="926"/>
      <c r="O1000" s="394" t="str">
        <f>IF(LEN($M1000)=1,VLOOKUP(LEFT($M1000,1),B1000:I1007,5,FALSE),IF(LEN($M1000)=2,VLOOKUP(LEFT($M1000,1),B1000:I1007,7,FALSE),""))</f>
        <v/>
      </c>
      <c r="P1000" s="395" t="str">
        <f>IF(LEN($M1000)=1,VLOOKUP(LEFT($M1000,1),B1000:I1007,6,FALSE),IF(LEN($M1000)=2,VLOOKUP(LEFT($M1000,1),B1000:I1007,8,FALSE),""))</f>
        <v/>
      </c>
      <c r="Q1000" s="393" t="s">
        <v>271</v>
      </c>
      <c r="R1000" s="146" t="str">
        <f t="shared" ref="R1000:R1007" si="895">LEFT(S1000,1)</f>
        <v/>
      </c>
      <c r="S1000" s="926"/>
      <c r="T1000" s="926"/>
      <c r="U1000" s="394" t="str">
        <f>IF(LEN($S1000)=1,VLOOKUP(LEFT($S1000,1),B1000:I1007,5,FALSE),IF(LEN($S1000)=2,VLOOKUP(LEFT($S1000,1),B1000:I1007,7,FALSE),""))</f>
        <v/>
      </c>
      <c r="V1000" s="395" t="str">
        <f>IF(LEN($S1000)=1,VLOOKUP(LEFT($S1000,1),B1000:I1007,6,FALSE),IF(LEN($S1000)=2,VLOOKUP(LEFT($S1000,1),B1000:I1007,8,FALSE),""))</f>
        <v/>
      </c>
      <c r="W1000" s="417">
        <f>AN$6</f>
        <v>8</v>
      </c>
      <c r="Y1000" s="416">
        <v>7</v>
      </c>
      <c r="Z1000" s="653">
        <f t="shared" ref="Z1000:Z1007" si="896">IF(LEN(M1000)&gt;0,VLOOKUP(LEFT(M1000,1),ShortName,5,FALSE),0)</f>
        <v>0</v>
      </c>
      <c r="AA1000" s="138">
        <f t="shared" ref="AA1000:AA1007" si="897">IF(LEN(S1000)&gt;0,VLOOKUP(LEFT(S1000,1),ShortName,5,FALSE),0)</f>
        <v>0</v>
      </c>
      <c r="AC1000" s="16" t="str">
        <f t="shared" ref="AC1000:AD1007" si="898">B1000</f>
        <v>S</v>
      </c>
      <c r="AD1000" s="419" t="str">
        <f t="shared" si="898"/>
        <v>BRAT</v>
      </c>
      <c r="AE1000" s="635">
        <f>IF(ISNA(MATCH(AC1000,N1000:N1009,0)),0,VLOOKUP(AC1000,N1000:S1009,5,FALSE))</f>
        <v>0</v>
      </c>
      <c r="AF1000" s="635" t="str">
        <f>IF(ISNA(MATCH(AC1000,T1000:T1009,0))," ",VLOOKUP(AC1000,T1000:Y1009,5,FALSE))</f>
        <v xml:space="preserve"> </v>
      </c>
      <c r="AG1000" s="635">
        <f>IF(ISNA(MATCH(AC1000,L1000:L1007,0)),0,VLOOKUP(AC1000,L1000:N1007,3,FALSE))</f>
        <v>0</v>
      </c>
      <c r="AH1000" s="635">
        <f>IF(ISNA(MATCH(AC1000,R1000:R1007,0)),0,VLOOKUP(AC1000,R1000:T1007,3,FALSE))</f>
        <v>0</v>
      </c>
      <c r="AI1000" s="635">
        <f>IF(ISNA(MATCH(AC1000,L1000:L1007,0)),0,VLOOKUP(AC1000,L1000:P1007,4,FALSE))</f>
        <v>0</v>
      </c>
      <c r="AJ1000" s="635">
        <f>IF(ISNA(MATCH(AC1000,R1000:R1007,0)),0,VLOOKUP(AC1000,R1000:U1007,4,FALSE))</f>
        <v>0</v>
      </c>
      <c r="AK1000" s="49">
        <f t="shared" ref="AK1000:AK1007" si="899">IF(AM1000=0,0,AN$6-(AM1000-1))</f>
        <v>0</v>
      </c>
      <c r="AL1000" s="49">
        <f t="shared" ref="AL1000:AL1007" si="900">IF(AN1000=0,0,AN$6-(AN1000-1))</f>
        <v>0</v>
      </c>
      <c r="AM1000" s="49">
        <f>IF(ISNA(MATCH(AC1000,L1000:L1007,0)),0,VLOOKUP(AC1000,L1000:W1007,AM$1,FALSE))</f>
        <v>0</v>
      </c>
      <c r="AN1000" s="138">
        <f>IF(ISNA(MATCH(AC1000,R1000:R1007,0)),0,VLOOKUP(AC1000,R1000:W1007,AN$1,FALSE))</f>
        <v>0</v>
      </c>
      <c r="AP1000" s="926"/>
      <c r="AQ1000" s="926"/>
      <c r="AS1000" s="32">
        <f>IF(LEN(N1000)&gt;0,1,0)</f>
        <v>0</v>
      </c>
      <c r="AT1000" s="32">
        <f>IF(AND(AS1000=1,H999="M"),1,0)</f>
        <v>0</v>
      </c>
      <c r="AU1000" s="32">
        <f>IF(AND(AS1000=1,H999="F"),1,0)</f>
        <v>0</v>
      </c>
    </row>
    <row r="1001" spans="1:47" ht="15.6" x14ac:dyDescent="0.3">
      <c r="A1001" s="417">
        <f>A1000+1</f>
        <v>902</v>
      </c>
      <c r="B1001" s="362" t="str">
        <f>'Event Details'!D$23</f>
        <v>U</v>
      </c>
      <c r="C1001" s="381" t="str">
        <f>'Event Details'!E$23</f>
        <v>Kidder &amp; Stourport</v>
      </c>
      <c r="D1001" s="379"/>
      <c r="E1001" s="378"/>
      <c r="F1001" s="363">
        <f>VLOOKUP($B999,IF($H999="F",TeamSheetFemale,TeamSheetMale),$Y1001-1,FALSE)</f>
        <v>0</v>
      </c>
      <c r="G1001" s="380">
        <f>VLOOKUP($B999,IF($H999="F",TeamSheetFemale,TeamSheetMale),$Y1001,FALSE)</f>
        <v>0</v>
      </c>
      <c r="H1001" s="363">
        <f>VLOOKUP($B999,IF($H999="F",TeamSheetFemale,TeamSheetMale),$Y1001+1,FALSE)</f>
        <v>0</v>
      </c>
      <c r="I1001" s="364">
        <f>VLOOKUP($B999,IF($H999="F",TeamSheetFemale,TeamSheetMale),$Y1001+2,FALSE)</f>
        <v>0</v>
      </c>
      <c r="K1001" s="341" t="s">
        <v>272</v>
      </c>
      <c r="L1001" s="16" t="str">
        <f t="shared" si="894"/>
        <v/>
      </c>
      <c r="M1001" s="927"/>
      <c r="N1001" s="927"/>
      <c r="O1001" s="353" t="str">
        <f>IF(LEN($M1001)=1,VLOOKUP(LEFT($M1001,1),B1000:I1007,5,FALSE),IF(LEN($M1001)=2,VLOOKUP(LEFT($M1001,1),B1000:I1007,7,FALSE),""))</f>
        <v/>
      </c>
      <c r="P1001" s="373" t="str">
        <f>IF(LEN($M1001)=1,VLOOKUP(LEFT($M1001,1),B1000:I1007,6,FALSE),IF(LEN($M1001)=2,VLOOKUP(LEFT($M1001,1),B1000:I1007,8,FALSE),""))</f>
        <v/>
      </c>
      <c r="Q1001" s="341" t="s">
        <v>272</v>
      </c>
      <c r="R1001" s="146" t="str">
        <f t="shared" si="895"/>
        <v/>
      </c>
      <c r="S1001" s="927"/>
      <c r="T1001" s="927"/>
      <c r="U1001" s="353" t="str">
        <f>IF(LEN($S1001)=1,VLOOKUP(LEFT($S1001,1),B1000:I1007,5,FALSE),IF(LEN($S1001)=2,VLOOKUP(LEFT($S1001,1),B1000:I1007,7,FALSE),""))</f>
        <v/>
      </c>
      <c r="V1001" s="373" t="str">
        <f>IF(LEN($S1001)=1,VLOOKUP(LEFT($S1001,1),B1000:I1007,6,FALSE),IF(LEN($S1001)=2,VLOOKUP(LEFT($S1001,1),B1000:I1007,8,FALSE),""))</f>
        <v/>
      </c>
      <c r="W1001" s="417">
        <f>W1000-1</f>
        <v>7</v>
      </c>
      <c r="Y1001" s="417">
        <v>12</v>
      </c>
      <c r="Z1001" s="16">
        <f t="shared" si="896"/>
        <v>0</v>
      </c>
      <c r="AA1001" s="146">
        <f t="shared" si="897"/>
        <v>0</v>
      </c>
      <c r="AC1001" s="16" t="str">
        <f t="shared" si="898"/>
        <v>U</v>
      </c>
      <c r="AD1001" s="419" t="str">
        <f t="shared" si="898"/>
        <v>Kidder &amp; Stourport</v>
      </c>
      <c r="AE1001" s="419">
        <f>IF(ISNA(MATCH(AC1001,N1000:N1009,0)),0,VLOOKUP(AC1001,N1000:S1009,5,FALSE))</f>
        <v>0</v>
      </c>
      <c r="AF1001" s="419" t="str">
        <f>IF(ISNA(MATCH(AC1001,T1000:T1009,0))," ",VLOOKUP(AC1001,T1000:Y1009,5,FALSE))</f>
        <v xml:space="preserve"> </v>
      </c>
      <c r="AG1001" s="419">
        <f>IF(ISNA(MATCH(AC1001,L1000:L1007,0)),0,VLOOKUP(AC1001,L1000:N1007,3,FALSE))</f>
        <v>0</v>
      </c>
      <c r="AH1001" s="419">
        <f>IF(ISNA(MATCH(AC1001,R1000:R1007,0)),0,VLOOKUP(AC1001,R1000:T1007,3,FALSE))</f>
        <v>0</v>
      </c>
      <c r="AI1001" s="419">
        <f>IF(ISNA(MATCH(AC1001,L1000:L1007,0)),0,VLOOKUP(AC1001,L1000:P1007,4,FALSE))</f>
        <v>0</v>
      </c>
      <c r="AJ1001" s="419">
        <f>IF(ISNA(MATCH(AC1001,R1000:R1007,0)),0,VLOOKUP(AC1001,R1000:U1007,4,FALSE))</f>
        <v>0</v>
      </c>
      <c r="AK1001" s="32">
        <f t="shared" si="899"/>
        <v>0</v>
      </c>
      <c r="AL1001" s="32">
        <f t="shared" si="900"/>
        <v>0</v>
      </c>
      <c r="AM1001" s="32">
        <f>IF(ISNA(MATCH(AC1001,L1000:L1007,0)),0,VLOOKUP(AC1001,L1000:W1007,AM$1,FALSE))</f>
        <v>0</v>
      </c>
      <c r="AN1001" s="146">
        <f>IF(ISNA(MATCH(AC1001,R1000:R1007,0)),0,VLOOKUP(AC1001,R1000:W1007,AN$1,FALSE))</f>
        <v>0</v>
      </c>
      <c r="AP1001" s="927"/>
      <c r="AQ1001" s="927"/>
    </row>
    <row r="1002" spans="1:47" ht="15.6" x14ac:dyDescent="0.3">
      <c r="A1002" s="417">
        <f t="shared" ref="A1002:A1007" si="901">A1001+1</f>
        <v>903</v>
      </c>
      <c r="B1002" s="362" t="str">
        <f>'Event Details'!D$24</f>
        <v>G</v>
      </c>
      <c r="C1002" s="381" t="str">
        <f>'Event Details'!E$24</f>
        <v>Royal Sutton</v>
      </c>
      <c r="D1002" s="379"/>
      <c r="E1002" s="378"/>
      <c r="F1002" s="363">
        <f>VLOOKUP($B999,IF($H999="F",TeamSheetFemale,TeamSheetMale),$Y1002-1,FALSE)</f>
        <v>0</v>
      </c>
      <c r="G1002" s="380">
        <f>VLOOKUP($B999,IF($H999="F",TeamSheetFemale,TeamSheetMale),$Y1002,FALSE)</f>
        <v>0</v>
      </c>
      <c r="H1002" s="363">
        <f>VLOOKUP($B999,IF($H999="F",TeamSheetFemale,TeamSheetMale),$Y1002+1,FALSE)</f>
        <v>0</v>
      </c>
      <c r="I1002" s="364">
        <f>VLOOKUP($B999,IF($H999="F",TeamSheetFemale,TeamSheetMale),$Y1002+2,FALSE)</f>
        <v>0</v>
      </c>
      <c r="K1002" s="341" t="s">
        <v>273</v>
      </c>
      <c r="L1002" s="16" t="str">
        <f t="shared" si="894"/>
        <v/>
      </c>
      <c r="M1002" s="927"/>
      <c r="N1002" s="927"/>
      <c r="O1002" s="353" t="str">
        <f>IF(LEN($M1002)=1,VLOOKUP(LEFT($M1002,1),B1000:I1007,5,FALSE),IF(LEN($M1002)=2,VLOOKUP(LEFT($M1002,1),B1000:I1007,7,FALSE),""))</f>
        <v/>
      </c>
      <c r="P1002" s="373" t="str">
        <f>IF(LEN($M1002)=1,VLOOKUP(LEFT($M1002,1),B1000:I1007,6,FALSE),IF(LEN($M1002)=2,VLOOKUP(LEFT($M1002,1),B1000:I1007,8,FALSE),""))</f>
        <v/>
      </c>
      <c r="Q1002" s="341" t="s">
        <v>273</v>
      </c>
      <c r="R1002" s="146" t="str">
        <f t="shared" si="895"/>
        <v/>
      </c>
      <c r="S1002" s="927"/>
      <c r="T1002" s="927"/>
      <c r="U1002" s="353" t="str">
        <f>IF(LEN($S1002)=1,VLOOKUP(LEFT($S1002,1),B1000:I1007,5,FALSE),IF(LEN($S1002)=2,VLOOKUP(LEFT($S1002,1),B1000:I1007,7,FALSE),""))</f>
        <v/>
      </c>
      <c r="V1002" s="373" t="str">
        <f>IF(LEN($S1002)=1,VLOOKUP(LEFT($S1002,1),B1000:I1007,6,FALSE),IF(LEN($S1002)=2,VLOOKUP(LEFT($S1002,1),B1000:I1007,8,FALSE),""))</f>
        <v/>
      </c>
      <c r="W1002" s="417">
        <f t="shared" ref="W1002:W1007" si="902">W1001-1</f>
        <v>6</v>
      </c>
      <c r="Y1002" s="417">
        <v>17</v>
      </c>
      <c r="Z1002" s="16">
        <f t="shared" si="896"/>
        <v>0</v>
      </c>
      <c r="AA1002" s="146">
        <f t="shared" si="897"/>
        <v>0</v>
      </c>
      <c r="AB1002" s="32"/>
      <c r="AC1002" s="16" t="str">
        <f t="shared" si="898"/>
        <v>G</v>
      </c>
      <c r="AD1002" s="419" t="str">
        <f t="shared" si="898"/>
        <v>Royal Sutton</v>
      </c>
      <c r="AE1002" s="419">
        <f>IF(ISNA(MATCH(AC1002,N1000:N1009,0)),0,VLOOKUP(AC1002,N1000:S1009,5,FALSE))</f>
        <v>0</v>
      </c>
      <c r="AF1002" s="419" t="str">
        <f>IF(ISNA(MATCH(AC1002,T1000:T1009,0))," ",VLOOKUP(AC1002,T1000:Y1009,5,FALSE))</f>
        <v xml:space="preserve"> </v>
      </c>
      <c r="AG1002" s="419">
        <f>IF(ISNA(MATCH(AC1002,L1000:L1007,0)),0,VLOOKUP(AC1002,L1000:N1007,3,FALSE))</f>
        <v>0</v>
      </c>
      <c r="AH1002" s="419">
        <f>IF(ISNA(MATCH(AC1002,R1000:R1007,0)),0,VLOOKUP(AC1002,R1000:T1007,3,FALSE))</f>
        <v>0</v>
      </c>
      <c r="AI1002" s="419">
        <f>IF(ISNA(MATCH(AC1002,L1000:L1007,0)),0,VLOOKUP(AC1002,L1000:P1007,4,FALSE))</f>
        <v>0</v>
      </c>
      <c r="AJ1002" s="419">
        <f>IF(ISNA(MATCH(AC1002,R1000:R1007,0)),0,VLOOKUP(AC1002,R1000:U1007,4,FALSE))</f>
        <v>0</v>
      </c>
      <c r="AK1002" s="32">
        <f t="shared" si="899"/>
        <v>0</v>
      </c>
      <c r="AL1002" s="32">
        <f t="shared" si="900"/>
        <v>0</v>
      </c>
      <c r="AM1002" s="32">
        <f>IF(ISNA(MATCH(AC1002,L1000:L1007,0)),0,VLOOKUP(AC1002,L1000:W1007,AM$1,FALSE))</f>
        <v>0</v>
      </c>
      <c r="AN1002" s="146">
        <f>IF(ISNA(MATCH(AC1002,R1000:R1007,0)),0,VLOOKUP(AC1002,R1000:W1007,AN$1,FALSE))</f>
        <v>0</v>
      </c>
      <c r="AP1002" s="927"/>
      <c r="AQ1002" s="927"/>
    </row>
    <row r="1003" spans="1:47" ht="15.6" x14ac:dyDescent="0.3">
      <c r="A1003" s="417">
        <f t="shared" si="901"/>
        <v>904</v>
      </c>
      <c r="B1003" s="362" t="str">
        <f>'Event Details'!D$25</f>
        <v>R</v>
      </c>
      <c r="C1003" s="381" t="str">
        <f>'Event Details'!E$25</f>
        <v>Rugby &amp; N'hampton</v>
      </c>
      <c r="D1003" s="379"/>
      <c r="E1003" s="378"/>
      <c r="F1003" s="363">
        <f>VLOOKUP($B999,IF($H999="F",TeamSheetFemale,TeamSheetMale),$Y1003-1,FALSE)</f>
        <v>0</v>
      </c>
      <c r="G1003" s="380">
        <f>VLOOKUP($B999,IF($H999="F",TeamSheetFemale,TeamSheetMale),$Y1003,FALSE)</f>
        <v>0</v>
      </c>
      <c r="H1003" s="363">
        <f>VLOOKUP($B999,IF($H999="F",TeamSheetFemale,TeamSheetMale),$Y1003+1,FALSE)</f>
        <v>0</v>
      </c>
      <c r="I1003" s="364">
        <f>VLOOKUP($B999,IF($H999="F",TeamSheetFemale,TeamSheetMale),$Y1003+2,FALSE)</f>
        <v>0</v>
      </c>
      <c r="K1003" s="341" t="s">
        <v>274</v>
      </c>
      <c r="L1003" s="16" t="str">
        <f t="shared" si="894"/>
        <v/>
      </c>
      <c r="M1003" s="927"/>
      <c r="N1003" s="927"/>
      <c r="O1003" s="353" t="str">
        <f>IF(LEN($M1003)=1,VLOOKUP(LEFT($M1003,1),B1000:I1007,5,FALSE),IF(LEN($M1003)=2,VLOOKUP(LEFT($M1003,1),B1000:I1007,7,FALSE),""))</f>
        <v/>
      </c>
      <c r="P1003" s="373" t="str">
        <f>IF(LEN($M1003)=1,VLOOKUP(LEFT($M1003,1),B1000:I1007,6,FALSE),IF(LEN($M1003)=2,VLOOKUP(LEFT($M1003,1),B1000:I1007,8,FALSE),""))</f>
        <v/>
      </c>
      <c r="Q1003" s="341" t="s">
        <v>274</v>
      </c>
      <c r="R1003" s="146" t="str">
        <f t="shared" si="895"/>
        <v/>
      </c>
      <c r="S1003" s="927"/>
      <c r="T1003" s="927"/>
      <c r="U1003" s="353" t="str">
        <f>IF(LEN($S1003)=1,VLOOKUP(LEFT($S1003,1),B1000:I1007,5,FALSE),IF(LEN($S1003)=2,VLOOKUP(LEFT($S1003,1),B1000:I1007,7,FALSE),""))</f>
        <v/>
      </c>
      <c r="V1003" s="373" t="str">
        <f>IF(LEN($S1003)=1,VLOOKUP(LEFT($S1003,1),B1000:I1007,6,FALSE),IF(LEN($S1003)=2,VLOOKUP(LEFT($S1003,1),B1000:I1007,8,FALSE),""))</f>
        <v/>
      </c>
      <c r="W1003" s="417">
        <f t="shared" si="902"/>
        <v>5</v>
      </c>
      <c r="Y1003" s="417">
        <v>22</v>
      </c>
      <c r="Z1003" s="16">
        <f t="shared" si="896"/>
        <v>0</v>
      </c>
      <c r="AA1003" s="146">
        <f t="shared" si="897"/>
        <v>0</v>
      </c>
      <c r="AB1003" s="32"/>
      <c r="AC1003" s="16" t="str">
        <f t="shared" si="898"/>
        <v>R</v>
      </c>
      <c r="AD1003" s="419" t="str">
        <f t="shared" si="898"/>
        <v>Rugby &amp; N'hampton</v>
      </c>
      <c r="AE1003" s="419">
        <f>IF(ISNA(MATCH(AC1003,N1000:N1009,0)),0,VLOOKUP(AC1003,N1000:S1009,5,FALSE))</f>
        <v>0</v>
      </c>
      <c r="AF1003" s="419" t="str">
        <f>IF(ISNA(MATCH(AC1003,T1000:T1009,0))," ",VLOOKUP(AC1003,T1000:Y1009,5,FALSE))</f>
        <v xml:space="preserve"> </v>
      </c>
      <c r="AG1003" s="419">
        <f>IF(ISNA(MATCH(AC1003,L1000:L1007,0)),0,VLOOKUP(AC1003,L1000:N1007,3,FALSE))</f>
        <v>0</v>
      </c>
      <c r="AH1003" s="419">
        <f>IF(ISNA(MATCH(AC1003,R1000:R1007,0)),0,VLOOKUP(AC1003,R1000:T1007,3,FALSE))</f>
        <v>0</v>
      </c>
      <c r="AI1003" s="419">
        <f>IF(ISNA(MATCH(AC1003,L1000:L1007,0)),0,VLOOKUP(AC1003,L1000:P1007,4,FALSE))</f>
        <v>0</v>
      </c>
      <c r="AJ1003" s="419">
        <f>IF(ISNA(MATCH(AC1003,R1000:R1007,0)),0,VLOOKUP(AC1003,R1000:U1007,4,FALSE))</f>
        <v>0</v>
      </c>
      <c r="AK1003" s="32">
        <f t="shared" si="899"/>
        <v>0</v>
      </c>
      <c r="AL1003" s="32">
        <f t="shared" si="900"/>
        <v>0</v>
      </c>
      <c r="AM1003" s="32">
        <f>IF(ISNA(MATCH(AC1003,L1000:L1007,0)),0,VLOOKUP(AC1003,L1000:W1007,AM$1,FALSE))</f>
        <v>0</v>
      </c>
      <c r="AN1003" s="146">
        <f>IF(ISNA(MATCH(AC1003,R1000:R1007,0)),0,VLOOKUP(AC1003,R1000:W1007,AN$1,FALSE))</f>
        <v>0</v>
      </c>
      <c r="AP1003" s="927"/>
      <c r="AQ1003" s="927"/>
    </row>
    <row r="1004" spans="1:47" ht="15.6" x14ac:dyDescent="0.3">
      <c r="A1004" s="417">
        <f t="shared" si="901"/>
        <v>905</v>
      </c>
      <c r="B1004" s="362" t="str">
        <f>'Event Details'!D$26</f>
        <v>M</v>
      </c>
      <c r="C1004" s="381" t="str">
        <f>'Event Details'!E$26</f>
        <v>Solihull &amp; S.Heath</v>
      </c>
      <c r="D1004" s="379"/>
      <c r="E1004" s="378"/>
      <c r="F1004" s="363">
        <f>VLOOKUP($B999,IF($H999="F",TeamSheetFemale,TeamSheetMale),$Y1004-1,FALSE)</f>
        <v>0</v>
      </c>
      <c r="G1004" s="380">
        <f>VLOOKUP($B999,IF($H999="F",TeamSheetFemale,TeamSheetMale),$Y1004,FALSE)</f>
        <v>0</v>
      </c>
      <c r="H1004" s="363">
        <f>VLOOKUP($B999,IF($H999="F",TeamSheetFemale,TeamSheetMale),$Y1004+1,FALSE)</f>
        <v>0</v>
      </c>
      <c r="I1004" s="364">
        <f>VLOOKUP($B999,IF($H999="F",TeamSheetFemale,TeamSheetMale),$Y1004+2,FALSE)</f>
        <v>0</v>
      </c>
      <c r="K1004" s="341" t="s">
        <v>275</v>
      </c>
      <c r="L1004" s="16" t="str">
        <f t="shared" si="894"/>
        <v/>
      </c>
      <c r="M1004" s="927"/>
      <c r="N1004" s="927"/>
      <c r="O1004" s="353" t="str">
        <f>IF(LEN($M1004)=1,VLOOKUP(LEFT($M1004,1),B1000:I1007,5,FALSE),IF(LEN($M1004)=2,VLOOKUP(LEFT($M1004,1),B1000:I1007,7,FALSE),""))</f>
        <v/>
      </c>
      <c r="P1004" s="373" t="str">
        <f>IF(LEN($M1004)=1,VLOOKUP(LEFT($M1004,1),B1000:I1007,6,FALSE),IF(LEN($M1004)=2,VLOOKUP(LEFT($M1004,1),B1000:I1007,8,FALSE),""))</f>
        <v/>
      </c>
      <c r="Q1004" s="341" t="s">
        <v>275</v>
      </c>
      <c r="R1004" s="146" t="str">
        <f t="shared" si="895"/>
        <v/>
      </c>
      <c r="S1004" s="927"/>
      <c r="T1004" s="927"/>
      <c r="U1004" s="353" t="str">
        <f>IF(LEN($S1004)=1,VLOOKUP(LEFT($S1004,1),B1000:I1007,5,FALSE),IF(LEN($S1004)=2,VLOOKUP(LEFT($S1004,1),B1000:I1007,7,FALSE),""))</f>
        <v/>
      </c>
      <c r="V1004" s="373" t="str">
        <f>IF(LEN($S1004)=1,VLOOKUP(LEFT($S1004,1),B1000:I1007,6,FALSE),IF(LEN($S1004)=2,VLOOKUP(LEFT($S1004,1),B1000:I1007,8,FALSE),""))</f>
        <v/>
      </c>
      <c r="W1004" s="417">
        <f t="shared" si="902"/>
        <v>4</v>
      </c>
      <c r="Y1004" s="417">
        <v>27</v>
      </c>
      <c r="Z1004" s="16">
        <f t="shared" si="896"/>
        <v>0</v>
      </c>
      <c r="AA1004" s="146">
        <f t="shared" si="897"/>
        <v>0</v>
      </c>
      <c r="AB1004" s="32"/>
      <c r="AC1004" s="16" t="str">
        <f t="shared" si="898"/>
        <v>M</v>
      </c>
      <c r="AD1004" s="419" t="str">
        <f t="shared" si="898"/>
        <v>Solihull &amp; S.Heath</v>
      </c>
      <c r="AE1004" s="419">
        <f>IF(ISNA(MATCH(AC1004,N1000:N1009,0)),0,VLOOKUP(AC1004,N1000:S1009,5,FALSE))</f>
        <v>0</v>
      </c>
      <c r="AF1004" s="419" t="str">
        <f>IF(ISNA(MATCH(AC1004,T1000:T1009,0))," ",VLOOKUP(AC1004,T1000:Y1009,5,FALSE))</f>
        <v xml:space="preserve"> </v>
      </c>
      <c r="AG1004" s="419">
        <f>IF(ISNA(MATCH(AC1004,L1000:L1007,0)),0,VLOOKUP(AC1004,L1000:N1007,3,FALSE))</f>
        <v>0</v>
      </c>
      <c r="AH1004" s="419">
        <f>IF(ISNA(MATCH(AC1004,R1000:R1007,0)),0,VLOOKUP(AC1004,R1000:T1007,3,FALSE))</f>
        <v>0</v>
      </c>
      <c r="AI1004" s="419">
        <f>IF(ISNA(MATCH(AC1004,L1000:L1007,0)),0,VLOOKUP(AC1004,L1000:P1007,4,FALSE))</f>
        <v>0</v>
      </c>
      <c r="AJ1004" s="419">
        <f>IF(ISNA(MATCH(AC1004,R1000:R1007,0)),0,VLOOKUP(AC1004,R1000:U1007,4,FALSE))</f>
        <v>0</v>
      </c>
      <c r="AK1004" s="32">
        <f t="shared" si="899"/>
        <v>0</v>
      </c>
      <c r="AL1004" s="32">
        <f t="shared" si="900"/>
        <v>0</v>
      </c>
      <c r="AM1004" s="32">
        <f>IF(ISNA(MATCH(AC1004,L1000:L1007,0)),0,VLOOKUP(AC1004,L1000:W1007,AM$1,FALSE))</f>
        <v>0</v>
      </c>
      <c r="AN1004" s="146">
        <f>IF(ISNA(MATCH(AC1004,R1000:R1007,0)),0,VLOOKUP(AC1004,R1000:W1007,AN$1,FALSE))</f>
        <v>0</v>
      </c>
      <c r="AP1004" s="927"/>
      <c r="AQ1004" s="927"/>
    </row>
    <row r="1005" spans="1:47" ht="15.6" x14ac:dyDescent="0.3">
      <c r="A1005" s="417">
        <f t="shared" si="901"/>
        <v>906</v>
      </c>
      <c r="B1005" s="362" t="str">
        <f>'Event Details'!D$27</f>
        <v>D</v>
      </c>
      <c r="C1005" s="381" t="str">
        <f>'Event Details'!E$27</f>
        <v>Stratford</v>
      </c>
      <c r="D1005" s="379"/>
      <c r="E1005" s="378"/>
      <c r="F1005" s="363">
        <f>VLOOKUP($B999,IF($H999="F",TeamSheetFemale,TeamSheetMale),$Y1005-1,FALSE)</f>
        <v>0</v>
      </c>
      <c r="G1005" s="380">
        <f>VLOOKUP($B999,IF($H999="F",TeamSheetFemale,TeamSheetMale),$Y1005,FALSE)</f>
        <v>0</v>
      </c>
      <c r="H1005" s="363">
        <f>VLOOKUP($B999,IF($H999="F",TeamSheetFemale,TeamSheetMale),$Y1005+1,FALSE)</f>
        <v>0</v>
      </c>
      <c r="I1005" s="364">
        <f>VLOOKUP($B999,IF($H999="F",TeamSheetFemale,TeamSheetMale),$Y1005+2,FALSE)</f>
        <v>0</v>
      </c>
      <c r="K1005" s="341" t="s">
        <v>276</v>
      </c>
      <c r="L1005" s="16" t="str">
        <f t="shared" si="894"/>
        <v/>
      </c>
      <c r="M1005" s="927"/>
      <c r="N1005" s="927"/>
      <c r="O1005" s="353" t="str">
        <f>IF(LEN($M1005)=1,VLOOKUP(LEFT($M1005,1),B1000:I1007,5,FALSE),IF(LEN($M1005)=2,VLOOKUP(LEFT($M1005,1),B1000:I1007,7,FALSE),""))</f>
        <v/>
      </c>
      <c r="P1005" s="373" t="str">
        <f>IF(LEN($M1005)=1,VLOOKUP(LEFT($M1005,1),B1000:I1007,6,FALSE),IF(LEN($M1005)=2,VLOOKUP(LEFT($M1005,1),B1000:I1007,8,FALSE),""))</f>
        <v/>
      </c>
      <c r="Q1005" s="341" t="s">
        <v>276</v>
      </c>
      <c r="R1005" s="146" t="str">
        <f t="shared" si="895"/>
        <v/>
      </c>
      <c r="S1005" s="927"/>
      <c r="T1005" s="927"/>
      <c r="U1005" s="353" t="str">
        <f>IF(LEN($S1005)=1,VLOOKUP(LEFT($S1005,1),B1000:I1007,5,FALSE),IF(LEN($S1005)=2,VLOOKUP(LEFT($S1005,1),B1000:I1007,7,FALSE),""))</f>
        <v/>
      </c>
      <c r="V1005" s="373" t="str">
        <f>IF(LEN($S1005)=1,VLOOKUP(LEFT($S1005,1),B1000:I1007,6,FALSE),IF(LEN($S1005)=2,VLOOKUP(LEFT($S1005,1),B1000:I1007,8,FALSE),""))</f>
        <v/>
      </c>
      <c r="W1005" s="417">
        <f t="shared" si="902"/>
        <v>3</v>
      </c>
      <c r="Y1005" s="417">
        <v>32</v>
      </c>
      <c r="Z1005" s="16">
        <f t="shared" si="896"/>
        <v>0</v>
      </c>
      <c r="AA1005" s="146">
        <f t="shared" si="897"/>
        <v>0</v>
      </c>
      <c r="AB1005" s="32"/>
      <c r="AC1005" s="16" t="str">
        <f t="shared" si="898"/>
        <v>D</v>
      </c>
      <c r="AD1005" s="419" t="str">
        <f t="shared" si="898"/>
        <v>Stratford</v>
      </c>
      <c r="AE1005" s="419">
        <f>IF(ISNA(MATCH(AC1005,N1000:N1009,0)),0,VLOOKUP(AC1005,N1000:S1009,5,FALSE))</f>
        <v>0</v>
      </c>
      <c r="AF1005" s="419" t="str">
        <f>IF(ISNA(MATCH(AC1005,T1000:T1009,0))," ",VLOOKUP(AC1005,T1000:Y1009,5,FALSE))</f>
        <v xml:space="preserve"> </v>
      </c>
      <c r="AG1005" s="419">
        <f>IF(ISNA(MATCH(AC1005,L1000:L1007,0)),0,VLOOKUP(AC1005,L1000:N1007,3,FALSE))</f>
        <v>0</v>
      </c>
      <c r="AH1005" s="419">
        <f>IF(ISNA(MATCH(AC1005,R1000:R1007,0)),0,VLOOKUP(AC1005,R1000:T1007,3,FALSE))</f>
        <v>0</v>
      </c>
      <c r="AI1005" s="419">
        <f>IF(ISNA(MATCH(AC1005,L1000:L1007,0)),0,VLOOKUP(AC1005,L1000:P1007,4,FALSE))</f>
        <v>0</v>
      </c>
      <c r="AJ1005" s="419">
        <f>IF(ISNA(MATCH(AC1005,R1000:R1007,0)),0,VLOOKUP(AC1005,R1000:U1007,4,FALSE))</f>
        <v>0</v>
      </c>
      <c r="AK1005" s="32">
        <f t="shared" si="899"/>
        <v>0</v>
      </c>
      <c r="AL1005" s="32">
        <f t="shared" si="900"/>
        <v>0</v>
      </c>
      <c r="AM1005" s="32">
        <f>IF(ISNA(MATCH(AC1005,L1000:L1007,0)),0,VLOOKUP(AC1005,L1000:W1007,AM$1,FALSE))</f>
        <v>0</v>
      </c>
      <c r="AN1005" s="146">
        <f>IF(ISNA(MATCH(AC1005,R1000:R1007,0)),0,VLOOKUP(AC1005,R1000:W1007,AN$1,FALSE))</f>
        <v>0</v>
      </c>
      <c r="AP1005" s="927"/>
      <c r="AQ1005" s="927"/>
    </row>
    <row r="1006" spans="1:47" ht="15.6" x14ac:dyDescent="0.3">
      <c r="A1006" s="417">
        <f t="shared" si="901"/>
        <v>907</v>
      </c>
      <c r="B1006" s="362" t="str">
        <f>'Event Details'!D$28</f>
        <v>F</v>
      </c>
      <c r="C1006" s="381" t="str">
        <f>'Event Details'!E$28</f>
        <v>Tamworth</v>
      </c>
      <c r="D1006" s="379"/>
      <c r="E1006" s="378"/>
      <c r="F1006" s="363">
        <f>VLOOKUP($B999,IF($H999="F",TeamSheetFemale,TeamSheetMale),$Y1006-1,FALSE)</f>
        <v>0</v>
      </c>
      <c r="G1006" s="380">
        <f>VLOOKUP($B999,IF($H999="F",TeamSheetFemale,TeamSheetMale),$Y1006,FALSE)</f>
        <v>0</v>
      </c>
      <c r="H1006" s="363">
        <f>VLOOKUP($B999,IF($H999="F",TeamSheetFemale,TeamSheetMale),$Y1006+1,FALSE)</f>
        <v>0</v>
      </c>
      <c r="I1006" s="364">
        <f>VLOOKUP($B999,IF($H999="F",TeamSheetFemale,TeamSheetMale),$Y1006+2,FALSE)</f>
        <v>0</v>
      </c>
      <c r="K1006" s="341" t="s">
        <v>277</v>
      </c>
      <c r="L1006" s="16" t="str">
        <f t="shared" si="894"/>
        <v/>
      </c>
      <c r="M1006" s="927"/>
      <c r="N1006" s="927"/>
      <c r="O1006" s="353" t="str">
        <f>IF(LEN($M1006)=1,VLOOKUP(LEFT($M1006,1),B1000:I1007,5,FALSE),IF(LEN($M1006)=2,VLOOKUP(LEFT($M1006,1),B1000:I1007,7,FALSE),""))</f>
        <v/>
      </c>
      <c r="P1006" s="373" t="str">
        <f>IF(LEN($M1006)=1,VLOOKUP(LEFT($M1006,1),B1000:I1007,6,FALSE),IF(LEN($M1006)=2,VLOOKUP(LEFT($M1006,1),B1000:I1007,8,FALSE),""))</f>
        <v/>
      </c>
      <c r="Q1006" s="341" t="s">
        <v>277</v>
      </c>
      <c r="R1006" s="146" t="str">
        <f t="shared" si="895"/>
        <v/>
      </c>
      <c r="S1006" s="927"/>
      <c r="T1006" s="927"/>
      <c r="U1006" s="353" t="str">
        <f>IF(LEN($S1006)=1,VLOOKUP(LEFT($S1006,1),B1000:I1007,5,FALSE),IF(LEN($S1006)=2,VLOOKUP(LEFT($S1006,1),B1000:I1007,7,FALSE),""))</f>
        <v/>
      </c>
      <c r="V1006" s="373" t="str">
        <f>IF(LEN($S1006)=1,VLOOKUP(LEFT($S1006,1),B1000:I1007,6,FALSE),IF(LEN($S1006)=2,VLOOKUP(LEFT($S1006,1),B1000:I1007,8,FALSE),""))</f>
        <v/>
      </c>
      <c r="W1006" s="417">
        <f t="shared" si="902"/>
        <v>2</v>
      </c>
      <c r="Y1006" s="417">
        <v>37</v>
      </c>
      <c r="Z1006" s="16">
        <f t="shared" si="896"/>
        <v>0</v>
      </c>
      <c r="AA1006" s="146">
        <f t="shared" si="897"/>
        <v>0</v>
      </c>
      <c r="AB1006" s="32"/>
      <c r="AC1006" s="16" t="str">
        <f t="shared" si="898"/>
        <v>F</v>
      </c>
      <c r="AD1006" s="419" t="str">
        <f t="shared" si="898"/>
        <v>Tamworth</v>
      </c>
      <c r="AE1006" s="419">
        <f>IF(ISNA(MATCH(AC1006,N998:N1007,0)),0,VLOOKUP(AC1006,N998:S1007,5,FALSE))</f>
        <v>0</v>
      </c>
      <c r="AF1006" s="419" t="str">
        <f>IF(ISNA(MATCH(AC1006,T998:T1007,0))," ",VLOOKUP(AC1006,T998:Y1007,5,FALSE))</f>
        <v xml:space="preserve"> </v>
      </c>
      <c r="AG1006" s="419">
        <f>IF(ISNA(MATCH(AC1006,L1000:L1007,0)),0,VLOOKUP(AC1006,L1000:N1007,3,FALSE))</f>
        <v>0</v>
      </c>
      <c r="AH1006" s="419">
        <f>IF(ISNA(MATCH(AC1006,R1000:R1007,0)),0,VLOOKUP(AC1006,R1000:T1007,3,FALSE))</f>
        <v>0</v>
      </c>
      <c r="AI1006" s="419">
        <f>IF(ISNA(MATCH(AC1006,L1000:L1007,0)),0,VLOOKUP(AC1006,L1000:P1007,4,FALSE))</f>
        <v>0</v>
      </c>
      <c r="AJ1006" s="419">
        <f>IF(ISNA(MATCH(AC1006,R1000:R1007,0)),0,VLOOKUP(AC1006,R1000:U1007,4,FALSE))</f>
        <v>0</v>
      </c>
      <c r="AK1006" s="32">
        <f t="shared" si="899"/>
        <v>0</v>
      </c>
      <c r="AL1006" s="32">
        <f t="shared" si="900"/>
        <v>0</v>
      </c>
      <c r="AM1006" s="32">
        <f>IF(ISNA(MATCH(AC1006,L1000:L1007,0)),0,VLOOKUP(AC1006,L1000:W1007,AM$1,FALSE))</f>
        <v>0</v>
      </c>
      <c r="AN1006" s="146">
        <f>IF(ISNA(MATCH(AC1006,R1000:R1007,0)),0,VLOOKUP(AC1006,R1000:W1007,AN$1,FALSE))</f>
        <v>0</v>
      </c>
      <c r="AP1006" s="927"/>
      <c r="AQ1006" s="927"/>
    </row>
    <row r="1007" spans="1:47" ht="16.2" thickBot="1" x14ac:dyDescent="0.35">
      <c r="A1007" s="418">
        <f t="shared" si="901"/>
        <v>908</v>
      </c>
      <c r="B1007" s="365" t="str">
        <f>'Event Details'!D$29</f>
        <v>Y</v>
      </c>
      <c r="C1007" s="366" t="str">
        <f>'Event Details'!E$29</f>
        <v>Worcester</v>
      </c>
      <c r="D1007" s="361"/>
      <c r="E1007" s="370"/>
      <c r="F1007" s="367">
        <f>VLOOKUP($B999,IF($H999="F",TeamSheetFemale,TeamSheetMale),$Y1007-1,FALSE)</f>
        <v>0</v>
      </c>
      <c r="G1007" s="368">
        <f>VLOOKUP($B999,IF($H999="F",TeamSheetFemale,TeamSheetMale),$Y1007,FALSE)</f>
        <v>0</v>
      </c>
      <c r="H1007" s="367">
        <f>VLOOKUP($B999,IF($H999="F",TeamSheetFemale,TeamSheetMale),$Y1007+1,FALSE)</f>
        <v>0</v>
      </c>
      <c r="I1007" s="369">
        <f>VLOOKUP($B999,IF($H999="F",TeamSheetFemale,TeamSheetMale),$Y1007+2,FALSE)</f>
        <v>0</v>
      </c>
      <c r="K1007" s="346" t="s">
        <v>278</v>
      </c>
      <c r="L1007" s="25" t="str">
        <f t="shared" si="894"/>
        <v/>
      </c>
      <c r="M1007" s="932"/>
      <c r="N1007" s="932"/>
      <c r="O1007" s="375" t="str">
        <f>IF(LEN($M1007)=1,VLOOKUP(LEFT($M1007,1),B1000:I1007,5,FALSE),IF(LEN($M1007)=2,VLOOKUP(LEFT($M1007,1),B1000:I1007,7,FALSE),""))</f>
        <v/>
      </c>
      <c r="P1007" s="376" t="str">
        <f>IF(LEN($M1007)=1,VLOOKUP(LEFT($M1007,1),B1000:I1007,6,FALSE),IF(LEN($M1007)=2,VLOOKUP(LEFT($M1007,1),B1000:I1007,8,FALSE),""))</f>
        <v/>
      </c>
      <c r="Q1007" s="346" t="s">
        <v>278</v>
      </c>
      <c r="R1007" s="523" t="str">
        <f t="shared" si="895"/>
        <v/>
      </c>
      <c r="S1007" s="932"/>
      <c r="T1007" s="932"/>
      <c r="U1007" s="375" t="str">
        <f>IF(LEN($S1007)=1,VLOOKUP(LEFT($S1007,1),B1000:I1007,5,FALSE),IF(LEN($S1007)=2,VLOOKUP(LEFT($S1007,1),B1000:I1007,7,FALSE),""))</f>
        <v/>
      </c>
      <c r="V1007" s="376" t="str">
        <f>IF(LEN($S1007)=1,VLOOKUP(LEFT($S1007,1),B1000:I1007,6,FALSE),IF(LEN($S1007)=2,VLOOKUP(LEFT($S1007,1),B1000:I1007,8,FALSE),""))</f>
        <v/>
      </c>
      <c r="W1007" s="418">
        <f t="shared" si="902"/>
        <v>1</v>
      </c>
      <c r="Y1007" s="418">
        <v>42</v>
      </c>
      <c r="Z1007" s="25">
        <f t="shared" si="896"/>
        <v>0</v>
      </c>
      <c r="AA1007" s="523">
        <f t="shared" si="897"/>
        <v>0</v>
      </c>
      <c r="AB1007" s="32"/>
      <c r="AC1007" s="25" t="str">
        <f t="shared" si="898"/>
        <v>Y</v>
      </c>
      <c r="AD1007" s="624" t="str">
        <f t="shared" si="898"/>
        <v>Worcester</v>
      </c>
      <c r="AE1007" s="624">
        <f>IF(ISNA(MATCH(AC1007,N999:N1008,0)),0,VLOOKUP(AC1007,N999:S1008,5,FALSE))</f>
        <v>0</v>
      </c>
      <c r="AF1007" s="624" t="str">
        <f t="shared" ref="AF1007" si="903">IF(ISNA(MATCH(AC1007,T999:T1008,0))," ",VLOOKUP(AC1007,T999:Y1008,5,FALSE))</f>
        <v xml:space="preserve"> </v>
      </c>
      <c r="AG1007" s="624">
        <f>IF(ISNA(MATCH(AC1007,L1000:L1007,0)),0,VLOOKUP(AC1007,L1000:N1007,3,FALSE))</f>
        <v>0</v>
      </c>
      <c r="AH1007" s="624">
        <f>IF(ISNA(MATCH(AC1007,R1000:R1007,0)),0,VLOOKUP(AC1007,R1000:T1007,3,FALSE))</f>
        <v>0</v>
      </c>
      <c r="AI1007" s="624">
        <f>IF(ISNA(MATCH(AC1007,L1000:L1007,0)),0,VLOOKUP(AC1007,L1000:P1007,4,FALSE))</f>
        <v>0</v>
      </c>
      <c r="AJ1007" s="624">
        <f>IF(ISNA(MATCH(AC1007,R1000:R1007,0)),0,VLOOKUP(AC1007,R1000:U1007,4,FALSE))</f>
        <v>0</v>
      </c>
      <c r="AK1007" s="116">
        <f t="shared" si="899"/>
        <v>0</v>
      </c>
      <c r="AL1007" s="116">
        <f t="shared" si="900"/>
        <v>0</v>
      </c>
      <c r="AM1007" s="116">
        <f>IF(ISNA(MATCH(AC1007,L1000:L1007,0)),0,VLOOKUP(AC1007,L1000:W1007,AM$1,FALSE))</f>
        <v>0</v>
      </c>
      <c r="AN1007" s="523">
        <f>IF(ISNA(MATCH(AC1007,R1000:R1007,0)),0,VLOOKUP(AC1007,R1000:W1007,AN$1,FALSE))</f>
        <v>0</v>
      </c>
      <c r="AP1007" s="932"/>
      <c r="AQ1007" s="932"/>
    </row>
    <row r="1008" spans="1:47" ht="15" thickBot="1" x14ac:dyDescent="0.35">
      <c r="K1008" s="1207" t="s">
        <v>280</v>
      </c>
      <c r="M1008" s="276"/>
      <c r="N1008" s="276"/>
      <c r="S1008" s="276"/>
      <c r="T1008" s="276"/>
      <c r="AP1008" s="276"/>
      <c r="AQ1008" s="276"/>
    </row>
    <row r="1009" spans="1:47" x14ac:dyDescent="0.3">
      <c r="B1009" s="400" t="s">
        <v>258</v>
      </c>
      <c r="C1009" s="398"/>
      <c r="D1009" s="401" t="s">
        <v>165</v>
      </c>
      <c r="E1009" s="398"/>
      <c r="F1009" s="398"/>
      <c r="G1009" s="402" t="s">
        <v>259</v>
      </c>
      <c r="H1009" s="403" t="s">
        <v>249</v>
      </c>
      <c r="I1009" s="404" t="s">
        <v>168</v>
      </c>
      <c r="K1009" s="360"/>
      <c r="L1009" s="661"/>
      <c r="M1009" s="387" t="s">
        <v>260</v>
      </c>
      <c r="N1009" s="387" t="s">
        <v>261</v>
      </c>
      <c r="O1009" s="387" t="s">
        <v>262</v>
      </c>
      <c r="P1009" s="388" t="s">
        <v>75</v>
      </c>
      <c r="Q1009" s="389"/>
      <c r="R1009" s="657"/>
      <c r="S1009" s="387" t="s">
        <v>260</v>
      </c>
      <c r="T1009" s="387" t="s">
        <v>261</v>
      </c>
      <c r="U1009" s="387" t="s">
        <v>262</v>
      </c>
      <c r="V1009" s="388" t="s">
        <v>75</v>
      </c>
      <c r="W1009" s="672" t="s">
        <v>76</v>
      </c>
      <c r="Y1009" s="414" t="s">
        <v>263</v>
      </c>
      <c r="Z1009" s="656" t="s">
        <v>74</v>
      </c>
      <c r="AA1009" s="657" t="s">
        <v>75</v>
      </c>
      <c r="AC1009" s="665" t="s">
        <v>71</v>
      </c>
      <c r="AD1009" s="657" t="s">
        <v>86</v>
      </c>
      <c r="AE1009" s="661" t="s">
        <v>149</v>
      </c>
      <c r="AF1009" s="661" t="s">
        <v>94</v>
      </c>
      <c r="AG1009" s="661" t="s">
        <v>149</v>
      </c>
      <c r="AH1009" s="661" t="s">
        <v>94</v>
      </c>
      <c r="AI1009" s="661" t="s">
        <v>149</v>
      </c>
      <c r="AJ1009" s="661" t="s">
        <v>94</v>
      </c>
      <c r="AK1009" s="1332" t="s">
        <v>149</v>
      </c>
      <c r="AL1009" s="661" t="s">
        <v>94</v>
      </c>
      <c r="AM1009" s="1406" t="s">
        <v>76</v>
      </c>
      <c r="AN1009" s="1407"/>
      <c r="AP1009" s="387" t="s">
        <v>260</v>
      </c>
      <c r="AQ1009" s="387" t="s">
        <v>261</v>
      </c>
      <c r="AS1009" s="1218" t="s">
        <v>165</v>
      </c>
      <c r="AT1009" s="1219" t="s">
        <v>79</v>
      </c>
      <c r="AU1009" s="1220" t="s">
        <v>80</v>
      </c>
    </row>
    <row r="1010" spans="1:47" ht="15" thickBot="1" x14ac:dyDescent="0.35">
      <c r="B1010" s="405">
        <v>91</v>
      </c>
      <c r="C1010" s="399"/>
      <c r="D1010" s="385" t="str">
        <f>VLOOKUP($B1010,EventOrder,6,FALSE)</f>
        <v>800m U14 Male</v>
      </c>
      <c r="E1010" s="399"/>
      <c r="F1010" s="385"/>
      <c r="G1010" s="386" t="str">
        <f>VLOOKUP($B1010,EventOrder,4,FALSE)</f>
        <v>U14 Male</v>
      </c>
      <c r="H1010" s="396" t="str">
        <f>IF(MID(G1010,5,1)="F","F","M")</f>
        <v>M</v>
      </c>
      <c r="I1010" s="397">
        <f>VLOOKUP($B1010,EventOrder,2,FALSE)</f>
        <v>11.4</v>
      </c>
      <c r="K1010" s="377"/>
      <c r="L1010" s="667" t="s">
        <v>149</v>
      </c>
      <c r="M1010" s="409" t="s">
        <v>264</v>
      </c>
      <c r="N1010" s="409" t="s">
        <v>265</v>
      </c>
      <c r="O1010" s="390" t="s">
        <v>266</v>
      </c>
      <c r="P1010" s="391"/>
      <c r="Q1010" s="392"/>
      <c r="R1010" s="659" t="s">
        <v>94</v>
      </c>
      <c r="S1010" s="409" t="s">
        <v>264</v>
      </c>
      <c r="T1010" s="409" t="s">
        <v>265</v>
      </c>
      <c r="U1010" s="390" t="s">
        <v>266</v>
      </c>
      <c r="V1010" s="391"/>
      <c r="W1010" s="671"/>
      <c r="Y1010" s="415" t="s">
        <v>167</v>
      </c>
      <c r="Z1010" s="658" t="s">
        <v>149</v>
      </c>
      <c r="AA1010" s="659" t="s">
        <v>94</v>
      </c>
      <c r="AC1010" s="666"/>
      <c r="AD1010" s="668"/>
      <c r="AE1010" s="768" t="s">
        <v>75</v>
      </c>
      <c r="AF1010" s="768" t="s">
        <v>75</v>
      </c>
      <c r="AG1010" s="768" t="s">
        <v>267</v>
      </c>
      <c r="AH1010" s="768" t="s">
        <v>267</v>
      </c>
      <c r="AI1010" s="768" t="s">
        <v>268</v>
      </c>
      <c r="AJ1010" s="768" t="s">
        <v>268</v>
      </c>
      <c r="AK1010" s="770" t="s">
        <v>269</v>
      </c>
      <c r="AL1010" s="768" t="s">
        <v>269</v>
      </c>
      <c r="AM1010" s="667" t="s">
        <v>149</v>
      </c>
      <c r="AN1010" s="659" t="s">
        <v>94</v>
      </c>
      <c r="AP1010" s="409" t="s">
        <v>264</v>
      </c>
      <c r="AQ1010" s="409" t="s">
        <v>265</v>
      </c>
      <c r="AS1010" s="1221" t="s">
        <v>270</v>
      </c>
      <c r="AT1010" s="1222" t="s">
        <v>270</v>
      </c>
      <c r="AU1010" s="1223" t="s">
        <v>270</v>
      </c>
    </row>
    <row r="1011" spans="1:47" ht="15.6" x14ac:dyDescent="0.3">
      <c r="A1011" s="416">
        <f>(B1010*10)+1</f>
        <v>911</v>
      </c>
      <c r="B1011" s="362" t="str">
        <f>'Event Details'!D$22</f>
        <v>S</v>
      </c>
      <c r="C1011" s="381" t="str">
        <f>'Event Details'!E$22</f>
        <v>BRAT</v>
      </c>
      <c r="D1011" s="379"/>
      <c r="E1011" s="378"/>
      <c r="F1011" s="363">
        <f>VLOOKUP($B1010,IF($H1010="F",TeamSheetFemale,TeamSheetMale),$Y1011-1,FALSE)</f>
        <v>28</v>
      </c>
      <c r="G1011" s="380" t="str">
        <f>VLOOKUP($B1010,IF($H1010="F",TeamSheetFemale,TeamSheetMale),$Y1011,FALSE)</f>
        <v xml:space="preserve">Thomas Woodward </v>
      </c>
      <c r="H1011" s="363">
        <f>VLOOKUP($B1010,IF($H1010="F",TeamSheetFemale,TeamSheetMale),$Y1011+1,FALSE)</f>
        <v>0</v>
      </c>
      <c r="I1011" s="364">
        <f>VLOOKUP($B1010,IF($H1010="F",TeamSheetFemale,TeamSheetMale),$Y1011+2,FALSE)</f>
        <v>0</v>
      </c>
      <c r="K1011" s="393" t="s">
        <v>271</v>
      </c>
      <c r="L1011" s="16" t="str">
        <f t="shared" ref="L1011:L1018" si="904">LEFT(M1011,1)</f>
        <v>G</v>
      </c>
      <c r="M1011" s="926" t="s">
        <v>110</v>
      </c>
      <c r="N1011" s="926" t="s">
        <v>998</v>
      </c>
      <c r="O1011" s="394">
        <v>18</v>
      </c>
      <c r="P1011" s="395" t="str">
        <f>IF(LEN($M1011)=1,VLOOKUP(LEFT($M1011,1),B1011:I1018,6,FALSE),IF(LEN($M1011)=2,VLOOKUP(LEFT($M1011,1),B1011:I1018,8,FALSE),""))</f>
        <v>Luke Perry</v>
      </c>
      <c r="Q1011" s="393" t="s">
        <v>271</v>
      </c>
      <c r="R1011" s="146" t="str">
        <f t="shared" ref="R1011:R1018" si="905">LEFT(S1011,1)</f>
        <v/>
      </c>
      <c r="S1011" s="926"/>
      <c r="T1011" s="926"/>
      <c r="U1011" s="394" t="str">
        <f>IF(LEN($S1011)=1,VLOOKUP(LEFT($S1011,1),B1011:I1018,5,FALSE),IF(LEN($S1011)=2,VLOOKUP(LEFT($S1011,1),B1011:I1018,7,FALSE),""))</f>
        <v/>
      </c>
      <c r="V1011" s="395" t="str">
        <f>IF(LEN($S1011)=1,VLOOKUP(LEFT($S1011,1),B1011:I1018,6,FALSE),IF(LEN($S1011)=2,VLOOKUP(LEFT($S1011,1),B1011:I1018,8,FALSE),""))</f>
        <v/>
      </c>
      <c r="W1011" s="417">
        <f>AN$6</f>
        <v>8</v>
      </c>
      <c r="Y1011" s="416">
        <v>7</v>
      </c>
      <c r="Z1011" s="653" t="str">
        <f t="shared" ref="Z1011:Z1018" si="906">IF(LEN(M1011)&gt;0,VLOOKUP(LEFT(M1011,1),ShortName,5,FALSE),0)</f>
        <v>Royal</v>
      </c>
      <c r="AA1011" s="138">
        <f t="shared" ref="AA1011:AA1018" si="907">IF(LEN(S1011)&gt;0,VLOOKUP(LEFT(S1011,1),ShortName,5,FALSE),0)</f>
        <v>0</v>
      </c>
      <c r="AC1011" s="16" t="str">
        <f t="shared" ref="AC1011:AD1018" si="908">B1011</f>
        <v>S</v>
      </c>
      <c r="AD1011" s="419" t="str">
        <f t="shared" si="908"/>
        <v>BRAT</v>
      </c>
      <c r="AE1011" s="635">
        <f>IF(ISNA(MATCH(AC1011,N1011:N1020,0)),0,VLOOKUP(AC1011,N1011:S1020,5,FALSE))</f>
        <v>0</v>
      </c>
      <c r="AF1011" s="635" t="str">
        <f>IF(ISNA(MATCH(AC1011,T1011:T1020,0))," ",VLOOKUP(AC1011,T1011:Y1020,5,FALSE))</f>
        <v xml:space="preserve"> </v>
      </c>
      <c r="AG1011" s="635">
        <f>IF(ISNA(MATCH(AC1011,L1011:L1018,0)),0,VLOOKUP(AC1011,L1011:N1018,3,FALSE))</f>
        <v>0</v>
      </c>
      <c r="AH1011" s="635">
        <f>IF(ISNA(MATCH(AC1011,R1011:R1018,0)),0,VLOOKUP(AC1011,R1011:T1018,3,FALSE))</f>
        <v>0</v>
      </c>
      <c r="AI1011" s="635">
        <f>IF(ISNA(MATCH(AC1011,L1011:L1018,0)),0,VLOOKUP(AC1011,L1011:P1018,4,FALSE))</f>
        <v>0</v>
      </c>
      <c r="AJ1011" s="635">
        <f>IF(ISNA(MATCH(AC1011,R1011:R1018,0)),0,VLOOKUP(AC1011,R1011:U1018,4,FALSE))</f>
        <v>0</v>
      </c>
      <c r="AK1011" s="49">
        <f t="shared" ref="AK1011:AK1018" si="909">IF(AM1011=0,0,AN$6-(AM1011-1))</f>
        <v>0</v>
      </c>
      <c r="AL1011" s="49">
        <f t="shared" ref="AL1011:AL1018" si="910">IF(AN1011=0,0,AN$6-(AN1011-1))</f>
        <v>0</v>
      </c>
      <c r="AM1011" s="49">
        <f>IF(ISNA(MATCH(AC1011,L1011:L1018,0)),0,VLOOKUP(AC1011,L1011:W1018,AM$1,FALSE))</f>
        <v>0</v>
      </c>
      <c r="AN1011" s="138">
        <f>IF(ISNA(MATCH(AC1011,R1011:R1018,0)),0,VLOOKUP(AC1011,R1011:W1018,AN$1,FALSE))</f>
        <v>0</v>
      </c>
      <c r="AP1011" s="926"/>
      <c r="AQ1011" s="926"/>
      <c r="AS1011" s="32">
        <f>IF(LEN(N1011)&gt;0,1,0)</f>
        <v>1</v>
      </c>
      <c r="AT1011" s="32">
        <f>IF(AND(AS1011=1,H1010="M"),1,0)</f>
        <v>1</v>
      </c>
      <c r="AU1011" s="32">
        <f>IF(AND(AS1011=1,H1010="F"),1,0)</f>
        <v>0</v>
      </c>
    </row>
    <row r="1012" spans="1:47" ht="15.6" x14ac:dyDescent="0.3">
      <c r="A1012" s="417">
        <f>A1011+1</f>
        <v>912</v>
      </c>
      <c r="B1012" s="362" t="str">
        <f>'Event Details'!D$23</f>
        <v>U</v>
      </c>
      <c r="C1012" s="381" t="str">
        <f>'Event Details'!E$23</f>
        <v>Kidder &amp; Stourport</v>
      </c>
      <c r="D1012" s="379"/>
      <c r="E1012" s="378"/>
      <c r="F1012" s="363">
        <f>VLOOKUP($B1010,IF($H1010="F",TeamSheetFemale,TeamSheetMale),$Y1012-1,FALSE)</f>
        <v>0</v>
      </c>
      <c r="G1012" s="380">
        <f>VLOOKUP($B1010,IF($H1010="F",TeamSheetFemale,TeamSheetMale),$Y1012,FALSE)</f>
        <v>0</v>
      </c>
      <c r="H1012" s="363">
        <f>VLOOKUP($B1010,IF($H1010="F",TeamSheetFemale,TeamSheetMale),$Y1012+1,FALSE)</f>
        <v>0</v>
      </c>
      <c r="I1012" s="364">
        <f>VLOOKUP($B1010,IF($H1010="F",TeamSheetFemale,TeamSheetMale),$Y1012+2,FALSE)</f>
        <v>0</v>
      </c>
      <c r="K1012" s="341" t="s">
        <v>272</v>
      </c>
      <c r="L1012" s="16" t="str">
        <f t="shared" si="904"/>
        <v/>
      </c>
      <c r="M1012" s="927"/>
      <c r="N1012" s="927"/>
      <c r="O1012" s="353" t="str">
        <f>IF(LEN($M1012)=1,VLOOKUP(LEFT($M1012,1),B1011:I1018,5,FALSE),IF(LEN($M1012)=2,VLOOKUP(LEFT($M1012,1),B1011:I1018,7,FALSE),""))</f>
        <v/>
      </c>
      <c r="P1012" s="373" t="str">
        <f>IF(LEN($M1012)=1,VLOOKUP(LEFT($M1012,1),B1011:I1018,6,FALSE),IF(LEN($M1012)=2,VLOOKUP(LEFT($M1012,1),B1011:I1018,8,FALSE),""))</f>
        <v/>
      </c>
      <c r="Q1012" s="341" t="s">
        <v>272</v>
      </c>
      <c r="R1012" s="146" t="str">
        <f t="shared" si="905"/>
        <v/>
      </c>
      <c r="S1012" s="927"/>
      <c r="T1012" s="927"/>
      <c r="U1012" s="353" t="str">
        <f>IF(LEN($S1012)=1,VLOOKUP(LEFT($S1012,1),B1011:I1018,5,FALSE),IF(LEN($S1012)=2,VLOOKUP(LEFT($S1012,1),B1011:I1018,7,FALSE),""))</f>
        <v/>
      </c>
      <c r="V1012" s="373" t="str">
        <f>IF(LEN($S1012)=1,VLOOKUP(LEFT($S1012,1),B1011:I1018,6,FALSE),IF(LEN($S1012)=2,VLOOKUP(LEFT($S1012,1),B1011:I1018,8,FALSE),""))</f>
        <v/>
      </c>
      <c r="W1012" s="417">
        <f>W1011-1</f>
        <v>7</v>
      </c>
      <c r="Y1012" s="417">
        <v>12</v>
      </c>
      <c r="Z1012" s="16">
        <f t="shared" si="906"/>
        <v>0</v>
      </c>
      <c r="AA1012" s="146">
        <f t="shared" si="907"/>
        <v>0</v>
      </c>
      <c r="AC1012" s="16" t="str">
        <f t="shared" si="908"/>
        <v>U</v>
      </c>
      <c r="AD1012" s="419" t="str">
        <f t="shared" si="908"/>
        <v>Kidder &amp; Stourport</v>
      </c>
      <c r="AE1012" s="419">
        <f>IF(ISNA(MATCH(AC1012,N1011:N1020,0)),0,VLOOKUP(AC1012,N1011:S1020,5,FALSE))</f>
        <v>0</v>
      </c>
      <c r="AF1012" s="419" t="str">
        <f>IF(ISNA(MATCH(AC1012,T1011:T1020,0))," ",VLOOKUP(AC1012,T1011:Y1020,5,FALSE))</f>
        <v xml:space="preserve"> </v>
      </c>
      <c r="AG1012" s="419">
        <f>IF(ISNA(MATCH(AC1012,L1011:L1018,0)),0,VLOOKUP(AC1012,L1011:N1018,3,FALSE))</f>
        <v>0</v>
      </c>
      <c r="AH1012" s="419">
        <f>IF(ISNA(MATCH(AC1012,R1011:R1018,0)),0,VLOOKUP(AC1012,R1011:T1018,3,FALSE))</f>
        <v>0</v>
      </c>
      <c r="AI1012" s="419">
        <f>IF(ISNA(MATCH(AC1012,L1011:L1018,0)),0,VLOOKUP(AC1012,L1011:P1018,4,FALSE))</f>
        <v>0</v>
      </c>
      <c r="AJ1012" s="419">
        <f>IF(ISNA(MATCH(AC1012,R1011:R1018,0)),0,VLOOKUP(AC1012,R1011:U1018,4,FALSE))</f>
        <v>0</v>
      </c>
      <c r="AK1012" s="32">
        <f t="shared" si="909"/>
        <v>0</v>
      </c>
      <c r="AL1012" s="32">
        <f t="shared" si="910"/>
        <v>0</v>
      </c>
      <c r="AM1012" s="32">
        <f>IF(ISNA(MATCH(AC1012,L1011:L1018,0)),0,VLOOKUP(AC1012,L1011:W1018,AM$1,FALSE))</f>
        <v>0</v>
      </c>
      <c r="AN1012" s="146">
        <f>IF(ISNA(MATCH(AC1012,R1011:R1018,0)),0,VLOOKUP(AC1012,R1011:W1018,AN$1,FALSE))</f>
        <v>0</v>
      </c>
      <c r="AP1012" s="927"/>
      <c r="AQ1012" s="927"/>
    </row>
    <row r="1013" spans="1:47" ht="15.6" x14ac:dyDescent="0.3">
      <c r="A1013" s="417">
        <f t="shared" ref="A1013:A1018" si="911">A1012+1</f>
        <v>913</v>
      </c>
      <c r="B1013" s="362" t="str">
        <f>'Event Details'!D$24</f>
        <v>G</v>
      </c>
      <c r="C1013" s="381" t="str">
        <f>'Event Details'!E$24</f>
        <v>Royal Sutton</v>
      </c>
      <c r="D1013" s="379"/>
      <c r="E1013" s="378"/>
      <c r="F1013" s="363">
        <f>VLOOKUP($B1010,IF($H1010="F",TeamSheetFemale,TeamSheetMale),$Y1013-1,FALSE)</f>
        <v>18</v>
      </c>
      <c r="G1013" s="380" t="str">
        <f>VLOOKUP($B1010,IF($H1010="F",TeamSheetFemale,TeamSheetMale),$Y1013,FALSE)</f>
        <v>Luke Perry</v>
      </c>
      <c r="H1013" s="363">
        <f>VLOOKUP($B1010,IF($H1010="F",TeamSheetFemale,TeamSheetMale),$Y1013+1,FALSE)</f>
        <v>0</v>
      </c>
      <c r="I1013" s="364">
        <f>VLOOKUP($B1010,IF($H1010="F",TeamSheetFemale,TeamSheetMale),$Y1013+2,FALSE)</f>
        <v>0</v>
      </c>
      <c r="K1013" s="341" t="s">
        <v>273</v>
      </c>
      <c r="L1013" s="16" t="str">
        <f t="shared" si="904"/>
        <v/>
      </c>
      <c r="M1013" s="927"/>
      <c r="N1013" s="927"/>
      <c r="O1013" s="353" t="str">
        <f>IF(LEN($M1013)=1,VLOOKUP(LEFT($M1013,1),B1011:I1018,5,FALSE),IF(LEN($M1013)=2,VLOOKUP(LEFT($M1013,1),B1011:I1018,7,FALSE),""))</f>
        <v/>
      </c>
      <c r="P1013" s="373" t="str">
        <f>IF(LEN($M1013)=1,VLOOKUP(LEFT($M1013,1),B1011:I1018,6,FALSE),IF(LEN($M1013)=2,VLOOKUP(LEFT($M1013,1),B1011:I1018,8,FALSE),""))</f>
        <v/>
      </c>
      <c r="Q1013" s="341" t="s">
        <v>273</v>
      </c>
      <c r="R1013" s="146" t="str">
        <f t="shared" si="905"/>
        <v/>
      </c>
      <c r="S1013" s="927"/>
      <c r="T1013" s="927"/>
      <c r="U1013" s="353" t="str">
        <f>IF(LEN($S1013)=1,VLOOKUP(LEFT($S1013,1),B1011:I1018,5,FALSE),IF(LEN($S1013)=2,VLOOKUP(LEFT($S1013,1),B1011:I1018,7,FALSE),""))</f>
        <v/>
      </c>
      <c r="V1013" s="373" t="str">
        <f>IF(LEN($S1013)=1,VLOOKUP(LEFT($S1013,1),B1011:I1018,6,FALSE),IF(LEN($S1013)=2,VLOOKUP(LEFT($S1013,1),B1011:I1018,8,FALSE),""))</f>
        <v/>
      </c>
      <c r="W1013" s="417">
        <f t="shared" ref="W1013:W1018" si="912">W1012-1</f>
        <v>6</v>
      </c>
      <c r="Y1013" s="417">
        <v>17</v>
      </c>
      <c r="Z1013" s="16">
        <f t="shared" si="906"/>
        <v>0</v>
      </c>
      <c r="AA1013" s="146">
        <f t="shared" si="907"/>
        <v>0</v>
      </c>
      <c r="AB1013" s="32"/>
      <c r="AC1013" s="16" t="str">
        <f t="shared" si="908"/>
        <v>G</v>
      </c>
      <c r="AD1013" s="419" t="str">
        <f t="shared" si="908"/>
        <v>Royal Sutton</v>
      </c>
      <c r="AE1013" s="419">
        <f>IF(ISNA(MATCH(AC1013,N1011:N1020,0)),0,VLOOKUP(AC1013,N1011:S1020,5,FALSE))</f>
        <v>0</v>
      </c>
      <c r="AF1013" s="419" t="str">
        <f>IF(ISNA(MATCH(AC1013,T1011:T1020,0))," ",VLOOKUP(AC1013,T1011:Y1020,5,FALSE))</f>
        <v xml:space="preserve"> </v>
      </c>
      <c r="AG1013" s="419" t="str">
        <f>IF(ISNA(MATCH(AC1013,L1011:L1018,0)),0,VLOOKUP(AC1013,L1011:N1018,3,FALSE))</f>
        <v>2.46.4</v>
      </c>
      <c r="AH1013" s="419">
        <f>IF(ISNA(MATCH(AC1013,R1011:R1018,0)),0,VLOOKUP(AC1013,R1011:T1018,3,FALSE))</f>
        <v>0</v>
      </c>
      <c r="AI1013" s="419">
        <f>IF(ISNA(MATCH(AC1013,L1011:L1018,0)),0,VLOOKUP(AC1013,L1011:P1018,4,FALSE))</f>
        <v>18</v>
      </c>
      <c r="AJ1013" s="419">
        <f>IF(ISNA(MATCH(AC1013,R1011:R1018,0)),0,VLOOKUP(AC1013,R1011:U1018,4,FALSE))</f>
        <v>0</v>
      </c>
      <c r="AK1013" s="32">
        <f t="shared" si="909"/>
        <v>1</v>
      </c>
      <c r="AL1013" s="32">
        <f t="shared" si="910"/>
        <v>0</v>
      </c>
      <c r="AM1013" s="32">
        <f>IF(ISNA(MATCH(AC1013,L1011:L1018,0)),0,VLOOKUP(AC1013,L1011:W1018,AM$1,FALSE))</f>
        <v>8</v>
      </c>
      <c r="AN1013" s="146">
        <f>IF(ISNA(MATCH(AC1013,R1011:R1018,0)),0,VLOOKUP(AC1013,R1011:W1018,AN$1,FALSE))</f>
        <v>0</v>
      </c>
      <c r="AP1013" s="927"/>
      <c r="AQ1013" s="927"/>
    </row>
    <row r="1014" spans="1:47" ht="15.6" x14ac:dyDescent="0.3">
      <c r="A1014" s="417">
        <f t="shared" si="911"/>
        <v>914</v>
      </c>
      <c r="B1014" s="362" t="str">
        <f>'Event Details'!D$25</f>
        <v>R</v>
      </c>
      <c r="C1014" s="381" t="str">
        <f>'Event Details'!E$25</f>
        <v>Rugby &amp; N'hampton</v>
      </c>
      <c r="D1014" s="379"/>
      <c r="E1014" s="378"/>
      <c r="F1014" s="363">
        <f>VLOOKUP($B1010,IF($H1010="F",TeamSheetFemale,TeamSheetMale),$Y1014-1,FALSE)</f>
        <v>0</v>
      </c>
      <c r="G1014" s="380">
        <f>VLOOKUP($B1010,IF($H1010="F",TeamSheetFemale,TeamSheetMale),$Y1014,FALSE)</f>
        <v>0</v>
      </c>
      <c r="H1014" s="363">
        <f>VLOOKUP($B1010,IF($H1010="F",TeamSheetFemale,TeamSheetMale),$Y1014+1,FALSE)</f>
        <v>0</v>
      </c>
      <c r="I1014" s="364">
        <f>VLOOKUP($B1010,IF($H1010="F",TeamSheetFemale,TeamSheetMale),$Y1014+2,FALSE)</f>
        <v>0</v>
      </c>
      <c r="K1014" s="341" t="s">
        <v>274</v>
      </c>
      <c r="L1014" s="16" t="str">
        <f t="shared" si="904"/>
        <v/>
      </c>
      <c r="M1014" s="927"/>
      <c r="N1014" s="927"/>
      <c r="O1014" s="353" t="str">
        <f>IF(LEN($M1014)=1,VLOOKUP(LEFT($M1014,1),B1011:I1018,5,FALSE),IF(LEN($M1014)=2,VLOOKUP(LEFT($M1014,1),B1011:I1018,7,FALSE),""))</f>
        <v/>
      </c>
      <c r="P1014" s="373" t="str">
        <f>IF(LEN($M1014)=1,VLOOKUP(LEFT($M1014,1),B1011:I1018,6,FALSE),IF(LEN($M1014)=2,VLOOKUP(LEFT($M1014,1),B1011:I1018,8,FALSE),""))</f>
        <v/>
      </c>
      <c r="Q1014" s="341" t="s">
        <v>274</v>
      </c>
      <c r="R1014" s="146" t="str">
        <f t="shared" si="905"/>
        <v/>
      </c>
      <c r="S1014" s="927"/>
      <c r="T1014" s="927"/>
      <c r="U1014" s="353" t="str">
        <f>IF(LEN($S1014)=1,VLOOKUP(LEFT($S1014,1),B1011:I1018,5,FALSE),IF(LEN($S1014)=2,VLOOKUP(LEFT($S1014,1),B1011:I1018,7,FALSE),""))</f>
        <v/>
      </c>
      <c r="V1014" s="373" t="str">
        <f>IF(LEN($S1014)=1,VLOOKUP(LEFT($S1014,1),B1011:I1018,6,FALSE),IF(LEN($S1014)=2,VLOOKUP(LEFT($S1014,1),B1011:I1018,8,FALSE),""))</f>
        <v/>
      </c>
      <c r="W1014" s="417">
        <f t="shared" si="912"/>
        <v>5</v>
      </c>
      <c r="Y1014" s="417">
        <v>22</v>
      </c>
      <c r="Z1014" s="16">
        <f t="shared" si="906"/>
        <v>0</v>
      </c>
      <c r="AA1014" s="146">
        <f t="shared" si="907"/>
        <v>0</v>
      </c>
      <c r="AB1014" s="32"/>
      <c r="AC1014" s="16" t="str">
        <f t="shared" si="908"/>
        <v>R</v>
      </c>
      <c r="AD1014" s="419" t="str">
        <f t="shared" si="908"/>
        <v>Rugby &amp; N'hampton</v>
      </c>
      <c r="AE1014" s="419">
        <f>IF(ISNA(MATCH(AC1014,N1011:N1020,0)),0,VLOOKUP(AC1014,N1011:S1020,5,FALSE))</f>
        <v>0</v>
      </c>
      <c r="AF1014" s="419" t="str">
        <f>IF(ISNA(MATCH(AC1014,T1011:T1020,0))," ",VLOOKUP(AC1014,T1011:Y1020,5,FALSE))</f>
        <v xml:space="preserve"> </v>
      </c>
      <c r="AG1014" s="419">
        <f>IF(ISNA(MATCH(AC1014,L1011:L1018,0)),0,VLOOKUP(AC1014,L1011:N1018,3,FALSE))</f>
        <v>0</v>
      </c>
      <c r="AH1014" s="419">
        <f>IF(ISNA(MATCH(AC1014,R1011:R1018,0)),0,VLOOKUP(AC1014,R1011:T1018,3,FALSE))</f>
        <v>0</v>
      </c>
      <c r="AI1014" s="419">
        <f>IF(ISNA(MATCH(AC1014,L1011:L1018,0)),0,VLOOKUP(AC1014,L1011:P1018,4,FALSE))</f>
        <v>0</v>
      </c>
      <c r="AJ1014" s="419">
        <f>IF(ISNA(MATCH(AC1014,R1011:R1018,0)),0,VLOOKUP(AC1014,R1011:U1018,4,FALSE))</f>
        <v>0</v>
      </c>
      <c r="AK1014" s="32">
        <f t="shared" si="909"/>
        <v>0</v>
      </c>
      <c r="AL1014" s="32">
        <f t="shared" si="910"/>
        <v>0</v>
      </c>
      <c r="AM1014" s="32">
        <f>IF(ISNA(MATCH(AC1014,L1011:L1018,0)),0,VLOOKUP(AC1014,L1011:W1018,AM$1,FALSE))</f>
        <v>0</v>
      </c>
      <c r="AN1014" s="146">
        <f>IF(ISNA(MATCH(AC1014,R1011:R1018,0)),0,VLOOKUP(AC1014,R1011:W1018,AN$1,FALSE))</f>
        <v>0</v>
      </c>
      <c r="AP1014" s="927"/>
      <c r="AQ1014" s="927"/>
    </row>
    <row r="1015" spans="1:47" ht="15.6" x14ac:dyDescent="0.3">
      <c r="A1015" s="417">
        <f t="shared" si="911"/>
        <v>915</v>
      </c>
      <c r="B1015" s="362" t="str">
        <f>'Event Details'!D$26</f>
        <v>M</v>
      </c>
      <c r="C1015" s="381" t="str">
        <f>'Event Details'!E$26</f>
        <v>Solihull &amp; S.Heath</v>
      </c>
      <c r="D1015" s="379"/>
      <c r="E1015" s="378"/>
      <c r="F1015" s="363">
        <f>VLOOKUP($B1010,IF($H1010="F",TeamSheetFemale,TeamSheetMale),$Y1015-1,FALSE)</f>
        <v>0</v>
      </c>
      <c r="G1015" s="380">
        <f>VLOOKUP($B1010,IF($H1010="F",TeamSheetFemale,TeamSheetMale),$Y1015,FALSE)</f>
        <v>0</v>
      </c>
      <c r="H1015" s="363">
        <f>VLOOKUP($B1010,IF($H1010="F",TeamSheetFemale,TeamSheetMale),$Y1015+1,FALSE)</f>
        <v>0</v>
      </c>
      <c r="I1015" s="364">
        <f>VLOOKUP($B1010,IF($H1010="F",TeamSheetFemale,TeamSheetMale),$Y1015+2,FALSE)</f>
        <v>0</v>
      </c>
      <c r="K1015" s="341" t="s">
        <v>275</v>
      </c>
      <c r="L1015" s="16" t="str">
        <f t="shared" si="904"/>
        <v/>
      </c>
      <c r="M1015" s="927"/>
      <c r="N1015" s="927"/>
      <c r="O1015" s="353" t="str">
        <f>IF(LEN($M1015)=1,VLOOKUP(LEFT($M1015,1),B1011:I1018,5,FALSE),IF(LEN($M1015)=2,VLOOKUP(LEFT($M1015,1),B1011:I1018,7,FALSE),""))</f>
        <v/>
      </c>
      <c r="P1015" s="373" t="str">
        <f>IF(LEN($M1015)=1,VLOOKUP(LEFT($M1015,1),B1011:I1018,6,FALSE),IF(LEN($M1015)=2,VLOOKUP(LEFT($M1015,1),B1011:I1018,8,FALSE),""))</f>
        <v/>
      </c>
      <c r="Q1015" s="341" t="s">
        <v>275</v>
      </c>
      <c r="R1015" s="146" t="str">
        <f t="shared" si="905"/>
        <v/>
      </c>
      <c r="S1015" s="927"/>
      <c r="T1015" s="927"/>
      <c r="U1015" s="353" t="str">
        <f>IF(LEN($S1015)=1,VLOOKUP(LEFT($S1015,1),B1011:I1018,5,FALSE),IF(LEN($S1015)=2,VLOOKUP(LEFT($S1015,1),B1011:I1018,7,FALSE),""))</f>
        <v/>
      </c>
      <c r="V1015" s="373" t="str">
        <f>IF(LEN($S1015)=1,VLOOKUP(LEFT($S1015,1),B1011:I1018,6,FALSE),IF(LEN($S1015)=2,VLOOKUP(LEFT($S1015,1),B1011:I1018,8,FALSE),""))</f>
        <v/>
      </c>
      <c r="W1015" s="417">
        <f t="shared" si="912"/>
        <v>4</v>
      </c>
      <c r="Y1015" s="417">
        <v>27</v>
      </c>
      <c r="Z1015" s="16">
        <f t="shared" si="906"/>
        <v>0</v>
      </c>
      <c r="AA1015" s="146">
        <f t="shared" si="907"/>
        <v>0</v>
      </c>
      <c r="AB1015" s="32"/>
      <c r="AC1015" s="16" t="str">
        <f t="shared" si="908"/>
        <v>M</v>
      </c>
      <c r="AD1015" s="419" t="str">
        <f t="shared" si="908"/>
        <v>Solihull &amp; S.Heath</v>
      </c>
      <c r="AE1015" s="419">
        <f>IF(ISNA(MATCH(AC1015,N1011:N1020,0)),0,VLOOKUP(AC1015,N1011:S1020,5,FALSE))</f>
        <v>0</v>
      </c>
      <c r="AF1015" s="419" t="str">
        <f>IF(ISNA(MATCH(AC1015,T1011:T1020,0))," ",VLOOKUP(AC1015,T1011:Y1020,5,FALSE))</f>
        <v xml:space="preserve"> </v>
      </c>
      <c r="AG1015" s="419">
        <f>IF(ISNA(MATCH(AC1015,L1011:L1018,0)),0,VLOOKUP(AC1015,L1011:N1018,3,FALSE))</f>
        <v>0</v>
      </c>
      <c r="AH1015" s="419">
        <f>IF(ISNA(MATCH(AC1015,R1011:R1018,0)),0,VLOOKUP(AC1015,R1011:T1018,3,FALSE))</f>
        <v>0</v>
      </c>
      <c r="AI1015" s="419">
        <f>IF(ISNA(MATCH(AC1015,L1011:L1018,0)),0,VLOOKUP(AC1015,L1011:P1018,4,FALSE))</f>
        <v>0</v>
      </c>
      <c r="AJ1015" s="419">
        <f>IF(ISNA(MATCH(AC1015,R1011:R1018,0)),0,VLOOKUP(AC1015,R1011:U1018,4,FALSE))</f>
        <v>0</v>
      </c>
      <c r="AK1015" s="32">
        <f t="shared" si="909"/>
        <v>0</v>
      </c>
      <c r="AL1015" s="32">
        <f t="shared" si="910"/>
        <v>0</v>
      </c>
      <c r="AM1015" s="32">
        <f>IF(ISNA(MATCH(AC1015,L1011:L1018,0)),0,VLOOKUP(AC1015,L1011:W1018,AM$1,FALSE))</f>
        <v>0</v>
      </c>
      <c r="AN1015" s="146">
        <f>IF(ISNA(MATCH(AC1015,R1011:R1018,0)),0,VLOOKUP(AC1015,R1011:W1018,AN$1,FALSE))</f>
        <v>0</v>
      </c>
      <c r="AP1015" s="927"/>
      <c r="AQ1015" s="927"/>
    </row>
    <row r="1016" spans="1:47" ht="15.6" x14ac:dyDescent="0.3">
      <c r="A1016" s="417">
        <f t="shared" si="911"/>
        <v>916</v>
      </c>
      <c r="B1016" s="362" t="str">
        <f>'Event Details'!D$27</f>
        <v>D</v>
      </c>
      <c r="C1016" s="381" t="str">
        <f>'Event Details'!E$27</f>
        <v>Stratford</v>
      </c>
      <c r="D1016" s="379"/>
      <c r="E1016" s="378"/>
      <c r="F1016" s="363">
        <f>VLOOKUP($B1010,IF($H1010="F",TeamSheetFemale,TeamSheetMale),$Y1016-1,FALSE)</f>
        <v>0</v>
      </c>
      <c r="G1016" s="380">
        <f>VLOOKUP($B1010,IF($H1010="F",TeamSheetFemale,TeamSheetMale),$Y1016,FALSE)</f>
        <v>0</v>
      </c>
      <c r="H1016" s="363">
        <f>VLOOKUP($B1010,IF($H1010="F",TeamSheetFemale,TeamSheetMale),$Y1016+1,FALSE)</f>
        <v>0</v>
      </c>
      <c r="I1016" s="364">
        <f>VLOOKUP($B1010,IF($H1010="F",TeamSheetFemale,TeamSheetMale),$Y1016+2,FALSE)</f>
        <v>0</v>
      </c>
      <c r="K1016" s="341" t="s">
        <v>276</v>
      </c>
      <c r="L1016" s="16" t="str">
        <f t="shared" si="904"/>
        <v/>
      </c>
      <c r="M1016" s="927"/>
      <c r="N1016" s="927"/>
      <c r="O1016" s="353" t="str">
        <f>IF(LEN($M1016)=1,VLOOKUP(LEFT($M1016,1),B1011:I1018,5,FALSE),IF(LEN($M1016)=2,VLOOKUP(LEFT($M1016,1),B1011:I1018,7,FALSE),""))</f>
        <v/>
      </c>
      <c r="P1016" s="373" t="str">
        <f>IF(LEN($M1016)=1,VLOOKUP(LEFT($M1016,1),B1011:I1018,6,FALSE),IF(LEN($M1016)=2,VLOOKUP(LEFT($M1016,1),B1011:I1018,8,FALSE),""))</f>
        <v/>
      </c>
      <c r="Q1016" s="341" t="s">
        <v>276</v>
      </c>
      <c r="R1016" s="146" t="str">
        <f t="shared" si="905"/>
        <v/>
      </c>
      <c r="S1016" s="927"/>
      <c r="T1016" s="927"/>
      <c r="U1016" s="353" t="str">
        <f>IF(LEN($S1016)=1,VLOOKUP(LEFT($S1016,1),B1011:I1018,5,FALSE),IF(LEN($S1016)=2,VLOOKUP(LEFT($S1016,1),B1011:I1018,7,FALSE),""))</f>
        <v/>
      </c>
      <c r="V1016" s="373" t="str">
        <f>IF(LEN($S1016)=1,VLOOKUP(LEFT($S1016,1),B1011:I1018,6,FALSE),IF(LEN($S1016)=2,VLOOKUP(LEFT($S1016,1),B1011:I1018,8,FALSE),""))</f>
        <v/>
      </c>
      <c r="W1016" s="417">
        <f t="shared" si="912"/>
        <v>3</v>
      </c>
      <c r="Y1016" s="417">
        <v>32</v>
      </c>
      <c r="Z1016" s="16">
        <f t="shared" si="906"/>
        <v>0</v>
      </c>
      <c r="AA1016" s="146">
        <f t="shared" si="907"/>
        <v>0</v>
      </c>
      <c r="AB1016" s="32"/>
      <c r="AC1016" s="16" t="str">
        <f t="shared" si="908"/>
        <v>D</v>
      </c>
      <c r="AD1016" s="419" t="str">
        <f t="shared" si="908"/>
        <v>Stratford</v>
      </c>
      <c r="AE1016" s="419">
        <f>IF(ISNA(MATCH(AC1016,N1011:N1020,0)),0,VLOOKUP(AC1016,N1011:S1020,5,FALSE))</f>
        <v>0</v>
      </c>
      <c r="AF1016" s="419" t="str">
        <f>IF(ISNA(MATCH(AC1016,T1011:T1020,0))," ",VLOOKUP(AC1016,T1011:Y1020,5,FALSE))</f>
        <v xml:space="preserve"> </v>
      </c>
      <c r="AG1016" s="419">
        <f>IF(ISNA(MATCH(AC1016,L1011:L1018,0)),0,VLOOKUP(AC1016,L1011:N1018,3,FALSE))</f>
        <v>0</v>
      </c>
      <c r="AH1016" s="419">
        <f>IF(ISNA(MATCH(AC1016,R1011:R1018,0)),0,VLOOKUP(AC1016,R1011:T1018,3,FALSE))</f>
        <v>0</v>
      </c>
      <c r="AI1016" s="419">
        <f>IF(ISNA(MATCH(AC1016,L1011:L1018,0)),0,VLOOKUP(AC1016,L1011:P1018,4,FALSE))</f>
        <v>0</v>
      </c>
      <c r="AJ1016" s="419">
        <f>IF(ISNA(MATCH(AC1016,R1011:R1018,0)),0,VLOOKUP(AC1016,R1011:U1018,4,FALSE))</f>
        <v>0</v>
      </c>
      <c r="AK1016" s="32">
        <f t="shared" si="909"/>
        <v>0</v>
      </c>
      <c r="AL1016" s="32">
        <f t="shared" si="910"/>
        <v>0</v>
      </c>
      <c r="AM1016" s="32">
        <f>IF(ISNA(MATCH(AC1016,L1011:L1018,0)),0,VLOOKUP(AC1016,L1011:W1018,AM$1,FALSE))</f>
        <v>0</v>
      </c>
      <c r="AN1016" s="146">
        <f>IF(ISNA(MATCH(AC1016,R1011:R1018,0)),0,VLOOKUP(AC1016,R1011:W1018,AN$1,FALSE))</f>
        <v>0</v>
      </c>
      <c r="AP1016" s="927"/>
      <c r="AQ1016" s="927"/>
    </row>
    <row r="1017" spans="1:47" ht="15.6" x14ac:dyDescent="0.3">
      <c r="A1017" s="417">
        <f t="shared" si="911"/>
        <v>917</v>
      </c>
      <c r="B1017" s="362" t="str">
        <f>'Event Details'!D$28</f>
        <v>F</v>
      </c>
      <c r="C1017" s="381" t="str">
        <f>'Event Details'!E$28</f>
        <v>Tamworth</v>
      </c>
      <c r="D1017" s="379"/>
      <c r="E1017" s="378"/>
      <c r="F1017" s="363">
        <f>VLOOKUP($B1010,IF($H1010="F",TeamSheetFemale,TeamSheetMale),$Y1017-1,FALSE)</f>
        <v>0</v>
      </c>
      <c r="G1017" s="380">
        <f>VLOOKUP($B1010,IF($H1010="F",TeamSheetFemale,TeamSheetMale),$Y1017,FALSE)</f>
        <v>0</v>
      </c>
      <c r="H1017" s="363">
        <f>VLOOKUP($B1010,IF($H1010="F",TeamSheetFemale,TeamSheetMale),$Y1017+1,FALSE)</f>
        <v>0</v>
      </c>
      <c r="I1017" s="364">
        <f>VLOOKUP($B1010,IF($H1010="F",TeamSheetFemale,TeamSheetMale),$Y1017+2,FALSE)</f>
        <v>0</v>
      </c>
      <c r="K1017" s="341" t="s">
        <v>277</v>
      </c>
      <c r="L1017" s="16" t="str">
        <f t="shared" si="904"/>
        <v/>
      </c>
      <c r="M1017" s="927"/>
      <c r="N1017" s="927"/>
      <c r="O1017" s="353" t="str">
        <f>IF(LEN($M1017)=1,VLOOKUP(LEFT($M1017,1),B1011:I1018,5,FALSE),IF(LEN($M1017)=2,VLOOKUP(LEFT($M1017,1),B1011:I1018,7,FALSE),""))</f>
        <v/>
      </c>
      <c r="P1017" s="373" t="str">
        <f>IF(LEN($M1017)=1,VLOOKUP(LEFT($M1017,1),B1011:I1018,6,FALSE),IF(LEN($M1017)=2,VLOOKUP(LEFT($M1017,1),B1011:I1018,8,FALSE),""))</f>
        <v/>
      </c>
      <c r="Q1017" s="341" t="s">
        <v>277</v>
      </c>
      <c r="R1017" s="146" t="str">
        <f t="shared" si="905"/>
        <v/>
      </c>
      <c r="S1017" s="927"/>
      <c r="T1017" s="927"/>
      <c r="U1017" s="353" t="str">
        <f>IF(LEN($S1017)=1,VLOOKUP(LEFT($S1017,1),B1011:I1018,5,FALSE),IF(LEN($S1017)=2,VLOOKUP(LEFT($S1017,1),B1011:I1018,7,FALSE),""))</f>
        <v/>
      </c>
      <c r="V1017" s="373" t="str">
        <f>IF(LEN($S1017)=1,VLOOKUP(LEFT($S1017,1),B1011:I1018,6,FALSE),IF(LEN($S1017)=2,VLOOKUP(LEFT($S1017,1),B1011:I1018,8,FALSE),""))</f>
        <v/>
      </c>
      <c r="W1017" s="417">
        <f t="shared" si="912"/>
        <v>2</v>
      </c>
      <c r="Y1017" s="417">
        <v>37</v>
      </c>
      <c r="Z1017" s="16">
        <f t="shared" si="906"/>
        <v>0</v>
      </c>
      <c r="AA1017" s="146">
        <f t="shared" si="907"/>
        <v>0</v>
      </c>
      <c r="AB1017" s="32"/>
      <c r="AC1017" s="16" t="str">
        <f t="shared" si="908"/>
        <v>F</v>
      </c>
      <c r="AD1017" s="419" t="str">
        <f t="shared" si="908"/>
        <v>Tamworth</v>
      </c>
      <c r="AE1017" s="419">
        <f>IF(ISNA(MATCH(AC1017,N1009:N1018,0)),0,VLOOKUP(AC1017,N1009:S1018,5,FALSE))</f>
        <v>0</v>
      </c>
      <c r="AF1017" s="419" t="str">
        <f>IF(ISNA(MATCH(AC1017,T1009:T1018,0))," ",VLOOKUP(AC1017,T1009:Y1018,5,FALSE))</f>
        <v xml:space="preserve"> </v>
      </c>
      <c r="AG1017" s="419">
        <f>IF(ISNA(MATCH(AC1017,L1011:L1018,0)),0,VLOOKUP(AC1017,L1011:N1018,3,FALSE))</f>
        <v>0</v>
      </c>
      <c r="AH1017" s="419">
        <f>IF(ISNA(MATCH(AC1017,R1011:R1018,0)),0,VLOOKUP(AC1017,R1011:T1018,3,FALSE))</f>
        <v>0</v>
      </c>
      <c r="AI1017" s="419">
        <f>IF(ISNA(MATCH(AC1017,L1011:L1018,0)),0,VLOOKUP(AC1017,L1011:P1018,4,FALSE))</f>
        <v>0</v>
      </c>
      <c r="AJ1017" s="419">
        <f>IF(ISNA(MATCH(AC1017,R1011:R1018,0)),0,VLOOKUP(AC1017,R1011:U1018,4,FALSE))</f>
        <v>0</v>
      </c>
      <c r="AK1017" s="32">
        <f t="shared" si="909"/>
        <v>0</v>
      </c>
      <c r="AL1017" s="32">
        <f t="shared" si="910"/>
        <v>0</v>
      </c>
      <c r="AM1017" s="32">
        <f>IF(ISNA(MATCH(AC1017,L1011:L1018,0)),0,VLOOKUP(AC1017,L1011:W1018,AM$1,FALSE))</f>
        <v>0</v>
      </c>
      <c r="AN1017" s="146">
        <f>IF(ISNA(MATCH(AC1017,R1011:R1018,0)),0,VLOOKUP(AC1017,R1011:W1018,AN$1,FALSE))</f>
        <v>0</v>
      </c>
      <c r="AP1017" s="927"/>
      <c r="AQ1017" s="927"/>
    </row>
    <row r="1018" spans="1:47" ht="16.2" thickBot="1" x14ac:dyDescent="0.35">
      <c r="A1018" s="418">
        <f t="shared" si="911"/>
        <v>918</v>
      </c>
      <c r="B1018" s="365" t="str">
        <f>'Event Details'!D$29</f>
        <v>Y</v>
      </c>
      <c r="C1018" s="366" t="str">
        <f>'Event Details'!E$29</f>
        <v>Worcester</v>
      </c>
      <c r="D1018" s="361"/>
      <c r="E1018" s="370"/>
      <c r="F1018" s="367">
        <f>VLOOKUP($B1010,IF($H1010="F",TeamSheetFemale,TeamSheetMale),$Y1018-1,FALSE)</f>
        <v>0</v>
      </c>
      <c r="G1018" s="368">
        <f>VLOOKUP($B1010,IF($H1010="F",TeamSheetFemale,TeamSheetMale),$Y1018,FALSE)</f>
        <v>0</v>
      </c>
      <c r="H1018" s="367">
        <f>VLOOKUP($B1010,IF($H1010="F",TeamSheetFemale,TeamSheetMale),$Y1018+1,FALSE)</f>
        <v>0</v>
      </c>
      <c r="I1018" s="369">
        <f>VLOOKUP($B1010,IF($H1010="F",TeamSheetFemale,TeamSheetMale),$Y1018+2,FALSE)</f>
        <v>0</v>
      </c>
      <c r="K1018" s="346" t="s">
        <v>278</v>
      </c>
      <c r="L1018" s="25" t="str">
        <f t="shared" si="904"/>
        <v/>
      </c>
      <c r="M1018" s="928"/>
      <c r="N1018" s="932"/>
      <c r="O1018" s="375" t="str">
        <f>IF(LEN($M1018)=1,VLOOKUP(LEFT($M1018,1),B1011:I1018,5,FALSE),IF(LEN($M1018)=2,VLOOKUP(LEFT($M1018,1),B1011:I1018,7,FALSE),""))</f>
        <v/>
      </c>
      <c r="P1018" s="376" t="str">
        <f>IF(LEN($M1018)=1,VLOOKUP(LEFT($M1018,1),B1011:I1018,6,FALSE),IF(LEN($M1018)=2,VLOOKUP(LEFT($M1018,1),B1011:I1018,8,FALSE),""))</f>
        <v/>
      </c>
      <c r="Q1018" s="346" t="s">
        <v>278</v>
      </c>
      <c r="R1018" s="523" t="str">
        <f t="shared" si="905"/>
        <v/>
      </c>
      <c r="S1018" s="928"/>
      <c r="T1018" s="932"/>
      <c r="U1018" s="375" t="str">
        <f>IF(LEN($S1018)=1,VLOOKUP(LEFT($S1018,1),B1011:I1018,5,FALSE),IF(LEN($S1018)=2,VLOOKUP(LEFT($S1018,1),B1011:I1018,7,FALSE),""))</f>
        <v/>
      </c>
      <c r="V1018" s="376" t="str">
        <f>IF(LEN($S1018)=1,VLOOKUP(LEFT($S1018,1),B1011:I1018,6,FALSE),IF(LEN($S1018)=2,VLOOKUP(LEFT($S1018,1),B1011:I1018,8,FALSE),""))</f>
        <v/>
      </c>
      <c r="W1018" s="418">
        <f t="shared" si="912"/>
        <v>1</v>
      </c>
      <c r="Y1018" s="418">
        <v>42</v>
      </c>
      <c r="Z1018" s="25">
        <f t="shared" si="906"/>
        <v>0</v>
      </c>
      <c r="AA1018" s="523">
        <f t="shared" si="907"/>
        <v>0</v>
      </c>
      <c r="AB1018" s="32"/>
      <c r="AC1018" s="25" t="str">
        <f t="shared" si="908"/>
        <v>Y</v>
      </c>
      <c r="AD1018" s="624" t="str">
        <f t="shared" si="908"/>
        <v>Worcester</v>
      </c>
      <c r="AE1018" s="624">
        <f>IF(ISNA(MATCH(AC1018,N1010:N1019,0)),0,VLOOKUP(AC1018,N1010:S1019,5,FALSE))</f>
        <v>0</v>
      </c>
      <c r="AF1018" s="624" t="str">
        <f t="shared" ref="AF1018" si="913">IF(ISNA(MATCH(AC1018,T1010:T1019,0))," ",VLOOKUP(AC1018,T1010:Y1019,5,FALSE))</f>
        <v xml:space="preserve"> </v>
      </c>
      <c r="AG1018" s="624">
        <f>IF(ISNA(MATCH(AC1018,L1011:L1018,0)),0,VLOOKUP(AC1018,L1011:N1018,3,FALSE))</f>
        <v>0</v>
      </c>
      <c r="AH1018" s="624">
        <f>IF(ISNA(MATCH(AC1018,R1011:R1018,0)),0,VLOOKUP(AC1018,R1011:T1018,3,FALSE))</f>
        <v>0</v>
      </c>
      <c r="AI1018" s="624">
        <f>IF(ISNA(MATCH(AC1018,L1011:L1018,0)),0,VLOOKUP(AC1018,L1011:P1018,4,FALSE))</f>
        <v>0</v>
      </c>
      <c r="AJ1018" s="624">
        <f>IF(ISNA(MATCH(AC1018,R1011:R1018,0)),0,VLOOKUP(AC1018,R1011:U1018,4,FALSE))</f>
        <v>0</v>
      </c>
      <c r="AK1018" s="116">
        <f t="shared" si="909"/>
        <v>0</v>
      </c>
      <c r="AL1018" s="116">
        <f t="shared" si="910"/>
        <v>0</v>
      </c>
      <c r="AM1018" s="116">
        <f>IF(ISNA(MATCH(AC1018,L1011:L1018,0)),0,VLOOKUP(AC1018,L1011:W1018,AM$1,FALSE))</f>
        <v>0</v>
      </c>
      <c r="AN1018" s="523">
        <f>IF(ISNA(MATCH(AC1018,R1011:R1018,0)),0,VLOOKUP(AC1018,R1011:W1018,AN$1,FALSE))</f>
        <v>0</v>
      </c>
      <c r="AP1018" s="928"/>
      <c r="AQ1018" s="932"/>
    </row>
    <row r="1019" spans="1:47" ht="15" thickBot="1" x14ac:dyDescent="0.35">
      <c r="K1019" s="1207" t="s">
        <v>280</v>
      </c>
      <c r="M1019" s="276"/>
      <c r="N1019" s="307"/>
      <c r="S1019" s="276"/>
      <c r="T1019" s="307"/>
      <c r="AP1019" s="276"/>
      <c r="AQ1019" s="307"/>
    </row>
    <row r="1020" spans="1:47" x14ac:dyDescent="0.3">
      <c r="B1020" s="400" t="s">
        <v>258</v>
      </c>
      <c r="C1020" s="398"/>
      <c r="D1020" s="401" t="s">
        <v>165</v>
      </c>
      <c r="E1020" s="398"/>
      <c r="F1020" s="398"/>
      <c r="G1020" s="402" t="s">
        <v>259</v>
      </c>
      <c r="H1020" s="403" t="s">
        <v>249</v>
      </c>
      <c r="I1020" s="404" t="s">
        <v>168</v>
      </c>
      <c r="K1020" s="360"/>
      <c r="L1020" s="661"/>
      <c r="M1020" s="929" t="s">
        <v>260</v>
      </c>
      <c r="N1020" s="929" t="s">
        <v>261</v>
      </c>
      <c r="O1020" s="387" t="s">
        <v>262</v>
      </c>
      <c r="P1020" s="388" t="s">
        <v>75</v>
      </c>
      <c r="Q1020" s="412"/>
      <c r="R1020" s="657"/>
      <c r="S1020" s="929" t="s">
        <v>260</v>
      </c>
      <c r="T1020" s="929" t="s">
        <v>261</v>
      </c>
      <c r="U1020" s="387" t="s">
        <v>262</v>
      </c>
      <c r="V1020" s="388" t="s">
        <v>75</v>
      </c>
      <c r="W1020" s="672" t="s">
        <v>76</v>
      </c>
      <c r="Y1020" s="654" t="s">
        <v>263</v>
      </c>
      <c r="Z1020" s="656" t="s">
        <v>74</v>
      </c>
      <c r="AA1020" s="657" t="s">
        <v>75</v>
      </c>
      <c r="AC1020" s="665" t="s">
        <v>71</v>
      </c>
      <c r="AD1020" s="657" t="s">
        <v>86</v>
      </c>
      <c r="AE1020" s="661" t="s">
        <v>149</v>
      </c>
      <c r="AF1020" s="661" t="s">
        <v>94</v>
      </c>
      <c r="AG1020" s="661" t="s">
        <v>149</v>
      </c>
      <c r="AH1020" s="661" t="s">
        <v>94</v>
      </c>
      <c r="AI1020" s="661" t="s">
        <v>149</v>
      </c>
      <c r="AJ1020" s="661" t="s">
        <v>94</v>
      </c>
      <c r="AK1020" s="1332" t="s">
        <v>149</v>
      </c>
      <c r="AL1020" s="661" t="s">
        <v>94</v>
      </c>
      <c r="AM1020" s="1406" t="s">
        <v>76</v>
      </c>
      <c r="AN1020" s="1407"/>
      <c r="AP1020" s="929" t="s">
        <v>260</v>
      </c>
      <c r="AQ1020" s="929" t="s">
        <v>261</v>
      </c>
      <c r="AS1020" s="1218" t="s">
        <v>165</v>
      </c>
      <c r="AT1020" s="1219" t="s">
        <v>79</v>
      </c>
      <c r="AU1020" s="1220" t="s">
        <v>80</v>
      </c>
    </row>
    <row r="1021" spans="1:47" ht="15" thickBot="1" x14ac:dyDescent="0.35">
      <c r="B1021" s="405">
        <v>92</v>
      </c>
      <c r="C1021" s="399"/>
      <c r="D1021" s="385" t="str">
        <f>VLOOKUP($B1021,EventOrder,6,FALSE)</f>
        <v>800m U16 Male</v>
      </c>
      <c r="E1021" s="399"/>
      <c r="F1021" s="385"/>
      <c r="G1021" s="386" t="str">
        <f>VLOOKUP($B1021,EventOrder,4,FALSE)</f>
        <v>U16 Male</v>
      </c>
      <c r="H1021" s="396" t="str">
        <f>IF(MID(G1021,5,1)="F","F","M")</f>
        <v>M</v>
      </c>
      <c r="I1021" s="397">
        <f>VLOOKUP($B1021,EventOrder,2,FALSE)</f>
        <v>12.1</v>
      </c>
      <c r="K1021" s="372"/>
      <c r="L1021" s="667" t="s">
        <v>149</v>
      </c>
      <c r="M1021" s="930" t="s">
        <v>264</v>
      </c>
      <c r="N1021" s="930" t="s">
        <v>265</v>
      </c>
      <c r="O1021" s="409" t="s">
        <v>266</v>
      </c>
      <c r="P1021" s="408"/>
      <c r="Q1021" s="413"/>
      <c r="R1021" s="659" t="s">
        <v>94</v>
      </c>
      <c r="S1021" s="930" t="s">
        <v>264</v>
      </c>
      <c r="T1021" s="930" t="s">
        <v>265</v>
      </c>
      <c r="U1021" s="409" t="s">
        <v>266</v>
      </c>
      <c r="V1021" s="408"/>
      <c r="W1021" s="671"/>
      <c r="Y1021" s="655" t="s">
        <v>167</v>
      </c>
      <c r="Z1021" s="658" t="s">
        <v>149</v>
      </c>
      <c r="AA1021" s="659" t="s">
        <v>94</v>
      </c>
      <c r="AC1021" s="666"/>
      <c r="AD1021" s="668"/>
      <c r="AE1021" s="768" t="s">
        <v>75</v>
      </c>
      <c r="AF1021" s="768" t="s">
        <v>75</v>
      </c>
      <c r="AG1021" s="768" t="s">
        <v>267</v>
      </c>
      <c r="AH1021" s="768" t="s">
        <v>267</v>
      </c>
      <c r="AI1021" s="768" t="s">
        <v>268</v>
      </c>
      <c r="AJ1021" s="768" t="s">
        <v>268</v>
      </c>
      <c r="AK1021" s="770" t="s">
        <v>269</v>
      </c>
      <c r="AL1021" s="768" t="s">
        <v>269</v>
      </c>
      <c r="AM1021" s="667" t="s">
        <v>149</v>
      </c>
      <c r="AN1021" s="659" t="s">
        <v>94</v>
      </c>
      <c r="AP1021" s="930" t="s">
        <v>264</v>
      </c>
      <c r="AQ1021" s="930" t="s">
        <v>265</v>
      </c>
      <c r="AS1021" s="1221" t="s">
        <v>270</v>
      </c>
      <c r="AT1021" s="1222" t="s">
        <v>270</v>
      </c>
      <c r="AU1021" s="1223" t="s">
        <v>270</v>
      </c>
    </row>
    <row r="1022" spans="1:47" ht="15.6" x14ac:dyDescent="0.3">
      <c r="A1022" s="416">
        <f>(B1021*10)+1</f>
        <v>921</v>
      </c>
      <c r="B1022" s="362" t="str">
        <f>'Event Details'!D$22</f>
        <v>S</v>
      </c>
      <c r="C1022" s="381" t="str">
        <f>'Event Details'!E$22</f>
        <v>BRAT</v>
      </c>
      <c r="D1022" s="379"/>
      <c r="E1022" s="378"/>
      <c r="F1022" s="363">
        <f>VLOOKUP($B1021,IF($H1021="F",TeamSheetFemale,TeamSheetMale),$Y1022-1,FALSE)</f>
        <v>29</v>
      </c>
      <c r="G1022" s="380" t="str">
        <f>VLOOKUP($B1021,IF($H1021="F",TeamSheetFemale,TeamSheetMale),$Y1022,FALSE)</f>
        <v xml:space="preserve">Phoenix akalley-Paradissis </v>
      </c>
      <c r="H1022" s="363">
        <f>VLOOKUP($B1021,IF($H1021="F",TeamSheetFemale,TeamSheetMale),$Y1022+1,FALSE)</f>
        <v>0</v>
      </c>
      <c r="I1022" s="364">
        <f>VLOOKUP($B1021,IF($H1021="F",TeamSheetFemale,TeamSheetMale),$Y1022+2,FALSE)</f>
        <v>0</v>
      </c>
      <c r="K1022" s="393" t="s">
        <v>271</v>
      </c>
      <c r="L1022" s="16" t="str">
        <f t="shared" ref="L1022:L1029" si="914">LEFT(M1022,1)</f>
        <v>S</v>
      </c>
      <c r="M1022" s="926" t="s">
        <v>100</v>
      </c>
      <c r="N1022" s="926" t="s">
        <v>1010</v>
      </c>
      <c r="O1022" s="394">
        <v>29</v>
      </c>
      <c r="P1022" s="395" t="str">
        <f>IF(LEN($M1022)=1,VLOOKUP(LEFT($M1022,1),B1022:I1029,6,FALSE),IF(LEN($M1022)=2,VLOOKUP(LEFT($M1022,1),B1022:I1029,8,FALSE),""))</f>
        <v xml:space="preserve">Phoenix akalley-Paradissis </v>
      </c>
      <c r="Q1022" s="406" t="s">
        <v>271</v>
      </c>
      <c r="R1022" s="146" t="str">
        <f t="shared" ref="R1022:R1029" si="915">LEFT(S1022,1)</f>
        <v/>
      </c>
      <c r="S1022" s="926"/>
      <c r="T1022" s="926"/>
      <c r="U1022" s="394" t="str">
        <f>IF(LEN($S1022)=1,VLOOKUP(LEFT($S1022,1),B1022:I1029,5,FALSE),IF(LEN($S1022)=2,VLOOKUP(LEFT($S1022,1),B1022:I1029,7,FALSE),""))</f>
        <v/>
      </c>
      <c r="V1022" s="395" t="str">
        <f>IF(LEN($S1022)=1,VLOOKUP(LEFT($S1022,1),B1022:I1029,6,FALSE),IF(LEN($S1022)=2,VLOOKUP(LEFT($S1022,1),B1022:I1029,8,FALSE),""))</f>
        <v/>
      </c>
      <c r="W1022" s="417">
        <f>AN$6</f>
        <v>8</v>
      </c>
      <c r="Y1022" s="653">
        <v>7</v>
      </c>
      <c r="Z1022" s="653" t="str">
        <f t="shared" ref="Z1022:Z1029" si="916">IF(LEN(M1022)&gt;0,VLOOKUP(LEFT(M1022,1),ShortName,5,FALSE),0)</f>
        <v>BRAT</v>
      </c>
      <c r="AA1022" s="138">
        <f t="shared" ref="AA1022:AA1029" si="917">IF(LEN(S1022)&gt;0,VLOOKUP(LEFT(S1022,1),ShortName,5,FALSE),0)</f>
        <v>0</v>
      </c>
      <c r="AC1022" s="16" t="str">
        <f t="shared" ref="AC1022:AD1029" si="918">B1022</f>
        <v>S</v>
      </c>
      <c r="AD1022" s="419" t="str">
        <f t="shared" si="918"/>
        <v>BRAT</v>
      </c>
      <c r="AE1022" s="635">
        <f>IF(ISNA(MATCH(AC1022,N1022:N1031,0)),0,VLOOKUP(AC1022,N1022:S1031,5,FALSE))</f>
        <v>0</v>
      </c>
      <c r="AF1022" s="635" t="str">
        <f>IF(ISNA(MATCH(AC1022,T1022:T1031,0))," ",VLOOKUP(AC1022,T1022:Y1031,5,FALSE))</f>
        <v xml:space="preserve"> </v>
      </c>
      <c r="AG1022" s="635" t="str">
        <f>IF(ISNA(MATCH(AC1022,L1022:L1029,0)),0,VLOOKUP(AC1022,L1022:N1029,3,FALSE))</f>
        <v>2.33.0</v>
      </c>
      <c r="AH1022" s="635">
        <f>IF(ISNA(MATCH(AC1022,R1022:R1029,0)),0,VLOOKUP(AC1022,R1022:T1029,3,FALSE))</f>
        <v>0</v>
      </c>
      <c r="AI1022" s="635">
        <f>IF(ISNA(MATCH(AC1022,L1022:L1029,0)),0,VLOOKUP(AC1022,L1022:P1029,4,FALSE))</f>
        <v>29</v>
      </c>
      <c r="AJ1022" s="635">
        <f>IF(ISNA(MATCH(AC1022,R1022:R1029,0)),0,VLOOKUP(AC1022,R1022:U1029,4,FALSE))</f>
        <v>0</v>
      </c>
      <c r="AK1022" s="49">
        <f t="shared" ref="AK1022:AK1029" si="919">IF(AM1022=0,0,AN$6-(AM1022-1))</f>
        <v>1</v>
      </c>
      <c r="AL1022" s="49">
        <f t="shared" ref="AL1022:AL1029" si="920">IF(AN1022=0,0,AN$6-(AN1022-1))</f>
        <v>0</v>
      </c>
      <c r="AM1022" s="49">
        <f>IF(ISNA(MATCH(AC1022,L1022:L1029,0)),0,VLOOKUP(AC1022,L1022:W1029,AM$1,FALSE))</f>
        <v>8</v>
      </c>
      <c r="AN1022" s="138">
        <f>IF(ISNA(MATCH(AC1022,R1022:R1029,0)),0,VLOOKUP(AC1022,R1022:W1029,AN$1,FALSE))</f>
        <v>0</v>
      </c>
      <c r="AP1022" s="926"/>
      <c r="AQ1022" s="926"/>
      <c r="AS1022" s="32">
        <f>IF(LEN(N1022)&gt;0,1,0)</f>
        <v>1</v>
      </c>
      <c r="AT1022" s="32">
        <f>IF(AND(AS1022=1,H1021="M"),1,0)</f>
        <v>1</v>
      </c>
      <c r="AU1022" s="32">
        <f>IF(AND(AS1022=1,H1021="F"),1,0)</f>
        <v>0</v>
      </c>
    </row>
    <row r="1023" spans="1:47" ht="15.6" x14ac:dyDescent="0.3">
      <c r="A1023" s="417">
        <f>A1022+1</f>
        <v>922</v>
      </c>
      <c r="B1023" s="362" t="str">
        <f>'Event Details'!D$23</f>
        <v>U</v>
      </c>
      <c r="C1023" s="381" t="str">
        <f>'Event Details'!E$23</f>
        <v>Kidder &amp; Stourport</v>
      </c>
      <c r="D1023" s="379"/>
      <c r="E1023" s="378"/>
      <c r="F1023" s="363">
        <f>VLOOKUP($B1021,IF($H1021="F",TeamSheetFemale,TeamSheetMale),$Y1023-1,FALSE)</f>
        <v>0</v>
      </c>
      <c r="G1023" s="380">
        <f>VLOOKUP($B1021,IF($H1021="F",TeamSheetFemale,TeamSheetMale),$Y1023,FALSE)</f>
        <v>0</v>
      </c>
      <c r="H1023" s="363">
        <f>VLOOKUP($B1021,IF($H1021="F",TeamSheetFemale,TeamSheetMale),$Y1023+1,FALSE)</f>
        <v>0</v>
      </c>
      <c r="I1023" s="364">
        <f>VLOOKUP($B1021,IF($H1021="F",TeamSheetFemale,TeamSheetMale),$Y1023+2,FALSE)</f>
        <v>0</v>
      </c>
      <c r="K1023" s="341" t="s">
        <v>272</v>
      </c>
      <c r="L1023" s="16" t="str">
        <f t="shared" si="914"/>
        <v>R</v>
      </c>
      <c r="M1023" s="927" t="s">
        <v>118</v>
      </c>
      <c r="N1023" s="927" t="s">
        <v>1011</v>
      </c>
      <c r="O1023" s="354">
        <f>IF(LEN($M1023)=1,VLOOKUP(LEFT($M1023,1),B1022:I1029,5,FALSE),IF(LEN($M1023)=2,VLOOKUP(LEFT($M1023,1),B1022:I1029,7,FALSE),""))</f>
        <v>125</v>
      </c>
      <c r="P1023" s="410" t="str">
        <f>IF(LEN($M1023)=1,VLOOKUP(LEFT($M1023,1),B1022:I1029,6,FALSE),IF(LEN($M1023)=2,VLOOKUP(LEFT($M1023,1),B1022:I1029,8,FALSE),""))</f>
        <v>Harvey Kerrell Vaughan</v>
      </c>
      <c r="Q1023" s="371" t="s">
        <v>272</v>
      </c>
      <c r="R1023" s="146" t="str">
        <f t="shared" si="915"/>
        <v/>
      </c>
      <c r="S1023" s="927"/>
      <c r="T1023" s="927"/>
      <c r="U1023" s="354" t="str">
        <f>IF(LEN($S1023)=1,VLOOKUP(LEFT($S1023,1),B1022:I1029,5,FALSE),IF(LEN($S1023)=2,VLOOKUP(LEFT($S1023,1),B1022:I1029,7,FALSE),""))</f>
        <v/>
      </c>
      <c r="V1023" s="410" t="str">
        <f>IF(LEN($S1023)=1,VLOOKUP(LEFT($S1023,1),B1022:I1029,6,FALSE),IF(LEN($S1023)=2,VLOOKUP(LEFT($S1023,1),B1022:I1029,8,FALSE),""))</f>
        <v/>
      </c>
      <c r="W1023" s="417">
        <f>W1022-1</f>
        <v>7</v>
      </c>
      <c r="Y1023" s="16">
        <v>12</v>
      </c>
      <c r="Z1023" s="16" t="str">
        <f t="shared" si="916"/>
        <v>Rugby</v>
      </c>
      <c r="AA1023" s="146">
        <f t="shared" si="917"/>
        <v>0</v>
      </c>
      <c r="AC1023" s="16" t="str">
        <f t="shared" si="918"/>
        <v>U</v>
      </c>
      <c r="AD1023" s="419" t="str">
        <f t="shared" si="918"/>
        <v>Kidder &amp; Stourport</v>
      </c>
      <c r="AE1023" s="419">
        <f>IF(ISNA(MATCH(AC1023,N1022:N1031,0)),0,VLOOKUP(AC1023,N1022:S1031,5,FALSE))</f>
        <v>0</v>
      </c>
      <c r="AF1023" s="419" t="str">
        <f>IF(ISNA(MATCH(AC1023,T1022:T1031,0))," ",VLOOKUP(AC1023,T1022:Y1031,5,FALSE))</f>
        <v xml:space="preserve"> </v>
      </c>
      <c r="AG1023" s="419">
        <f>IF(ISNA(MATCH(AC1023,L1022:L1029,0)),0,VLOOKUP(AC1023,L1022:N1029,3,FALSE))</f>
        <v>0</v>
      </c>
      <c r="AH1023" s="419">
        <f>IF(ISNA(MATCH(AC1023,R1022:R1029,0)),0,VLOOKUP(AC1023,R1022:T1029,3,FALSE))</f>
        <v>0</v>
      </c>
      <c r="AI1023" s="419">
        <f>IF(ISNA(MATCH(AC1023,L1022:L1029,0)),0,VLOOKUP(AC1023,L1022:P1029,4,FALSE))</f>
        <v>0</v>
      </c>
      <c r="AJ1023" s="419">
        <f>IF(ISNA(MATCH(AC1023,R1022:R1029,0)),0,VLOOKUP(AC1023,R1022:U1029,4,FALSE))</f>
        <v>0</v>
      </c>
      <c r="AK1023" s="32">
        <f t="shared" si="919"/>
        <v>0</v>
      </c>
      <c r="AL1023" s="32">
        <f t="shared" si="920"/>
        <v>0</v>
      </c>
      <c r="AM1023" s="32">
        <f>IF(ISNA(MATCH(AC1023,L1022:L1029,0)),0,VLOOKUP(AC1023,L1022:W1029,AM$1,FALSE))</f>
        <v>0</v>
      </c>
      <c r="AN1023" s="146">
        <f>IF(ISNA(MATCH(AC1023,R1022:R1029,0)),0,VLOOKUP(AC1023,R1022:W1029,AN$1,FALSE))</f>
        <v>0</v>
      </c>
      <c r="AP1023" s="927"/>
      <c r="AQ1023" s="927"/>
    </row>
    <row r="1024" spans="1:47" ht="15.6" x14ac:dyDescent="0.3">
      <c r="A1024" s="417">
        <f t="shared" ref="A1024:A1029" si="921">A1023+1</f>
        <v>923</v>
      </c>
      <c r="B1024" s="362" t="str">
        <f>'Event Details'!D$24</f>
        <v>G</v>
      </c>
      <c r="C1024" s="381" t="str">
        <f>'Event Details'!E$24</f>
        <v>Royal Sutton</v>
      </c>
      <c r="D1024" s="379"/>
      <c r="E1024" s="378"/>
      <c r="F1024" s="363">
        <f>VLOOKUP($B1021,IF($H1021="F",TeamSheetFemale,TeamSheetMale),$Y1024-1,FALSE)</f>
        <v>0</v>
      </c>
      <c r="G1024" s="380">
        <f>VLOOKUP($B1021,IF($H1021="F",TeamSheetFemale,TeamSheetMale),$Y1024,FALSE)</f>
        <v>0</v>
      </c>
      <c r="H1024" s="363">
        <f>VLOOKUP($B1021,IF($H1021="F",TeamSheetFemale,TeamSheetMale),$Y1024+1,FALSE)</f>
        <v>0</v>
      </c>
      <c r="I1024" s="364">
        <f>VLOOKUP($B1021,IF($H1021="F",TeamSheetFemale,TeamSheetMale),$Y1024+2,FALSE)</f>
        <v>0</v>
      </c>
      <c r="K1024" s="341" t="s">
        <v>273</v>
      </c>
      <c r="L1024" s="16" t="str">
        <f t="shared" si="914"/>
        <v/>
      </c>
      <c r="M1024" s="927"/>
      <c r="N1024" s="927"/>
      <c r="O1024" s="354" t="str">
        <f>IF(LEN($M1024)=1,VLOOKUP(LEFT($M1024,1),B1022:I1029,5,FALSE),IF(LEN($M1024)=2,VLOOKUP(LEFT($M1024,1),B1022:I1029,7,FALSE),""))</f>
        <v/>
      </c>
      <c r="P1024" s="410" t="str">
        <f>IF(LEN($M1024)=1,VLOOKUP(LEFT($M1024,1),B1022:I1029,6,FALSE),IF(LEN($M1024)=2,VLOOKUP(LEFT($M1024,1),B1022:I1029,8,FALSE),""))</f>
        <v/>
      </c>
      <c r="Q1024" s="371" t="s">
        <v>273</v>
      </c>
      <c r="R1024" s="146" t="str">
        <f t="shared" si="915"/>
        <v/>
      </c>
      <c r="S1024" s="927"/>
      <c r="T1024" s="927"/>
      <c r="U1024" s="354" t="str">
        <f>IF(LEN($S1024)=1,VLOOKUP(LEFT($S1024,1),B1022:I1029,5,FALSE),IF(LEN($S1024)=2,VLOOKUP(LEFT($S1024,1),B1022:I1029,7,FALSE),""))</f>
        <v/>
      </c>
      <c r="V1024" s="410" t="str">
        <f>IF(LEN($S1024)=1,VLOOKUP(LEFT($S1024,1),B1022:I1029,6,FALSE),IF(LEN($S1024)=2,VLOOKUP(LEFT($S1024,1),B1022:I1029,8,FALSE),""))</f>
        <v/>
      </c>
      <c r="W1024" s="417">
        <f t="shared" ref="W1024:W1029" si="922">W1023-1</f>
        <v>6</v>
      </c>
      <c r="Y1024" s="16">
        <v>17</v>
      </c>
      <c r="Z1024" s="16">
        <f t="shared" si="916"/>
        <v>0</v>
      </c>
      <c r="AA1024" s="146">
        <f t="shared" si="917"/>
        <v>0</v>
      </c>
      <c r="AC1024" s="16" t="str">
        <f t="shared" si="918"/>
        <v>G</v>
      </c>
      <c r="AD1024" s="419" t="str">
        <f t="shared" si="918"/>
        <v>Royal Sutton</v>
      </c>
      <c r="AE1024" s="419">
        <f>IF(ISNA(MATCH(AC1024,N1022:N1031,0)),0,VLOOKUP(AC1024,N1022:S1031,5,FALSE))</f>
        <v>0</v>
      </c>
      <c r="AF1024" s="419" t="str">
        <f>IF(ISNA(MATCH(AC1024,T1022:T1031,0))," ",VLOOKUP(AC1024,T1022:Y1031,5,FALSE))</f>
        <v xml:space="preserve"> </v>
      </c>
      <c r="AG1024" s="419">
        <f>IF(ISNA(MATCH(AC1024,L1022:L1029,0)),0,VLOOKUP(AC1024,L1022:N1029,3,FALSE))</f>
        <v>0</v>
      </c>
      <c r="AH1024" s="419">
        <f>IF(ISNA(MATCH(AC1024,R1022:R1029,0)),0,VLOOKUP(AC1024,R1022:T1029,3,FALSE))</f>
        <v>0</v>
      </c>
      <c r="AI1024" s="419">
        <f>IF(ISNA(MATCH(AC1024,L1022:L1029,0)),0,VLOOKUP(AC1024,L1022:P1029,4,FALSE))</f>
        <v>0</v>
      </c>
      <c r="AJ1024" s="419">
        <f>IF(ISNA(MATCH(AC1024,R1022:R1029,0)),0,VLOOKUP(AC1024,R1022:U1029,4,FALSE))</f>
        <v>0</v>
      </c>
      <c r="AK1024" s="32">
        <f t="shared" si="919"/>
        <v>0</v>
      </c>
      <c r="AL1024" s="32">
        <f t="shared" si="920"/>
        <v>0</v>
      </c>
      <c r="AM1024" s="32">
        <f>IF(ISNA(MATCH(AC1024,L1022:L1029,0)),0,VLOOKUP(AC1024,L1022:W1029,AM$1,FALSE))</f>
        <v>0</v>
      </c>
      <c r="AN1024" s="146">
        <f>IF(ISNA(MATCH(AC1024,R1022:R1029,0)),0,VLOOKUP(AC1024,R1022:W1029,AN$1,FALSE))</f>
        <v>0</v>
      </c>
      <c r="AP1024" s="927"/>
      <c r="AQ1024" s="927"/>
    </row>
    <row r="1025" spans="1:47" ht="15.6" x14ac:dyDescent="0.3">
      <c r="A1025" s="417">
        <f t="shared" si="921"/>
        <v>924</v>
      </c>
      <c r="B1025" s="362" t="str">
        <f>'Event Details'!D$25</f>
        <v>R</v>
      </c>
      <c r="C1025" s="381" t="str">
        <f>'Event Details'!E$25</f>
        <v>Rugby &amp; N'hampton</v>
      </c>
      <c r="D1025" s="379"/>
      <c r="E1025" s="378"/>
      <c r="F1025" s="363">
        <f>VLOOKUP($B1021,IF($H1021="F",TeamSheetFemale,TeamSheetMale),$Y1025-1,FALSE)</f>
        <v>125</v>
      </c>
      <c r="G1025" s="380" t="str">
        <f>VLOOKUP($B1021,IF($H1021="F",TeamSheetFemale,TeamSheetMale),$Y1025,FALSE)</f>
        <v>Harvey Kerrell Vaughan</v>
      </c>
      <c r="H1025" s="363">
        <f>VLOOKUP($B1021,IF($H1021="F",TeamSheetFemale,TeamSheetMale),$Y1025+1,FALSE)</f>
        <v>0</v>
      </c>
      <c r="I1025" s="364">
        <f>VLOOKUP($B1021,IF($H1021="F",TeamSheetFemale,TeamSheetMale),$Y1025+2,FALSE)</f>
        <v>0</v>
      </c>
      <c r="K1025" s="341" t="s">
        <v>274</v>
      </c>
      <c r="L1025" s="16" t="str">
        <f t="shared" si="914"/>
        <v/>
      </c>
      <c r="M1025" s="927"/>
      <c r="N1025" s="927"/>
      <c r="O1025" s="354" t="str">
        <f>IF(LEN($M1025)=1,VLOOKUP(LEFT($M1025,1),B1022:I1029,5,FALSE),IF(LEN($M1025)=2,VLOOKUP(LEFT($M1025,1),B1022:I1029,7,FALSE),""))</f>
        <v/>
      </c>
      <c r="P1025" s="410" t="str">
        <f>IF(LEN($M1025)=1,VLOOKUP(LEFT($M1025,1),B1022:I1029,6,FALSE),IF(LEN($M1025)=2,VLOOKUP(LEFT($M1025,1),B1022:I1029,8,FALSE),""))</f>
        <v/>
      </c>
      <c r="Q1025" s="371" t="s">
        <v>274</v>
      </c>
      <c r="R1025" s="146" t="str">
        <f t="shared" si="915"/>
        <v/>
      </c>
      <c r="S1025" s="927"/>
      <c r="T1025" s="927"/>
      <c r="U1025" s="354" t="str">
        <f>IF(LEN($S1025)=1,VLOOKUP(LEFT($S1025,1),B1022:I1029,5,FALSE),IF(LEN($S1025)=2,VLOOKUP(LEFT($S1025,1),B1022:I1029,7,FALSE),""))</f>
        <v/>
      </c>
      <c r="V1025" s="410" t="str">
        <f>IF(LEN($S1025)=1,VLOOKUP(LEFT($S1025,1),B1022:I1029,6,FALSE),IF(LEN($S1025)=2,VLOOKUP(LEFT($S1025,1),B1022:I1029,8,FALSE),""))</f>
        <v/>
      </c>
      <c r="W1025" s="417">
        <f t="shared" si="922"/>
        <v>5</v>
      </c>
      <c r="Y1025" s="16">
        <v>22</v>
      </c>
      <c r="Z1025" s="16">
        <f t="shared" si="916"/>
        <v>0</v>
      </c>
      <c r="AA1025" s="146">
        <f t="shared" si="917"/>
        <v>0</v>
      </c>
      <c r="AC1025" s="16" t="str">
        <f t="shared" si="918"/>
        <v>R</v>
      </c>
      <c r="AD1025" s="419" t="str">
        <f t="shared" si="918"/>
        <v>Rugby &amp; N'hampton</v>
      </c>
      <c r="AE1025" s="419">
        <f>IF(ISNA(MATCH(AC1025,N1022:N1031,0)),0,VLOOKUP(AC1025,N1022:S1031,5,FALSE))</f>
        <v>0</v>
      </c>
      <c r="AF1025" s="419" t="str">
        <f>IF(ISNA(MATCH(AC1025,T1022:T1031,0))," ",VLOOKUP(AC1025,T1022:Y1031,5,FALSE))</f>
        <v xml:space="preserve"> </v>
      </c>
      <c r="AG1025" s="419" t="str">
        <f>IF(ISNA(MATCH(AC1025,L1022:L1029,0)),0,VLOOKUP(AC1025,L1022:N1029,3,FALSE))</f>
        <v>2.35.0</v>
      </c>
      <c r="AH1025" s="419">
        <f>IF(ISNA(MATCH(AC1025,R1022:R1029,0)),0,VLOOKUP(AC1025,R1022:T1029,3,FALSE))</f>
        <v>0</v>
      </c>
      <c r="AI1025" s="419">
        <f>IF(ISNA(MATCH(AC1025,L1022:L1029,0)),0,VLOOKUP(AC1025,L1022:P1029,4,FALSE))</f>
        <v>125</v>
      </c>
      <c r="AJ1025" s="419">
        <f>IF(ISNA(MATCH(AC1025,R1022:R1029,0)),0,VLOOKUP(AC1025,R1022:U1029,4,FALSE))</f>
        <v>0</v>
      </c>
      <c r="AK1025" s="32">
        <f t="shared" si="919"/>
        <v>2</v>
      </c>
      <c r="AL1025" s="32">
        <f t="shared" si="920"/>
        <v>0</v>
      </c>
      <c r="AM1025" s="32">
        <f>IF(ISNA(MATCH(AC1025,L1022:L1029,0)),0,VLOOKUP(AC1025,L1022:W1029,AM$1,FALSE))</f>
        <v>7</v>
      </c>
      <c r="AN1025" s="146">
        <f>IF(ISNA(MATCH(AC1025,R1022:R1029,0)),0,VLOOKUP(AC1025,R1022:W1029,AN$1,FALSE))</f>
        <v>0</v>
      </c>
      <c r="AP1025" s="927"/>
      <c r="AQ1025" s="927"/>
    </row>
    <row r="1026" spans="1:47" ht="15.6" x14ac:dyDescent="0.3">
      <c r="A1026" s="417">
        <f t="shared" si="921"/>
        <v>925</v>
      </c>
      <c r="B1026" s="362" t="str">
        <f>'Event Details'!D$26</f>
        <v>M</v>
      </c>
      <c r="C1026" s="381" t="str">
        <f>'Event Details'!E$26</f>
        <v>Solihull &amp; S.Heath</v>
      </c>
      <c r="D1026" s="379"/>
      <c r="E1026" s="378"/>
      <c r="F1026" s="363">
        <f>VLOOKUP($B1021,IF($H1021="F",TeamSheetFemale,TeamSheetMale),$Y1026-1,FALSE)</f>
        <v>0</v>
      </c>
      <c r="G1026" s="380">
        <f>VLOOKUP($B1021,IF($H1021="F",TeamSheetFemale,TeamSheetMale),$Y1026,FALSE)</f>
        <v>0</v>
      </c>
      <c r="H1026" s="363">
        <f>VLOOKUP($B1021,IF($H1021="F",TeamSheetFemale,TeamSheetMale),$Y1026+1,FALSE)</f>
        <v>0</v>
      </c>
      <c r="I1026" s="364">
        <f>VLOOKUP($B1021,IF($H1021="F",TeamSheetFemale,TeamSheetMale),$Y1026+2,FALSE)</f>
        <v>0</v>
      </c>
      <c r="K1026" s="341" t="s">
        <v>275</v>
      </c>
      <c r="L1026" s="16" t="str">
        <f t="shared" si="914"/>
        <v/>
      </c>
      <c r="M1026" s="927"/>
      <c r="N1026" s="927"/>
      <c r="O1026" s="354" t="str">
        <f>IF(LEN($M1026)=1,VLOOKUP(LEFT($M1026,1),B1022:I1029,5,FALSE),IF(LEN($M1026)=2,VLOOKUP(LEFT($M1026,1),B1022:I1029,7,FALSE),""))</f>
        <v/>
      </c>
      <c r="P1026" s="410" t="str">
        <f>IF(LEN($M1026)=1,VLOOKUP(LEFT($M1026,1),B1022:I1029,6,FALSE),IF(LEN($M1026)=2,VLOOKUP(LEFT($M1026,1),B1022:I1029,8,FALSE),""))</f>
        <v/>
      </c>
      <c r="Q1026" s="371" t="s">
        <v>275</v>
      </c>
      <c r="R1026" s="146" t="str">
        <f t="shared" si="915"/>
        <v/>
      </c>
      <c r="S1026" s="927"/>
      <c r="T1026" s="927"/>
      <c r="U1026" s="354" t="str">
        <f>IF(LEN($S1026)=1,VLOOKUP(LEFT($S1026,1),B1022:I1029,5,FALSE),IF(LEN($S1026)=2,VLOOKUP(LEFT($S1026,1),B1022:I1029,7,FALSE),""))</f>
        <v/>
      </c>
      <c r="V1026" s="410" t="str">
        <f>IF(LEN($S1026)=1,VLOOKUP(LEFT($S1026,1),B1022:I1029,6,FALSE),IF(LEN($S1026)=2,VLOOKUP(LEFT($S1026,1),B1022:I1029,8,FALSE),""))</f>
        <v/>
      </c>
      <c r="W1026" s="417">
        <f t="shared" si="922"/>
        <v>4</v>
      </c>
      <c r="Y1026" s="16">
        <v>27</v>
      </c>
      <c r="Z1026" s="16">
        <f t="shared" si="916"/>
        <v>0</v>
      </c>
      <c r="AA1026" s="146">
        <f t="shared" si="917"/>
        <v>0</v>
      </c>
      <c r="AC1026" s="16" t="str">
        <f t="shared" si="918"/>
        <v>M</v>
      </c>
      <c r="AD1026" s="419" t="str">
        <f t="shared" si="918"/>
        <v>Solihull &amp; S.Heath</v>
      </c>
      <c r="AE1026" s="419">
        <f>IF(ISNA(MATCH(AC1026,N1022:N1031,0)),0,VLOOKUP(AC1026,N1022:S1031,5,FALSE))</f>
        <v>0</v>
      </c>
      <c r="AF1026" s="419" t="str">
        <f>IF(ISNA(MATCH(AC1026,T1022:T1031,0))," ",VLOOKUP(AC1026,T1022:Y1031,5,FALSE))</f>
        <v xml:space="preserve"> </v>
      </c>
      <c r="AG1026" s="419">
        <f>IF(ISNA(MATCH(AC1026,L1022:L1029,0)),0,VLOOKUP(AC1026,L1022:N1029,3,FALSE))</f>
        <v>0</v>
      </c>
      <c r="AH1026" s="419">
        <f>IF(ISNA(MATCH(AC1026,R1022:R1029,0)),0,VLOOKUP(AC1026,R1022:T1029,3,FALSE))</f>
        <v>0</v>
      </c>
      <c r="AI1026" s="419">
        <f>IF(ISNA(MATCH(AC1026,L1022:L1029,0)),0,VLOOKUP(AC1026,L1022:P1029,4,FALSE))</f>
        <v>0</v>
      </c>
      <c r="AJ1026" s="419">
        <f>IF(ISNA(MATCH(AC1026,R1022:R1029,0)),0,VLOOKUP(AC1026,R1022:U1029,4,FALSE))</f>
        <v>0</v>
      </c>
      <c r="AK1026" s="32">
        <f t="shared" si="919"/>
        <v>0</v>
      </c>
      <c r="AL1026" s="32">
        <f t="shared" si="920"/>
        <v>0</v>
      </c>
      <c r="AM1026" s="32">
        <f>IF(ISNA(MATCH(AC1026,L1022:L1029,0)),0,VLOOKUP(AC1026,L1022:W1029,AM$1,FALSE))</f>
        <v>0</v>
      </c>
      <c r="AN1026" s="146">
        <f>IF(ISNA(MATCH(AC1026,R1022:R1029,0)),0,VLOOKUP(AC1026,R1022:W1029,AN$1,FALSE))</f>
        <v>0</v>
      </c>
      <c r="AP1026" s="927"/>
      <c r="AQ1026" s="927"/>
    </row>
    <row r="1027" spans="1:47" ht="15.6" x14ac:dyDescent="0.3">
      <c r="A1027" s="417">
        <f t="shared" si="921"/>
        <v>926</v>
      </c>
      <c r="B1027" s="362" t="str">
        <f>'Event Details'!D$27</f>
        <v>D</v>
      </c>
      <c r="C1027" s="381" t="str">
        <f>'Event Details'!E$27</f>
        <v>Stratford</v>
      </c>
      <c r="D1027" s="379"/>
      <c r="E1027" s="378"/>
      <c r="F1027" s="363">
        <f>VLOOKUP($B1021,IF($H1021="F",TeamSheetFemale,TeamSheetMale),$Y1027-1,FALSE)</f>
        <v>0</v>
      </c>
      <c r="G1027" s="380">
        <f>VLOOKUP($B1021,IF($H1021="F",TeamSheetFemale,TeamSheetMale),$Y1027,FALSE)</f>
        <v>0</v>
      </c>
      <c r="H1027" s="363">
        <f>VLOOKUP($B1021,IF($H1021="F",TeamSheetFemale,TeamSheetMale),$Y1027+1,FALSE)</f>
        <v>0</v>
      </c>
      <c r="I1027" s="364">
        <f>VLOOKUP($B1021,IF($H1021="F",TeamSheetFemale,TeamSheetMale),$Y1027+2,FALSE)</f>
        <v>0</v>
      </c>
      <c r="K1027" s="341" t="s">
        <v>276</v>
      </c>
      <c r="L1027" s="16" t="str">
        <f t="shared" si="914"/>
        <v/>
      </c>
      <c r="M1027" s="927"/>
      <c r="N1027" s="927"/>
      <c r="O1027" s="354" t="str">
        <f>IF(LEN($M1027)=1,VLOOKUP(LEFT($M1027,1),B1022:I1029,5,FALSE),IF(LEN($M1027)=2,VLOOKUP(LEFT($M1027,1),B1022:I1029,7,FALSE),""))</f>
        <v/>
      </c>
      <c r="P1027" s="410" t="str">
        <f>IF(LEN($M1027)=1,VLOOKUP(LEFT($M1027,1),B1022:I1029,6,FALSE),IF(LEN($M1027)=2,VLOOKUP(LEFT($M1027,1),B1022:I1029,8,FALSE),""))</f>
        <v/>
      </c>
      <c r="Q1027" s="371" t="s">
        <v>276</v>
      </c>
      <c r="R1027" s="146" t="str">
        <f t="shared" si="915"/>
        <v/>
      </c>
      <c r="S1027" s="927"/>
      <c r="T1027" s="927"/>
      <c r="U1027" s="354" t="str">
        <f>IF(LEN($S1027)=1,VLOOKUP(LEFT($S1027,1),B1022:I1029,5,FALSE),IF(LEN($S1027)=2,VLOOKUP(LEFT($S1027,1),B1022:I1029,7,FALSE),""))</f>
        <v/>
      </c>
      <c r="V1027" s="410" t="str">
        <f>IF(LEN($S1027)=1,VLOOKUP(LEFT($S1027,1),B1022:I1029,6,FALSE),IF(LEN($S1027)=2,VLOOKUP(LEFT($S1027,1),B1022:I1029,8,FALSE),""))</f>
        <v/>
      </c>
      <c r="W1027" s="417">
        <f t="shared" si="922"/>
        <v>3</v>
      </c>
      <c r="Y1027" s="16">
        <v>32</v>
      </c>
      <c r="Z1027" s="16">
        <f t="shared" si="916"/>
        <v>0</v>
      </c>
      <c r="AA1027" s="146">
        <f t="shared" si="917"/>
        <v>0</v>
      </c>
      <c r="AC1027" s="16" t="str">
        <f t="shared" si="918"/>
        <v>D</v>
      </c>
      <c r="AD1027" s="419" t="str">
        <f t="shared" si="918"/>
        <v>Stratford</v>
      </c>
      <c r="AE1027" s="419">
        <f>IF(ISNA(MATCH(AC1027,N1022:N1031,0)),0,VLOOKUP(AC1027,N1022:S1031,5,FALSE))</f>
        <v>0</v>
      </c>
      <c r="AF1027" s="419" t="str">
        <f>IF(ISNA(MATCH(AC1027,T1022:T1031,0))," ",VLOOKUP(AC1027,T1022:Y1031,5,FALSE))</f>
        <v xml:space="preserve"> </v>
      </c>
      <c r="AG1027" s="419">
        <f>IF(ISNA(MATCH(AC1027,L1022:L1029,0)),0,VLOOKUP(AC1027,L1022:N1029,3,FALSE))</f>
        <v>0</v>
      </c>
      <c r="AH1027" s="419">
        <f>IF(ISNA(MATCH(AC1027,R1022:R1029,0)),0,VLOOKUP(AC1027,R1022:T1029,3,FALSE))</f>
        <v>0</v>
      </c>
      <c r="AI1027" s="419">
        <f>IF(ISNA(MATCH(AC1027,L1022:L1029,0)),0,VLOOKUP(AC1027,L1022:P1029,4,FALSE))</f>
        <v>0</v>
      </c>
      <c r="AJ1027" s="419">
        <f>IF(ISNA(MATCH(AC1027,R1022:R1029,0)),0,VLOOKUP(AC1027,R1022:U1029,4,FALSE))</f>
        <v>0</v>
      </c>
      <c r="AK1027" s="32">
        <f t="shared" si="919"/>
        <v>0</v>
      </c>
      <c r="AL1027" s="32">
        <f t="shared" si="920"/>
        <v>0</v>
      </c>
      <c r="AM1027" s="32">
        <f>IF(ISNA(MATCH(AC1027,L1022:L1029,0)),0,VLOOKUP(AC1027,L1022:W1029,AM$1,FALSE))</f>
        <v>0</v>
      </c>
      <c r="AN1027" s="146">
        <f>IF(ISNA(MATCH(AC1027,R1022:R1029,0)),0,VLOOKUP(AC1027,R1022:W1029,AN$1,FALSE))</f>
        <v>0</v>
      </c>
      <c r="AP1027" s="927"/>
      <c r="AQ1027" s="927"/>
    </row>
    <row r="1028" spans="1:47" ht="15.6" x14ac:dyDescent="0.3">
      <c r="A1028" s="417">
        <f t="shared" si="921"/>
        <v>927</v>
      </c>
      <c r="B1028" s="362" t="str">
        <f>'Event Details'!D$28</f>
        <v>F</v>
      </c>
      <c r="C1028" s="381" t="str">
        <f>'Event Details'!E$28</f>
        <v>Tamworth</v>
      </c>
      <c r="D1028" s="379"/>
      <c r="E1028" s="378"/>
      <c r="F1028" s="363">
        <f>VLOOKUP($B1021,IF($H1021="F",TeamSheetFemale,TeamSheetMale),$Y1028-1,FALSE)</f>
        <v>0</v>
      </c>
      <c r="G1028" s="380">
        <f>VLOOKUP($B1021,IF($H1021="F",TeamSheetFemale,TeamSheetMale),$Y1028,FALSE)</f>
        <v>0</v>
      </c>
      <c r="H1028" s="363">
        <f>VLOOKUP($B1021,IF($H1021="F",TeamSheetFemale,TeamSheetMale),$Y1028+1,FALSE)</f>
        <v>0</v>
      </c>
      <c r="I1028" s="364">
        <f>VLOOKUP($B1021,IF($H1021="F",TeamSheetFemale,TeamSheetMale),$Y1028+2,FALSE)</f>
        <v>0</v>
      </c>
      <c r="K1028" s="341" t="s">
        <v>277</v>
      </c>
      <c r="L1028" s="16" t="str">
        <f t="shared" si="914"/>
        <v/>
      </c>
      <c r="M1028" s="931"/>
      <c r="N1028" s="927"/>
      <c r="O1028" s="354" t="str">
        <f>IF(LEN($M1028)=1,VLOOKUP(LEFT($M1028,1),B1022:I1029,5,FALSE),IF(LEN($M1028)=2,VLOOKUP(LEFT($M1028,1),B1022:I1029,7,FALSE),""))</f>
        <v/>
      </c>
      <c r="P1028" s="410" t="str">
        <f>IF(LEN($M1028)=1,VLOOKUP(LEFT($M1028,1),B1022:I1029,6,FALSE),IF(LEN($M1028)=2,VLOOKUP(LEFT($M1028,1),B1022:I1029,8,FALSE),""))</f>
        <v/>
      </c>
      <c r="Q1028" s="371" t="s">
        <v>277</v>
      </c>
      <c r="R1028" s="146" t="str">
        <f t="shared" si="915"/>
        <v/>
      </c>
      <c r="S1028" s="931"/>
      <c r="T1028" s="927"/>
      <c r="U1028" s="354" t="str">
        <f>IF(LEN($S1028)=1,VLOOKUP(LEFT($S1028,1),B1022:I1029,5,FALSE),IF(LEN($S1028)=2,VLOOKUP(LEFT($S1028,1),B1022:I1029,7,FALSE),""))</f>
        <v/>
      </c>
      <c r="V1028" s="410" t="str">
        <f>IF(LEN($S1028)=1,VLOOKUP(LEFT($S1028,1),B1022:I1029,6,FALSE),IF(LEN($S1028)=2,VLOOKUP(LEFT($S1028,1),B1022:I1029,8,FALSE),""))</f>
        <v/>
      </c>
      <c r="W1028" s="417">
        <f t="shared" si="922"/>
        <v>2</v>
      </c>
      <c r="Y1028" s="16">
        <v>37</v>
      </c>
      <c r="Z1028" s="16">
        <f t="shared" si="916"/>
        <v>0</v>
      </c>
      <c r="AA1028" s="146">
        <f t="shared" si="917"/>
        <v>0</v>
      </c>
      <c r="AC1028" s="16" t="str">
        <f t="shared" si="918"/>
        <v>F</v>
      </c>
      <c r="AD1028" s="419" t="str">
        <f t="shared" si="918"/>
        <v>Tamworth</v>
      </c>
      <c r="AE1028" s="419">
        <f>IF(ISNA(MATCH(AC1028,N1020:N1029,0)),0,VLOOKUP(AC1028,N1020:S1029,5,FALSE))</f>
        <v>0</v>
      </c>
      <c r="AF1028" s="419" t="str">
        <f>IF(ISNA(MATCH(AC1028,T1020:T1029,0))," ",VLOOKUP(AC1028,T1020:Y1029,5,FALSE))</f>
        <v xml:space="preserve"> </v>
      </c>
      <c r="AG1028" s="419">
        <f>IF(ISNA(MATCH(AC1028,L1022:L1029,0)),0,VLOOKUP(AC1028,L1022:N1029,3,FALSE))</f>
        <v>0</v>
      </c>
      <c r="AH1028" s="419">
        <f>IF(ISNA(MATCH(AC1028,R1022:R1029,0)),0,VLOOKUP(AC1028,R1022:T1029,3,FALSE))</f>
        <v>0</v>
      </c>
      <c r="AI1028" s="419">
        <f>IF(ISNA(MATCH(AC1028,L1022:L1029,0)),0,VLOOKUP(AC1028,L1022:P1029,4,FALSE))</f>
        <v>0</v>
      </c>
      <c r="AJ1028" s="419">
        <f>IF(ISNA(MATCH(AC1028,R1022:R1029,0)),0,VLOOKUP(AC1028,R1022:U1029,4,FALSE))</f>
        <v>0</v>
      </c>
      <c r="AK1028" s="32">
        <f t="shared" si="919"/>
        <v>0</v>
      </c>
      <c r="AL1028" s="32">
        <f t="shared" si="920"/>
        <v>0</v>
      </c>
      <c r="AM1028" s="32">
        <f>IF(ISNA(MATCH(AC1028,L1022:L1029,0)),0,VLOOKUP(AC1028,L1022:W1029,AM$1,FALSE))</f>
        <v>0</v>
      </c>
      <c r="AN1028" s="146">
        <f>IF(ISNA(MATCH(AC1028,R1022:R1029,0)),0,VLOOKUP(AC1028,R1022:W1029,AN$1,FALSE))</f>
        <v>0</v>
      </c>
      <c r="AP1028" s="931"/>
      <c r="AQ1028" s="927"/>
    </row>
    <row r="1029" spans="1:47" ht="16.2" thickBot="1" x14ac:dyDescent="0.35">
      <c r="A1029" s="418">
        <f t="shared" si="921"/>
        <v>928</v>
      </c>
      <c r="B1029" s="365" t="str">
        <f>'Event Details'!D$29</f>
        <v>Y</v>
      </c>
      <c r="C1029" s="366" t="str">
        <f>'Event Details'!E$29</f>
        <v>Worcester</v>
      </c>
      <c r="D1029" s="361"/>
      <c r="E1029" s="370"/>
      <c r="F1029" s="367">
        <f>VLOOKUP($B1021,IF($H1021="F",TeamSheetFemale,TeamSheetMale),$Y1029-1,FALSE)</f>
        <v>0</v>
      </c>
      <c r="G1029" s="368">
        <f>VLOOKUP($B1021,IF($H1021="F",TeamSheetFemale,TeamSheetMale),$Y1029,FALSE)</f>
        <v>0</v>
      </c>
      <c r="H1029" s="367">
        <f>VLOOKUP($B1021,IF($H1021="F",TeamSheetFemale,TeamSheetMale),$Y1029+1,FALSE)</f>
        <v>0</v>
      </c>
      <c r="I1029" s="369">
        <f>VLOOKUP($B1021,IF($H1021="F",TeamSheetFemale,TeamSheetMale),$Y1029+2,FALSE)</f>
        <v>0</v>
      </c>
      <c r="K1029" s="346" t="s">
        <v>278</v>
      </c>
      <c r="L1029" s="25" t="str">
        <f t="shared" si="914"/>
        <v/>
      </c>
      <c r="M1029" s="928" t="s">
        <v>148</v>
      </c>
      <c r="N1029" s="932"/>
      <c r="O1029" s="374" t="str">
        <f>IF(LEN($M1029)=1,VLOOKUP(LEFT($M1029,1),B1022:I1029,5,FALSE),IF(LEN($M1029)=2,VLOOKUP(LEFT($M1029,1),B1022:I1029,7,FALSE),""))</f>
        <v/>
      </c>
      <c r="P1029" s="411" t="str">
        <f>IF(LEN($M1029)=1,VLOOKUP(LEFT($M1029,1),B1022:I1029,6,FALSE),IF(LEN($M1029)=2,VLOOKUP(LEFT($M1029,1),B1022:I1029,8,FALSE),""))</f>
        <v/>
      </c>
      <c r="Q1029" s="407" t="s">
        <v>278</v>
      </c>
      <c r="R1029" s="523" t="str">
        <f t="shared" si="915"/>
        <v/>
      </c>
      <c r="S1029" s="928" t="s">
        <v>148</v>
      </c>
      <c r="T1029" s="932"/>
      <c r="U1029" s="374" t="str">
        <f>IF(LEN($S1029)=1,VLOOKUP(LEFT($S1029,1),B1022:I1029,5,FALSE),IF(LEN($S1029)=2,VLOOKUP(LEFT($S1029,1),B1022:I1029,7,FALSE),""))</f>
        <v/>
      </c>
      <c r="V1029" s="411" t="str">
        <f>IF(LEN($S1029)=1,VLOOKUP(LEFT($S1029,1),B1022:I1029,6,FALSE),IF(LEN($S1029)=2,VLOOKUP(LEFT($S1029,1),B1022:I1029,8,FALSE),""))</f>
        <v/>
      </c>
      <c r="W1029" s="418">
        <f t="shared" si="922"/>
        <v>1</v>
      </c>
      <c r="Y1029" s="25">
        <v>42</v>
      </c>
      <c r="Z1029" s="25">
        <f t="shared" si="916"/>
        <v>0</v>
      </c>
      <c r="AA1029" s="523">
        <f t="shared" si="917"/>
        <v>0</v>
      </c>
      <c r="AC1029" s="25" t="str">
        <f t="shared" si="918"/>
        <v>Y</v>
      </c>
      <c r="AD1029" s="624" t="str">
        <f t="shared" si="918"/>
        <v>Worcester</v>
      </c>
      <c r="AE1029" s="624">
        <f>IF(ISNA(MATCH(AC1029,N1021:N1030,0)),0,VLOOKUP(AC1029,N1021:S1030,5,FALSE))</f>
        <v>0</v>
      </c>
      <c r="AF1029" s="624" t="str">
        <f t="shared" ref="AF1029" si="923">IF(ISNA(MATCH(AC1029,T1021:T1030,0))," ",VLOOKUP(AC1029,T1021:Y1030,5,FALSE))</f>
        <v xml:space="preserve"> </v>
      </c>
      <c r="AG1029" s="624">
        <f>IF(ISNA(MATCH(AC1029,L1022:L1029,0)),0,VLOOKUP(AC1029,L1022:N1029,3,FALSE))</f>
        <v>0</v>
      </c>
      <c r="AH1029" s="624">
        <f>IF(ISNA(MATCH(AC1029,R1022:R1029,0)),0,VLOOKUP(AC1029,R1022:T1029,3,FALSE))</f>
        <v>0</v>
      </c>
      <c r="AI1029" s="624">
        <f>IF(ISNA(MATCH(AC1029,L1022:L1029,0)),0,VLOOKUP(AC1029,L1022:P1029,4,FALSE))</f>
        <v>0</v>
      </c>
      <c r="AJ1029" s="624">
        <f>IF(ISNA(MATCH(AC1029,R1022:R1029,0)),0,VLOOKUP(AC1029,R1022:U1029,4,FALSE))</f>
        <v>0</v>
      </c>
      <c r="AK1029" s="116">
        <f t="shared" si="919"/>
        <v>0</v>
      </c>
      <c r="AL1029" s="116">
        <f t="shared" si="920"/>
        <v>0</v>
      </c>
      <c r="AM1029" s="116">
        <f>IF(ISNA(MATCH(AC1029,L1022:L1029,0)),0,VLOOKUP(AC1029,L1022:W1029,AM$1,FALSE))</f>
        <v>0</v>
      </c>
      <c r="AN1029" s="523">
        <f>IF(ISNA(MATCH(AC1029,R1022:R1029,0)),0,VLOOKUP(AC1029,R1022:W1029,AN$1,FALSE))</f>
        <v>0</v>
      </c>
      <c r="AP1029" s="928" t="s">
        <v>148</v>
      </c>
      <c r="AQ1029" s="932"/>
    </row>
    <row r="1030" spans="1:47" ht="15" thickBot="1" x14ac:dyDescent="0.35">
      <c r="K1030" s="1207" t="s">
        <v>280</v>
      </c>
      <c r="M1030" s="276"/>
      <c r="N1030" s="307"/>
      <c r="S1030" s="276"/>
      <c r="T1030" s="307"/>
      <c r="AP1030" s="276"/>
      <c r="AQ1030" s="307"/>
    </row>
    <row r="1031" spans="1:47" x14ac:dyDescent="0.3">
      <c r="B1031" s="400" t="s">
        <v>258</v>
      </c>
      <c r="C1031" s="398"/>
      <c r="D1031" s="401" t="s">
        <v>165</v>
      </c>
      <c r="E1031" s="398"/>
      <c r="F1031" s="398"/>
      <c r="G1031" s="402" t="s">
        <v>259</v>
      </c>
      <c r="H1031" s="403" t="s">
        <v>249</v>
      </c>
      <c r="I1031" s="404" t="s">
        <v>168</v>
      </c>
      <c r="K1031" s="360"/>
      <c r="L1031" s="661"/>
      <c r="M1031" s="387" t="s">
        <v>260</v>
      </c>
      <c r="N1031" s="387" t="s">
        <v>261</v>
      </c>
      <c r="O1031" s="387" t="s">
        <v>262</v>
      </c>
      <c r="P1031" s="388" t="s">
        <v>75</v>
      </c>
      <c r="Q1031" s="389"/>
      <c r="R1031" s="657"/>
      <c r="S1031" s="387" t="s">
        <v>260</v>
      </c>
      <c r="T1031" s="387" t="s">
        <v>261</v>
      </c>
      <c r="U1031" s="387" t="s">
        <v>262</v>
      </c>
      <c r="V1031" s="388" t="s">
        <v>75</v>
      </c>
      <c r="W1031" s="672" t="s">
        <v>76</v>
      </c>
      <c r="Y1031" s="414" t="s">
        <v>263</v>
      </c>
      <c r="Z1031" s="656" t="s">
        <v>74</v>
      </c>
      <c r="AA1031" s="657" t="s">
        <v>75</v>
      </c>
      <c r="AC1031" s="665" t="s">
        <v>71</v>
      </c>
      <c r="AD1031" s="657" t="s">
        <v>86</v>
      </c>
      <c r="AE1031" s="661" t="s">
        <v>149</v>
      </c>
      <c r="AF1031" s="661" t="s">
        <v>94</v>
      </c>
      <c r="AG1031" s="661" t="s">
        <v>149</v>
      </c>
      <c r="AH1031" s="661" t="s">
        <v>94</v>
      </c>
      <c r="AI1031" s="661" t="s">
        <v>149</v>
      </c>
      <c r="AJ1031" s="661" t="s">
        <v>94</v>
      </c>
      <c r="AK1031" s="1332" t="s">
        <v>149</v>
      </c>
      <c r="AL1031" s="661" t="s">
        <v>94</v>
      </c>
      <c r="AM1031" s="1406" t="s">
        <v>76</v>
      </c>
      <c r="AN1031" s="1407"/>
      <c r="AP1031" s="387" t="s">
        <v>260</v>
      </c>
      <c r="AQ1031" s="387" t="s">
        <v>261</v>
      </c>
      <c r="AS1031" s="1218" t="s">
        <v>165</v>
      </c>
      <c r="AT1031" s="1219" t="s">
        <v>79</v>
      </c>
      <c r="AU1031" s="1220" t="s">
        <v>80</v>
      </c>
    </row>
    <row r="1032" spans="1:47" ht="15" thickBot="1" x14ac:dyDescent="0.35">
      <c r="B1032" s="405">
        <v>93</v>
      </c>
      <c r="C1032" s="399"/>
      <c r="D1032" s="385" t="str">
        <f>VLOOKUP($B1032,EventOrder,6,FALSE)</f>
        <v>800m (U18/U20) Men</v>
      </c>
      <c r="E1032" s="399"/>
      <c r="F1032" s="385"/>
      <c r="G1032" s="386" t="str">
        <f>VLOOKUP($B1032,EventOrder,4,FALSE)</f>
        <v>U18 Men</v>
      </c>
      <c r="H1032" s="396" t="str">
        <f>IF(MID(G1032,5,1)="F","F","M")</f>
        <v>M</v>
      </c>
      <c r="I1032" s="397">
        <f>VLOOKUP($B1032,EventOrder,2,FALSE)</f>
        <v>12.2</v>
      </c>
      <c r="K1032" s="377"/>
      <c r="L1032" s="667" t="s">
        <v>149</v>
      </c>
      <c r="M1032" s="409" t="s">
        <v>264</v>
      </c>
      <c r="N1032" s="409" t="s">
        <v>265</v>
      </c>
      <c r="O1032" s="390" t="s">
        <v>266</v>
      </c>
      <c r="P1032" s="391"/>
      <c r="Q1032" s="392"/>
      <c r="R1032" s="659" t="s">
        <v>94</v>
      </c>
      <c r="S1032" s="409" t="s">
        <v>264</v>
      </c>
      <c r="T1032" s="409" t="s">
        <v>265</v>
      </c>
      <c r="U1032" s="390" t="s">
        <v>266</v>
      </c>
      <c r="V1032" s="391"/>
      <c r="W1032" s="671"/>
      <c r="Y1032" s="415" t="s">
        <v>167</v>
      </c>
      <c r="Z1032" s="658" t="s">
        <v>149</v>
      </c>
      <c r="AA1032" s="659" t="s">
        <v>94</v>
      </c>
      <c r="AC1032" s="666"/>
      <c r="AD1032" s="668"/>
      <c r="AE1032" s="768" t="s">
        <v>75</v>
      </c>
      <c r="AF1032" s="768" t="s">
        <v>75</v>
      </c>
      <c r="AG1032" s="768" t="s">
        <v>267</v>
      </c>
      <c r="AH1032" s="768" t="s">
        <v>267</v>
      </c>
      <c r="AI1032" s="768" t="s">
        <v>268</v>
      </c>
      <c r="AJ1032" s="768" t="s">
        <v>268</v>
      </c>
      <c r="AK1032" s="770" t="s">
        <v>269</v>
      </c>
      <c r="AL1032" s="768" t="s">
        <v>269</v>
      </c>
      <c r="AM1032" s="667" t="s">
        <v>149</v>
      </c>
      <c r="AN1032" s="659" t="s">
        <v>94</v>
      </c>
      <c r="AP1032" s="409" t="s">
        <v>264</v>
      </c>
      <c r="AQ1032" s="409" t="s">
        <v>265</v>
      </c>
      <c r="AS1032" s="1221" t="s">
        <v>270</v>
      </c>
      <c r="AT1032" s="1222" t="s">
        <v>270</v>
      </c>
      <c r="AU1032" s="1223" t="s">
        <v>270</v>
      </c>
    </row>
    <row r="1033" spans="1:47" ht="15.6" x14ac:dyDescent="0.3">
      <c r="A1033" s="416">
        <f>(B1032*10)+1</f>
        <v>931</v>
      </c>
      <c r="B1033" s="362" t="str">
        <f>'Event Details'!D$22</f>
        <v>S</v>
      </c>
      <c r="C1033" s="381" t="str">
        <f>'Event Details'!E$22</f>
        <v>BRAT</v>
      </c>
      <c r="D1033" s="379"/>
      <c r="E1033" s="378"/>
      <c r="F1033" s="363">
        <f>VLOOKUP($B1032,IF($H1032="F",TeamSheetFemale,TeamSheetMale),$Y1033-1,FALSE)</f>
        <v>0</v>
      </c>
      <c r="G1033" s="380">
        <f>VLOOKUP($B1032,IF($H1032="F",TeamSheetFemale,TeamSheetMale),$Y1033,FALSE)</f>
        <v>0</v>
      </c>
      <c r="H1033" s="363">
        <f>VLOOKUP($B1032,IF($H1032="F",TeamSheetFemale,TeamSheetMale),$Y1033+1,FALSE)</f>
        <v>0</v>
      </c>
      <c r="I1033" s="364">
        <f>VLOOKUP($B1032,IF($H1032="F",TeamSheetFemale,TeamSheetMale),$Y1033+2,FALSE)</f>
        <v>0</v>
      </c>
      <c r="K1033" s="393" t="s">
        <v>271</v>
      </c>
      <c r="L1033" s="16" t="str">
        <f t="shared" ref="L1033:L1040" si="924">LEFT(M1033,1)</f>
        <v/>
      </c>
      <c r="M1033" s="926"/>
      <c r="N1033" s="926"/>
      <c r="O1033" s="394" t="str">
        <f>IF(LEN($M1033)=1,VLOOKUP(LEFT($M1033,1),B1033:I1040,5,FALSE),IF(LEN($M1033)=2,VLOOKUP(LEFT($M1033,1),B1033:I1040,7,FALSE),""))</f>
        <v/>
      </c>
      <c r="P1033" s="395" t="str">
        <f>IF(LEN($M1033)=1,VLOOKUP(LEFT($M1033,1),B1033:I1040,6,FALSE),IF(LEN($M1033)=2,VLOOKUP(LEFT($M1033,1),B1033:I1040,8,FALSE),""))</f>
        <v/>
      </c>
      <c r="Q1033" s="393" t="s">
        <v>271</v>
      </c>
      <c r="R1033" s="146" t="str">
        <f t="shared" ref="R1033:R1040" si="925">LEFT(S1033,1)</f>
        <v/>
      </c>
      <c r="S1033" s="926"/>
      <c r="T1033" s="926"/>
      <c r="U1033" s="394" t="str">
        <f>IF(LEN($S1033)=1,VLOOKUP(LEFT($S1033,1),B1033:I1040,5,FALSE),IF(LEN($S1033)=2,VLOOKUP(LEFT($S1033,1),B1033:I1040,7,FALSE),""))</f>
        <v/>
      </c>
      <c r="V1033" s="395" t="str">
        <f>IF(LEN($S1033)=1,VLOOKUP(LEFT($S1033,1),B1033:I1040,6,FALSE),IF(LEN($S1033)=2,VLOOKUP(LEFT($S1033,1),B1033:I1040,8,FALSE),""))</f>
        <v/>
      </c>
      <c r="W1033" s="417">
        <f>AN$6</f>
        <v>8</v>
      </c>
      <c r="Y1033" s="416">
        <v>7</v>
      </c>
      <c r="Z1033" s="653">
        <f t="shared" ref="Z1033:Z1040" si="926">IF(LEN(M1033)&gt;0,VLOOKUP(LEFT(M1033,1),ShortName,5,FALSE),0)</f>
        <v>0</v>
      </c>
      <c r="AA1033" s="138">
        <f t="shared" ref="AA1033:AA1040" si="927">IF(LEN(S1033)&gt;0,VLOOKUP(LEFT(S1033,1),ShortName,5,FALSE),0)</f>
        <v>0</v>
      </c>
      <c r="AC1033" s="16" t="str">
        <f t="shared" ref="AC1033:AD1040" si="928">B1033</f>
        <v>S</v>
      </c>
      <c r="AD1033" s="419" t="str">
        <f t="shared" si="928"/>
        <v>BRAT</v>
      </c>
      <c r="AE1033" s="635">
        <f>IF(ISNA(MATCH(AC1033,N1033:N1042,0)),0,VLOOKUP(AC1033,N1033:S1042,5,FALSE))</f>
        <v>0</v>
      </c>
      <c r="AF1033" s="635" t="str">
        <f>IF(ISNA(MATCH(AC1033,T1033:T1042,0))," ",VLOOKUP(AC1033,T1033:Y1042,5,FALSE))</f>
        <v xml:space="preserve"> </v>
      </c>
      <c r="AG1033" s="635">
        <f>IF(ISNA(MATCH(AC1033,L1033:L1040,0)),0,VLOOKUP(AC1033,L1033:N1040,3,FALSE))</f>
        <v>0</v>
      </c>
      <c r="AH1033" s="635">
        <f>IF(ISNA(MATCH(AC1033,R1033:R1040,0)),0,VLOOKUP(AC1033,R1033:T1040,3,FALSE))</f>
        <v>0</v>
      </c>
      <c r="AI1033" s="635">
        <f>IF(ISNA(MATCH(AC1033,L1033:L1040,0)),0,VLOOKUP(AC1033,L1033:P1040,4,FALSE))</f>
        <v>0</v>
      </c>
      <c r="AJ1033" s="635">
        <f>IF(ISNA(MATCH(AC1033,R1033:R1040,0)),0,VLOOKUP(AC1033,R1033:U1040,4,FALSE))</f>
        <v>0</v>
      </c>
      <c r="AK1033" s="49">
        <f t="shared" ref="AK1033:AK1040" si="929">IF(AM1033=0,0,AN$6-(AM1033-1))</f>
        <v>0</v>
      </c>
      <c r="AL1033" s="49">
        <f t="shared" ref="AL1033:AL1040" si="930">IF(AN1033=0,0,AN$6-(AN1033-1))</f>
        <v>0</v>
      </c>
      <c r="AM1033" s="49">
        <f>IF(ISNA(MATCH(AC1033,L1033:L1040,0)),0,VLOOKUP(AC1033,L1033:W1040,AM$1,FALSE))</f>
        <v>0</v>
      </c>
      <c r="AN1033" s="138">
        <f>IF(ISNA(MATCH(AC1033,R1033:R1040,0)),0,VLOOKUP(AC1033,R1033:W1040,AN$1,FALSE))</f>
        <v>0</v>
      </c>
      <c r="AP1033" s="926"/>
      <c r="AQ1033" s="926"/>
      <c r="AS1033" s="32">
        <f>IF(LEN(N1033)&gt;0,1,0)</f>
        <v>0</v>
      </c>
      <c r="AT1033" s="32">
        <f>IF(AND(AS1033=1,H1032="M"),1,0)</f>
        <v>0</v>
      </c>
      <c r="AU1033" s="32">
        <f>IF(AND(AS1033=1,H1032="F"),1,0)</f>
        <v>0</v>
      </c>
    </row>
    <row r="1034" spans="1:47" ht="15.6" x14ac:dyDescent="0.3">
      <c r="A1034" s="417">
        <f>A1033+1</f>
        <v>932</v>
      </c>
      <c r="B1034" s="362" t="str">
        <f>'Event Details'!D$23</f>
        <v>U</v>
      </c>
      <c r="C1034" s="381" t="str">
        <f>'Event Details'!E$23</f>
        <v>Kidder &amp; Stourport</v>
      </c>
      <c r="D1034" s="379"/>
      <c r="E1034" s="378"/>
      <c r="F1034" s="363">
        <f>VLOOKUP($B1032,IF($H1032="F",TeamSheetFemale,TeamSheetMale),$Y1034-1,FALSE)</f>
        <v>0</v>
      </c>
      <c r="G1034" s="380">
        <f>VLOOKUP($B1032,IF($H1032="F",TeamSheetFemale,TeamSheetMale),$Y1034,FALSE)</f>
        <v>0</v>
      </c>
      <c r="H1034" s="363">
        <f>VLOOKUP($B1032,IF($H1032="F",TeamSheetFemale,TeamSheetMale),$Y1034+1,FALSE)</f>
        <v>0</v>
      </c>
      <c r="I1034" s="364">
        <f>VLOOKUP($B1032,IF($H1032="F",TeamSheetFemale,TeamSheetMale),$Y1034+2,FALSE)</f>
        <v>0</v>
      </c>
      <c r="K1034" s="341" t="s">
        <v>272</v>
      </c>
      <c r="L1034" s="16" t="str">
        <f t="shared" si="924"/>
        <v/>
      </c>
      <c r="M1034" s="927"/>
      <c r="N1034" s="927"/>
      <c r="O1034" s="353" t="str">
        <f>IF(LEN($M1034)=1,VLOOKUP(LEFT($M1034,1),B1033:I1040,5,FALSE),IF(LEN($M1034)=2,VLOOKUP(LEFT($M1034,1),B1033:I1040,7,FALSE),""))</f>
        <v/>
      </c>
      <c r="P1034" s="373" t="str">
        <f>IF(LEN($M1034)=1,VLOOKUP(LEFT($M1034,1),B1033:I1040,6,FALSE),IF(LEN($M1034)=2,VLOOKUP(LEFT($M1034,1),B1033:I1040,8,FALSE),""))</f>
        <v/>
      </c>
      <c r="Q1034" s="341" t="s">
        <v>272</v>
      </c>
      <c r="R1034" s="146" t="str">
        <f t="shared" si="925"/>
        <v/>
      </c>
      <c r="S1034" s="927"/>
      <c r="T1034" s="927"/>
      <c r="U1034" s="353" t="str">
        <f>IF(LEN($S1034)=1,VLOOKUP(LEFT($S1034,1),B1033:I1040,5,FALSE),IF(LEN($S1034)=2,VLOOKUP(LEFT($S1034,1),B1033:I1040,7,FALSE),""))</f>
        <v/>
      </c>
      <c r="V1034" s="373" t="str">
        <f>IF(LEN($S1034)=1,VLOOKUP(LEFT($S1034,1),B1033:I1040,6,FALSE),IF(LEN($S1034)=2,VLOOKUP(LEFT($S1034,1),B1033:I1040,8,FALSE),""))</f>
        <v/>
      </c>
      <c r="W1034" s="417">
        <f>W1033-1</f>
        <v>7</v>
      </c>
      <c r="Y1034" s="417">
        <v>12</v>
      </c>
      <c r="Z1034" s="16">
        <f t="shared" si="926"/>
        <v>0</v>
      </c>
      <c r="AA1034" s="146">
        <f t="shared" si="927"/>
        <v>0</v>
      </c>
      <c r="AC1034" s="16" t="str">
        <f t="shared" si="928"/>
        <v>U</v>
      </c>
      <c r="AD1034" s="419" t="str">
        <f t="shared" si="928"/>
        <v>Kidder &amp; Stourport</v>
      </c>
      <c r="AE1034" s="419">
        <f>IF(ISNA(MATCH(AC1034,N1033:N1042,0)),0,VLOOKUP(AC1034,N1033:S1042,5,FALSE))</f>
        <v>0</v>
      </c>
      <c r="AF1034" s="419" t="str">
        <f>IF(ISNA(MATCH(AC1034,T1033:T1042,0))," ",VLOOKUP(AC1034,T1033:Y1042,5,FALSE))</f>
        <v xml:space="preserve"> </v>
      </c>
      <c r="AG1034" s="419">
        <f>IF(ISNA(MATCH(AC1034,L1033:L1040,0)),0,VLOOKUP(AC1034,L1033:N1040,3,FALSE))</f>
        <v>0</v>
      </c>
      <c r="AH1034" s="419">
        <f>IF(ISNA(MATCH(AC1034,R1033:R1040,0)),0,VLOOKUP(AC1034,R1033:T1040,3,FALSE))</f>
        <v>0</v>
      </c>
      <c r="AI1034" s="419">
        <f>IF(ISNA(MATCH(AC1034,L1033:L1040,0)),0,VLOOKUP(AC1034,L1033:P1040,4,FALSE))</f>
        <v>0</v>
      </c>
      <c r="AJ1034" s="419">
        <f>IF(ISNA(MATCH(AC1034,R1033:R1040,0)),0,VLOOKUP(AC1034,R1033:U1040,4,FALSE))</f>
        <v>0</v>
      </c>
      <c r="AK1034" s="32">
        <f t="shared" si="929"/>
        <v>0</v>
      </c>
      <c r="AL1034" s="32">
        <f t="shared" si="930"/>
        <v>0</v>
      </c>
      <c r="AM1034" s="32">
        <f>IF(ISNA(MATCH(AC1034,L1033:L1040,0)),0,VLOOKUP(AC1034,L1033:W1040,AM$1,FALSE))</f>
        <v>0</v>
      </c>
      <c r="AN1034" s="146">
        <f>IF(ISNA(MATCH(AC1034,R1033:R1040,0)),0,VLOOKUP(AC1034,R1033:W1040,AN$1,FALSE))</f>
        <v>0</v>
      </c>
      <c r="AP1034" s="927"/>
      <c r="AQ1034" s="927"/>
    </row>
    <row r="1035" spans="1:47" ht="15.6" x14ac:dyDescent="0.3">
      <c r="A1035" s="417">
        <f t="shared" ref="A1035:A1040" si="931">A1034+1</f>
        <v>933</v>
      </c>
      <c r="B1035" s="362" t="str">
        <f>'Event Details'!D$24</f>
        <v>G</v>
      </c>
      <c r="C1035" s="381" t="str">
        <f>'Event Details'!E$24</f>
        <v>Royal Sutton</v>
      </c>
      <c r="D1035" s="379"/>
      <c r="E1035" s="378"/>
      <c r="F1035" s="363">
        <f>VLOOKUP($B1032,IF($H1032="F",TeamSheetFemale,TeamSheetMale),$Y1035-1,FALSE)</f>
        <v>0</v>
      </c>
      <c r="G1035" s="380">
        <f>VLOOKUP($B1032,IF($H1032="F",TeamSheetFemale,TeamSheetMale),$Y1035,FALSE)</f>
        <v>0</v>
      </c>
      <c r="H1035" s="363">
        <f>VLOOKUP($B1032,IF($H1032="F",TeamSheetFemale,TeamSheetMale),$Y1035+1,FALSE)</f>
        <v>0</v>
      </c>
      <c r="I1035" s="364">
        <f>VLOOKUP($B1032,IF($H1032="F",TeamSheetFemale,TeamSheetMale),$Y1035+2,FALSE)</f>
        <v>0</v>
      </c>
      <c r="K1035" s="341" t="s">
        <v>273</v>
      </c>
      <c r="L1035" s="16" t="str">
        <f t="shared" si="924"/>
        <v/>
      </c>
      <c r="M1035" s="927"/>
      <c r="N1035" s="927"/>
      <c r="O1035" s="353" t="str">
        <f>IF(LEN($M1035)=1,VLOOKUP(LEFT($M1035,1),B1033:I1040,5,FALSE),IF(LEN($M1035)=2,VLOOKUP(LEFT($M1035,1),B1033:I1040,7,FALSE),""))</f>
        <v/>
      </c>
      <c r="P1035" s="373" t="str">
        <f>IF(LEN($M1035)=1,VLOOKUP(LEFT($M1035,1),B1033:I1040,6,FALSE),IF(LEN($M1035)=2,VLOOKUP(LEFT($M1035,1),B1033:I1040,8,FALSE),""))</f>
        <v/>
      </c>
      <c r="Q1035" s="341" t="s">
        <v>273</v>
      </c>
      <c r="R1035" s="146" t="str">
        <f t="shared" si="925"/>
        <v/>
      </c>
      <c r="S1035" s="927"/>
      <c r="T1035" s="927"/>
      <c r="U1035" s="353" t="str">
        <f>IF(LEN($S1035)=1,VLOOKUP(LEFT($S1035,1),B1033:I1040,5,FALSE),IF(LEN($S1035)=2,VLOOKUP(LEFT($S1035,1),B1033:I1040,7,FALSE),""))</f>
        <v/>
      </c>
      <c r="V1035" s="373" t="str">
        <f>IF(LEN($S1035)=1,VLOOKUP(LEFT($S1035,1),B1033:I1040,6,FALSE),IF(LEN($S1035)=2,VLOOKUP(LEFT($S1035,1),B1033:I1040,8,FALSE),""))</f>
        <v/>
      </c>
      <c r="W1035" s="417">
        <f t="shared" ref="W1035:W1040" si="932">W1034-1</f>
        <v>6</v>
      </c>
      <c r="Y1035" s="417">
        <v>17</v>
      </c>
      <c r="Z1035" s="16">
        <f t="shared" si="926"/>
        <v>0</v>
      </c>
      <c r="AA1035" s="146">
        <f t="shared" si="927"/>
        <v>0</v>
      </c>
      <c r="AB1035" s="32"/>
      <c r="AC1035" s="16" t="str">
        <f t="shared" si="928"/>
        <v>G</v>
      </c>
      <c r="AD1035" s="419" t="str">
        <f t="shared" si="928"/>
        <v>Royal Sutton</v>
      </c>
      <c r="AE1035" s="419">
        <f>IF(ISNA(MATCH(AC1035,N1033:N1042,0)),0,VLOOKUP(AC1035,N1033:S1042,5,FALSE))</f>
        <v>0</v>
      </c>
      <c r="AF1035" s="419" t="str">
        <f>IF(ISNA(MATCH(AC1035,T1033:T1042,0))," ",VLOOKUP(AC1035,T1033:Y1042,5,FALSE))</f>
        <v xml:space="preserve"> </v>
      </c>
      <c r="AG1035" s="419">
        <f>IF(ISNA(MATCH(AC1035,L1033:L1040,0)),0,VLOOKUP(AC1035,L1033:N1040,3,FALSE))</f>
        <v>0</v>
      </c>
      <c r="AH1035" s="419">
        <f>IF(ISNA(MATCH(AC1035,R1033:R1040,0)),0,VLOOKUP(AC1035,R1033:T1040,3,FALSE))</f>
        <v>0</v>
      </c>
      <c r="AI1035" s="419">
        <f>IF(ISNA(MATCH(AC1035,L1033:L1040,0)),0,VLOOKUP(AC1035,L1033:P1040,4,FALSE))</f>
        <v>0</v>
      </c>
      <c r="AJ1035" s="419">
        <f>IF(ISNA(MATCH(AC1035,R1033:R1040,0)),0,VLOOKUP(AC1035,R1033:U1040,4,FALSE))</f>
        <v>0</v>
      </c>
      <c r="AK1035" s="32">
        <f t="shared" si="929"/>
        <v>0</v>
      </c>
      <c r="AL1035" s="32">
        <f t="shared" si="930"/>
        <v>0</v>
      </c>
      <c r="AM1035" s="32">
        <f>IF(ISNA(MATCH(AC1035,L1033:L1040,0)),0,VLOOKUP(AC1035,L1033:W1040,AM$1,FALSE))</f>
        <v>0</v>
      </c>
      <c r="AN1035" s="146">
        <f>IF(ISNA(MATCH(AC1035,R1033:R1040,0)),0,VLOOKUP(AC1035,R1033:W1040,AN$1,FALSE))</f>
        <v>0</v>
      </c>
      <c r="AP1035" s="927"/>
      <c r="AQ1035" s="927"/>
    </row>
    <row r="1036" spans="1:47" ht="15.6" x14ac:dyDescent="0.3">
      <c r="A1036" s="417">
        <f t="shared" si="931"/>
        <v>934</v>
      </c>
      <c r="B1036" s="362" t="str">
        <f>'Event Details'!D$25</f>
        <v>R</v>
      </c>
      <c r="C1036" s="381" t="str">
        <f>'Event Details'!E$25</f>
        <v>Rugby &amp; N'hampton</v>
      </c>
      <c r="D1036" s="379"/>
      <c r="E1036" s="378"/>
      <c r="F1036" s="363">
        <f>VLOOKUP($B1032,IF($H1032="F",TeamSheetFemale,TeamSheetMale),$Y1036-1,FALSE)</f>
        <v>0</v>
      </c>
      <c r="G1036" s="380">
        <f>VLOOKUP($B1032,IF($H1032="F",TeamSheetFemale,TeamSheetMale),$Y1036,FALSE)</f>
        <v>0</v>
      </c>
      <c r="H1036" s="363">
        <f>VLOOKUP($B1032,IF($H1032="F",TeamSheetFemale,TeamSheetMale),$Y1036+1,FALSE)</f>
        <v>0</v>
      </c>
      <c r="I1036" s="364">
        <f>VLOOKUP($B1032,IF($H1032="F",TeamSheetFemale,TeamSheetMale),$Y1036+2,FALSE)</f>
        <v>0</v>
      </c>
      <c r="K1036" s="341" t="s">
        <v>274</v>
      </c>
      <c r="L1036" s="16" t="str">
        <f t="shared" si="924"/>
        <v/>
      </c>
      <c r="M1036" s="927"/>
      <c r="N1036" s="927"/>
      <c r="O1036" s="353" t="str">
        <f>IF(LEN($M1036)=1,VLOOKUP(LEFT($M1036,1),B1033:I1040,5,FALSE),IF(LEN($M1036)=2,VLOOKUP(LEFT($M1036,1),B1033:I1040,7,FALSE),""))</f>
        <v/>
      </c>
      <c r="P1036" s="373" t="str">
        <f>IF(LEN($M1036)=1,VLOOKUP(LEFT($M1036,1),B1033:I1040,6,FALSE),IF(LEN($M1036)=2,VLOOKUP(LEFT($M1036,1),B1033:I1040,8,FALSE),""))</f>
        <v/>
      </c>
      <c r="Q1036" s="341" t="s">
        <v>274</v>
      </c>
      <c r="R1036" s="146" t="str">
        <f t="shared" si="925"/>
        <v/>
      </c>
      <c r="S1036" s="927"/>
      <c r="T1036" s="927"/>
      <c r="U1036" s="353" t="str">
        <f>IF(LEN($S1036)=1,VLOOKUP(LEFT($S1036,1),B1033:I1040,5,FALSE),IF(LEN($S1036)=2,VLOOKUP(LEFT($S1036,1),B1033:I1040,7,FALSE),""))</f>
        <v/>
      </c>
      <c r="V1036" s="373" t="str">
        <f>IF(LEN($S1036)=1,VLOOKUP(LEFT($S1036,1),B1033:I1040,6,FALSE),IF(LEN($S1036)=2,VLOOKUP(LEFT($S1036,1),B1033:I1040,8,FALSE),""))</f>
        <v/>
      </c>
      <c r="W1036" s="417">
        <f t="shared" si="932"/>
        <v>5</v>
      </c>
      <c r="Y1036" s="417">
        <v>22</v>
      </c>
      <c r="Z1036" s="16">
        <f t="shared" si="926"/>
        <v>0</v>
      </c>
      <c r="AA1036" s="146">
        <f t="shared" si="927"/>
        <v>0</v>
      </c>
      <c r="AB1036" s="32"/>
      <c r="AC1036" s="16" t="str">
        <f t="shared" si="928"/>
        <v>R</v>
      </c>
      <c r="AD1036" s="419" t="str">
        <f t="shared" si="928"/>
        <v>Rugby &amp; N'hampton</v>
      </c>
      <c r="AE1036" s="419">
        <f>IF(ISNA(MATCH(AC1036,N1033:N1042,0)),0,VLOOKUP(AC1036,N1033:S1042,5,FALSE))</f>
        <v>0</v>
      </c>
      <c r="AF1036" s="419" t="str">
        <f>IF(ISNA(MATCH(AC1036,T1033:T1042,0))," ",VLOOKUP(AC1036,T1033:Y1042,5,FALSE))</f>
        <v xml:space="preserve"> </v>
      </c>
      <c r="AG1036" s="419">
        <f>IF(ISNA(MATCH(AC1036,L1033:L1040,0)),0,VLOOKUP(AC1036,L1033:N1040,3,FALSE))</f>
        <v>0</v>
      </c>
      <c r="AH1036" s="419">
        <f>IF(ISNA(MATCH(AC1036,R1033:R1040,0)),0,VLOOKUP(AC1036,R1033:T1040,3,FALSE))</f>
        <v>0</v>
      </c>
      <c r="AI1036" s="419">
        <f>IF(ISNA(MATCH(AC1036,L1033:L1040,0)),0,VLOOKUP(AC1036,L1033:P1040,4,FALSE))</f>
        <v>0</v>
      </c>
      <c r="AJ1036" s="419">
        <f>IF(ISNA(MATCH(AC1036,R1033:R1040,0)),0,VLOOKUP(AC1036,R1033:U1040,4,FALSE))</f>
        <v>0</v>
      </c>
      <c r="AK1036" s="32">
        <f t="shared" si="929"/>
        <v>0</v>
      </c>
      <c r="AL1036" s="32">
        <f t="shared" si="930"/>
        <v>0</v>
      </c>
      <c r="AM1036" s="32">
        <f>IF(ISNA(MATCH(AC1036,L1033:L1040,0)),0,VLOOKUP(AC1036,L1033:W1040,AM$1,FALSE))</f>
        <v>0</v>
      </c>
      <c r="AN1036" s="146">
        <f>IF(ISNA(MATCH(AC1036,R1033:R1040,0)),0,VLOOKUP(AC1036,R1033:W1040,AN$1,FALSE))</f>
        <v>0</v>
      </c>
      <c r="AP1036" s="927"/>
      <c r="AQ1036" s="927"/>
    </row>
    <row r="1037" spans="1:47" ht="15.6" x14ac:dyDescent="0.3">
      <c r="A1037" s="417">
        <f t="shared" si="931"/>
        <v>935</v>
      </c>
      <c r="B1037" s="362" t="str">
        <f>'Event Details'!D$26</f>
        <v>M</v>
      </c>
      <c r="C1037" s="381" t="str">
        <f>'Event Details'!E$26</f>
        <v>Solihull &amp; S.Heath</v>
      </c>
      <c r="D1037" s="379"/>
      <c r="E1037" s="378"/>
      <c r="F1037" s="363">
        <f>VLOOKUP($B1032,IF($H1032="F",TeamSheetFemale,TeamSheetMale),$Y1037-1,FALSE)</f>
        <v>0</v>
      </c>
      <c r="G1037" s="380">
        <f>VLOOKUP($B1032,IF($H1032="F",TeamSheetFemale,TeamSheetMale),$Y1037,FALSE)</f>
        <v>0</v>
      </c>
      <c r="H1037" s="363">
        <f>VLOOKUP($B1032,IF($H1032="F",TeamSheetFemale,TeamSheetMale),$Y1037+1,FALSE)</f>
        <v>0</v>
      </c>
      <c r="I1037" s="364">
        <f>VLOOKUP($B1032,IF($H1032="F",TeamSheetFemale,TeamSheetMale),$Y1037+2,FALSE)</f>
        <v>0</v>
      </c>
      <c r="K1037" s="341" t="s">
        <v>275</v>
      </c>
      <c r="L1037" s="16" t="str">
        <f t="shared" si="924"/>
        <v/>
      </c>
      <c r="M1037" s="927"/>
      <c r="N1037" s="927"/>
      <c r="O1037" s="353" t="str">
        <f>IF(LEN($M1037)=1,VLOOKUP(LEFT($M1037,1),B1033:I1040,5,FALSE),IF(LEN($M1037)=2,VLOOKUP(LEFT($M1037,1),B1033:I1040,7,FALSE),""))</f>
        <v/>
      </c>
      <c r="P1037" s="373" t="str">
        <f>IF(LEN($M1037)=1,VLOOKUP(LEFT($M1037,1),B1033:I1040,6,FALSE),IF(LEN($M1037)=2,VLOOKUP(LEFT($M1037,1),B1033:I1040,8,FALSE),""))</f>
        <v/>
      </c>
      <c r="Q1037" s="341" t="s">
        <v>275</v>
      </c>
      <c r="R1037" s="146" t="str">
        <f t="shared" si="925"/>
        <v/>
      </c>
      <c r="S1037" s="927"/>
      <c r="T1037" s="927"/>
      <c r="U1037" s="353" t="str">
        <f>IF(LEN($S1037)=1,VLOOKUP(LEFT($S1037,1),B1033:I1040,5,FALSE),IF(LEN($S1037)=2,VLOOKUP(LEFT($S1037,1),B1033:I1040,7,FALSE),""))</f>
        <v/>
      </c>
      <c r="V1037" s="373" t="str">
        <f>IF(LEN($S1037)=1,VLOOKUP(LEFT($S1037,1),B1033:I1040,6,FALSE),IF(LEN($S1037)=2,VLOOKUP(LEFT($S1037,1),B1033:I1040,8,FALSE),""))</f>
        <v/>
      </c>
      <c r="W1037" s="417">
        <f t="shared" si="932"/>
        <v>4</v>
      </c>
      <c r="Y1037" s="417">
        <v>27</v>
      </c>
      <c r="Z1037" s="16">
        <f t="shared" si="926"/>
        <v>0</v>
      </c>
      <c r="AA1037" s="146">
        <f t="shared" si="927"/>
        <v>0</v>
      </c>
      <c r="AB1037" s="32"/>
      <c r="AC1037" s="16" t="str">
        <f t="shared" si="928"/>
        <v>M</v>
      </c>
      <c r="AD1037" s="419" t="str">
        <f t="shared" si="928"/>
        <v>Solihull &amp; S.Heath</v>
      </c>
      <c r="AE1037" s="419">
        <f>IF(ISNA(MATCH(AC1037,N1033:N1042,0)),0,VLOOKUP(AC1037,N1033:S1042,5,FALSE))</f>
        <v>0</v>
      </c>
      <c r="AF1037" s="419" t="str">
        <f>IF(ISNA(MATCH(AC1037,T1033:T1042,0))," ",VLOOKUP(AC1037,T1033:Y1042,5,FALSE))</f>
        <v xml:space="preserve"> </v>
      </c>
      <c r="AG1037" s="419">
        <f>IF(ISNA(MATCH(AC1037,L1033:L1040,0)),0,VLOOKUP(AC1037,L1033:N1040,3,FALSE))</f>
        <v>0</v>
      </c>
      <c r="AH1037" s="419">
        <f>IF(ISNA(MATCH(AC1037,R1033:R1040,0)),0,VLOOKUP(AC1037,R1033:T1040,3,FALSE))</f>
        <v>0</v>
      </c>
      <c r="AI1037" s="419">
        <f>IF(ISNA(MATCH(AC1037,L1033:L1040,0)),0,VLOOKUP(AC1037,L1033:P1040,4,FALSE))</f>
        <v>0</v>
      </c>
      <c r="AJ1037" s="419">
        <f>IF(ISNA(MATCH(AC1037,R1033:R1040,0)),0,VLOOKUP(AC1037,R1033:U1040,4,FALSE))</f>
        <v>0</v>
      </c>
      <c r="AK1037" s="32">
        <f t="shared" si="929"/>
        <v>0</v>
      </c>
      <c r="AL1037" s="32">
        <f t="shared" si="930"/>
        <v>0</v>
      </c>
      <c r="AM1037" s="32">
        <f>IF(ISNA(MATCH(AC1037,L1033:L1040,0)),0,VLOOKUP(AC1037,L1033:W1040,AM$1,FALSE))</f>
        <v>0</v>
      </c>
      <c r="AN1037" s="146">
        <f>IF(ISNA(MATCH(AC1037,R1033:R1040,0)),0,VLOOKUP(AC1037,R1033:W1040,AN$1,FALSE))</f>
        <v>0</v>
      </c>
      <c r="AP1037" s="927"/>
      <c r="AQ1037" s="927"/>
    </row>
    <row r="1038" spans="1:47" ht="15.6" x14ac:dyDescent="0.3">
      <c r="A1038" s="417">
        <f t="shared" si="931"/>
        <v>936</v>
      </c>
      <c r="B1038" s="362" t="str">
        <f>'Event Details'!D$27</f>
        <v>D</v>
      </c>
      <c r="C1038" s="381" t="str">
        <f>'Event Details'!E$27</f>
        <v>Stratford</v>
      </c>
      <c r="D1038" s="379"/>
      <c r="E1038" s="378"/>
      <c r="F1038" s="363">
        <f>VLOOKUP($B1032,IF($H1032="F",TeamSheetFemale,TeamSheetMale),$Y1038-1,FALSE)</f>
        <v>0</v>
      </c>
      <c r="G1038" s="380">
        <f>VLOOKUP($B1032,IF($H1032="F",TeamSheetFemale,TeamSheetMale),$Y1038,FALSE)</f>
        <v>0</v>
      </c>
      <c r="H1038" s="363">
        <f>VLOOKUP($B1032,IF($H1032="F",TeamSheetFemale,TeamSheetMale),$Y1038+1,FALSE)</f>
        <v>0</v>
      </c>
      <c r="I1038" s="364">
        <f>VLOOKUP($B1032,IF($H1032="F",TeamSheetFemale,TeamSheetMale),$Y1038+2,FALSE)</f>
        <v>0</v>
      </c>
      <c r="K1038" s="341" t="s">
        <v>276</v>
      </c>
      <c r="L1038" s="16" t="str">
        <f t="shared" si="924"/>
        <v/>
      </c>
      <c r="M1038" s="927"/>
      <c r="N1038" s="927"/>
      <c r="O1038" s="353" t="str">
        <f>IF(LEN($M1038)=1,VLOOKUP(LEFT($M1038,1),B1033:I1040,5,FALSE),IF(LEN($M1038)=2,VLOOKUP(LEFT($M1038,1),B1033:I1040,7,FALSE),""))</f>
        <v/>
      </c>
      <c r="P1038" s="373" t="str">
        <f>IF(LEN($M1038)=1,VLOOKUP(LEFT($M1038,1),B1033:I1040,6,FALSE),IF(LEN($M1038)=2,VLOOKUP(LEFT($M1038,1),B1033:I1040,8,FALSE),""))</f>
        <v/>
      </c>
      <c r="Q1038" s="341" t="s">
        <v>276</v>
      </c>
      <c r="R1038" s="146" t="str">
        <f t="shared" si="925"/>
        <v/>
      </c>
      <c r="S1038" s="927"/>
      <c r="T1038" s="927"/>
      <c r="U1038" s="353" t="str">
        <f>IF(LEN($S1038)=1,VLOOKUP(LEFT($S1038,1),B1033:I1040,5,FALSE),IF(LEN($S1038)=2,VLOOKUP(LEFT($S1038,1),B1033:I1040,7,FALSE),""))</f>
        <v/>
      </c>
      <c r="V1038" s="373" t="str">
        <f>IF(LEN($S1038)=1,VLOOKUP(LEFT($S1038,1),B1033:I1040,6,FALSE),IF(LEN($S1038)=2,VLOOKUP(LEFT($S1038,1),B1033:I1040,8,FALSE),""))</f>
        <v/>
      </c>
      <c r="W1038" s="417">
        <f t="shared" si="932"/>
        <v>3</v>
      </c>
      <c r="Y1038" s="417">
        <v>32</v>
      </c>
      <c r="Z1038" s="16">
        <f t="shared" si="926"/>
        <v>0</v>
      </c>
      <c r="AA1038" s="146">
        <f t="shared" si="927"/>
        <v>0</v>
      </c>
      <c r="AB1038" s="32"/>
      <c r="AC1038" s="16" t="str">
        <f t="shared" si="928"/>
        <v>D</v>
      </c>
      <c r="AD1038" s="419" t="str">
        <f t="shared" si="928"/>
        <v>Stratford</v>
      </c>
      <c r="AE1038" s="419">
        <f>IF(ISNA(MATCH(AC1038,N1033:N1042,0)),0,VLOOKUP(AC1038,N1033:S1042,5,FALSE))</f>
        <v>0</v>
      </c>
      <c r="AF1038" s="419" t="str">
        <f>IF(ISNA(MATCH(AC1038,T1033:T1042,0))," ",VLOOKUP(AC1038,T1033:Y1042,5,FALSE))</f>
        <v xml:space="preserve"> </v>
      </c>
      <c r="AG1038" s="419">
        <f>IF(ISNA(MATCH(AC1038,L1033:L1040,0)),0,VLOOKUP(AC1038,L1033:N1040,3,FALSE))</f>
        <v>0</v>
      </c>
      <c r="AH1038" s="419">
        <f>IF(ISNA(MATCH(AC1038,R1033:R1040,0)),0,VLOOKUP(AC1038,R1033:T1040,3,FALSE))</f>
        <v>0</v>
      </c>
      <c r="AI1038" s="419">
        <f>IF(ISNA(MATCH(AC1038,L1033:L1040,0)),0,VLOOKUP(AC1038,L1033:P1040,4,FALSE))</f>
        <v>0</v>
      </c>
      <c r="AJ1038" s="419">
        <f>IF(ISNA(MATCH(AC1038,R1033:R1040,0)),0,VLOOKUP(AC1038,R1033:U1040,4,FALSE))</f>
        <v>0</v>
      </c>
      <c r="AK1038" s="32">
        <f t="shared" si="929"/>
        <v>0</v>
      </c>
      <c r="AL1038" s="32">
        <f t="shared" si="930"/>
        <v>0</v>
      </c>
      <c r="AM1038" s="32">
        <f>IF(ISNA(MATCH(AC1038,L1033:L1040,0)),0,VLOOKUP(AC1038,L1033:W1040,AM$1,FALSE))</f>
        <v>0</v>
      </c>
      <c r="AN1038" s="146">
        <f>IF(ISNA(MATCH(AC1038,R1033:R1040,0)),0,VLOOKUP(AC1038,R1033:W1040,AN$1,FALSE))</f>
        <v>0</v>
      </c>
      <c r="AP1038" s="927"/>
      <c r="AQ1038" s="927"/>
    </row>
    <row r="1039" spans="1:47" ht="15.6" x14ac:dyDescent="0.3">
      <c r="A1039" s="417">
        <f t="shared" si="931"/>
        <v>937</v>
      </c>
      <c r="B1039" s="362" t="str">
        <f>'Event Details'!D$28</f>
        <v>F</v>
      </c>
      <c r="C1039" s="381" t="str">
        <f>'Event Details'!E$28</f>
        <v>Tamworth</v>
      </c>
      <c r="D1039" s="379"/>
      <c r="E1039" s="378"/>
      <c r="F1039" s="363">
        <f>VLOOKUP($B1032,IF($H1032="F",TeamSheetFemale,TeamSheetMale),$Y1039-1,FALSE)</f>
        <v>0</v>
      </c>
      <c r="G1039" s="380">
        <f>VLOOKUP($B1032,IF($H1032="F",TeamSheetFemale,TeamSheetMale),$Y1039,FALSE)</f>
        <v>0</v>
      </c>
      <c r="H1039" s="363">
        <f>VLOOKUP($B1032,IF($H1032="F",TeamSheetFemale,TeamSheetMale),$Y1039+1,FALSE)</f>
        <v>0</v>
      </c>
      <c r="I1039" s="364">
        <f>VLOOKUP($B1032,IF($H1032="F",TeamSheetFemale,TeamSheetMale),$Y1039+2,FALSE)</f>
        <v>0</v>
      </c>
      <c r="K1039" s="341" t="s">
        <v>277</v>
      </c>
      <c r="L1039" s="16" t="str">
        <f t="shared" si="924"/>
        <v/>
      </c>
      <c r="M1039" s="931"/>
      <c r="N1039" s="927"/>
      <c r="O1039" s="353" t="str">
        <f>IF(LEN($M1039)=1,VLOOKUP(LEFT($M1039,1),B1033:I1040,5,FALSE),IF(LEN($M1039)=2,VLOOKUP(LEFT($M1039,1),B1033:I1040,7,FALSE),""))</f>
        <v/>
      </c>
      <c r="P1039" s="373" t="str">
        <f>IF(LEN($M1039)=1,VLOOKUP(LEFT($M1039,1),B1033:I1040,6,FALSE),IF(LEN($M1039)=2,VLOOKUP(LEFT($M1039,1),B1033:I1040,8,FALSE),""))</f>
        <v/>
      </c>
      <c r="Q1039" s="341" t="s">
        <v>277</v>
      </c>
      <c r="R1039" s="146" t="str">
        <f t="shared" si="925"/>
        <v/>
      </c>
      <c r="S1039" s="931"/>
      <c r="T1039" s="927"/>
      <c r="U1039" s="353" t="str">
        <f>IF(LEN($S1039)=1,VLOOKUP(LEFT($S1039,1),B1033:I1040,5,FALSE),IF(LEN($S1039)=2,VLOOKUP(LEFT($S1039,1),B1033:I1040,7,FALSE),""))</f>
        <v/>
      </c>
      <c r="V1039" s="373" t="str">
        <f>IF(LEN($S1039)=1,VLOOKUP(LEFT($S1039,1),B1033:I1040,6,FALSE),IF(LEN($S1039)=2,VLOOKUP(LEFT($S1039,1),B1033:I1040,8,FALSE),""))</f>
        <v/>
      </c>
      <c r="W1039" s="417">
        <f t="shared" si="932"/>
        <v>2</v>
      </c>
      <c r="Y1039" s="417">
        <v>37</v>
      </c>
      <c r="Z1039" s="16">
        <f t="shared" si="926"/>
        <v>0</v>
      </c>
      <c r="AA1039" s="146">
        <f t="shared" si="927"/>
        <v>0</v>
      </c>
      <c r="AB1039" s="32"/>
      <c r="AC1039" s="16" t="str">
        <f t="shared" si="928"/>
        <v>F</v>
      </c>
      <c r="AD1039" s="419" t="str">
        <f t="shared" si="928"/>
        <v>Tamworth</v>
      </c>
      <c r="AE1039" s="419">
        <f>IF(ISNA(MATCH(AC1039,N1031:N1040,0)),0,VLOOKUP(AC1039,N1031:S1040,5,FALSE))</f>
        <v>0</v>
      </c>
      <c r="AF1039" s="419" t="str">
        <f>IF(ISNA(MATCH(AC1039,T1031:T1040,0))," ",VLOOKUP(AC1039,T1031:Y1040,5,FALSE))</f>
        <v xml:space="preserve"> </v>
      </c>
      <c r="AG1039" s="419">
        <f>IF(ISNA(MATCH(AC1039,L1033:L1040,0)),0,VLOOKUP(AC1039,L1033:N1040,3,FALSE))</f>
        <v>0</v>
      </c>
      <c r="AH1039" s="419">
        <f>IF(ISNA(MATCH(AC1039,R1033:R1040,0)),0,VLOOKUP(AC1039,R1033:T1040,3,FALSE))</f>
        <v>0</v>
      </c>
      <c r="AI1039" s="419">
        <f>IF(ISNA(MATCH(AC1039,L1033:L1040,0)),0,VLOOKUP(AC1039,L1033:P1040,4,FALSE))</f>
        <v>0</v>
      </c>
      <c r="AJ1039" s="419">
        <f>IF(ISNA(MATCH(AC1039,R1033:R1040,0)),0,VLOOKUP(AC1039,R1033:U1040,4,FALSE))</f>
        <v>0</v>
      </c>
      <c r="AK1039" s="32">
        <f t="shared" si="929"/>
        <v>0</v>
      </c>
      <c r="AL1039" s="32">
        <f t="shared" si="930"/>
        <v>0</v>
      </c>
      <c r="AM1039" s="32">
        <f>IF(ISNA(MATCH(AC1039,L1033:L1040,0)),0,VLOOKUP(AC1039,L1033:W1040,AM$1,FALSE))</f>
        <v>0</v>
      </c>
      <c r="AN1039" s="146">
        <f>IF(ISNA(MATCH(AC1039,R1033:R1040,0)),0,VLOOKUP(AC1039,R1033:W1040,AN$1,FALSE))</f>
        <v>0</v>
      </c>
      <c r="AP1039" s="931"/>
      <c r="AQ1039" s="927"/>
    </row>
    <row r="1040" spans="1:47" ht="16.2" thickBot="1" x14ac:dyDescent="0.35">
      <c r="A1040" s="418">
        <f t="shared" si="931"/>
        <v>938</v>
      </c>
      <c r="B1040" s="365" t="str">
        <f>'Event Details'!D$29</f>
        <v>Y</v>
      </c>
      <c r="C1040" s="366" t="str">
        <f>'Event Details'!E$29</f>
        <v>Worcester</v>
      </c>
      <c r="D1040" s="361"/>
      <c r="E1040" s="370"/>
      <c r="F1040" s="367">
        <f>VLOOKUP($B1032,IF($H1032="F",TeamSheetFemale,TeamSheetMale),$Y1040-1,FALSE)</f>
        <v>0</v>
      </c>
      <c r="G1040" s="368">
        <f>VLOOKUP($B1032,IF($H1032="F",TeamSheetFemale,TeamSheetMale),$Y1040,FALSE)</f>
        <v>0</v>
      </c>
      <c r="H1040" s="367">
        <f>VLOOKUP($B1032,IF($H1032="F",TeamSheetFemale,TeamSheetMale),$Y1040+1,FALSE)</f>
        <v>0</v>
      </c>
      <c r="I1040" s="369">
        <f>VLOOKUP($B1032,IF($H1032="F",TeamSheetFemale,TeamSheetMale),$Y1040+2,FALSE)</f>
        <v>0</v>
      </c>
      <c r="K1040" s="346" t="s">
        <v>278</v>
      </c>
      <c r="L1040" s="25" t="str">
        <f t="shared" si="924"/>
        <v/>
      </c>
      <c r="M1040" s="928"/>
      <c r="N1040" s="932"/>
      <c r="O1040" s="375" t="str">
        <f>IF(LEN($M1040)=1,VLOOKUP(LEFT($M1040,1),B1033:I1040,5,FALSE),IF(LEN($M1040)=2,VLOOKUP(LEFT($M1040,1),B1033:I1040,7,FALSE),""))</f>
        <v/>
      </c>
      <c r="P1040" s="376" t="str">
        <f>IF(LEN($M1040)=1,VLOOKUP(LEFT($M1040,1),B1033:I1040,6,FALSE),IF(LEN($M1040)=2,VLOOKUP(LEFT($M1040,1),B1033:I1040,8,FALSE),""))</f>
        <v/>
      </c>
      <c r="Q1040" s="346" t="s">
        <v>278</v>
      </c>
      <c r="R1040" s="523" t="str">
        <f t="shared" si="925"/>
        <v/>
      </c>
      <c r="S1040" s="928"/>
      <c r="T1040" s="932"/>
      <c r="U1040" s="375" t="str">
        <f>IF(LEN($S1040)=1,VLOOKUP(LEFT($S1040,1),B1033:I1040,5,FALSE),IF(LEN($S1040)=2,VLOOKUP(LEFT($S1040,1),B1033:I1040,7,FALSE),""))</f>
        <v/>
      </c>
      <c r="V1040" s="376" t="str">
        <f>IF(LEN($S1040)=1,VLOOKUP(LEFT($S1040,1),B1033:I1040,6,FALSE),IF(LEN($S1040)=2,VLOOKUP(LEFT($S1040,1),B1033:I1040,8,FALSE),""))</f>
        <v/>
      </c>
      <c r="W1040" s="418">
        <f t="shared" si="932"/>
        <v>1</v>
      </c>
      <c r="Y1040" s="418">
        <v>42</v>
      </c>
      <c r="Z1040" s="25">
        <f t="shared" si="926"/>
        <v>0</v>
      </c>
      <c r="AA1040" s="523">
        <f t="shared" si="927"/>
        <v>0</v>
      </c>
      <c r="AB1040" s="32"/>
      <c r="AC1040" s="25" t="str">
        <f t="shared" si="928"/>
        <v>Y</v>
      </c>
      <c r="AD1040" s="624" t="str">
        <f t="shared" si="928"/>
        <v>Worcester</v>
      </c>
      <c r="AE1040" s="624">
        <f>IF(ISNA(MATCH(AC1040,N1032:N1041,0)),0,VLOOKUP(AC1040,N1032:S1041,5,FALSE))</f>
        <v>0</v>
      </c>
      <c r="AF1040" s="624" t="str">
        <f t="shared" ref="AF1040" si="933">IF(ISNA(MATCH(AC1040,T1032:T1041,0))," ",VLOOKUP(AC1040,T1032:Y1041,5,FALSE))</f>
        <v xml:space="preserve"> </v>
      </c>
      <c r="AG1040" s="624">
        <f>IF(ISNA(MATCH(AC1040,L1033:L1040,0)),0,VLOOKUP(AC1040,L1033:N1040,3,FALSE))</f>
        <v>0</v>
      </c>
      <c r="AH1040" s="624">
        <f>IF(ISNA(MATCH(AC1040,R1033:R1040,0)),0,VLOOKUP(AC1040,R1033:T1040,3,FALSE))</f>
        <v>0</v>
      </c>
      <c r="AI1040" s="624">
        <f>IF(ISNA(MATCH(AC1040,L1033:L1040,0)),0,VLOOKUP(AC1040,L1033:P1040,4,FALSE))</f>
        <v>0</v>
      </c>
      <c r="AJ1040" s="624">
        <f>IF(ISNA(MATCH(AC1040,R1033:R1040,0)),0,VLOOKUP(AC1040,R1033:U1040,4,FALSE))</f>
        <v>0</v>
      </c>
      <c r="AK1040" s="116">
        <f t="shared" si="929"/>
        <v>0</v>
      </c>
      <c r="AL1040" s="116">
        <f t="shared" si="930"/>
        <v>0</v>
      </c>
      <c r="AM1040" s="116">
        <f>IF(ISNA(MATCH(AC1040,L1033:L1040,0)),0,VLOOKUP(AC1040,L1033:W1040,AM$1,FALSE))</f>
        <v>0</v>
      </c>
      <c r="AN1040" s="523">
        <f>IF(ISNA(MATCH(AC1040,R1033:R1040,0)),0,VLOOKUP(AC1040,R1033:W1040,AN$1,FALSE))</f>
        <v>0</v>
      </c>
      <c r="AP1040" s="928"/>
      <c r="AQ1040" s="932"/>
    </row>
    <row r="1041" spans="1:47" ht="15" thickBot="1" x14ac:dyDescent="0.35">
      <c r="K1041" s="1207" t="s">
        <v>280</v>
      </c>
      <c r="M1041" s="276"/>
      <c r="N1041" s="307"/>
      <c r="S1041" s="276"/>
      <c r="T1041" s="307"/>
      <c r="AP1041" s="276"/>
      <c r="AQ1041" s="307"/>
    </row>
    <row r="1042" spans="1:47" x14ac:dyDescent="0.3">
      <c r="B1042" s="400" t="s">
        <v>258</v>
      </c>
      <c r="C1042" s="398"/>
      <c r="D1042" s="401" t="s">
        <v>165</v>
      </c>
      <c r="E1042" s="398"/>
      <c r="F1042" s="398"/>
      <c r="G1042" s="402" t="s">
        <v>259</v>
      </c>
      <c r="H1042" s="403" t="s">
        <v>249</v>
      </c>
      <c r="I1042" s="404" t="s">
        <v>168</v>
      </c>
      <c r="K1042" s="360"/>
      <c r="L1042" s="661"/>
      <c r="M1042" s="387" t="s">
        <v>260</v>
      </c>
      <c r="N1042" s="387" t="s">
        <v>261</v>
      </c>
      <c r="O1042" s="387" t="s">
        <v>262</v>
      </c>
      <c r="P1042" s="388" t="s">
        <v>75</v>
      </c>
      <c r="Q1042" s="412"/>
      <c r="R1042" s="657"/>
      <c r="S1042" s="387" t="s">
        <v>260</v>
      </c>
      <c r="T1042" s="387" t="s">
        <v>261</v>
      </c>
      <c r="U1042" s="387" t="s">
        <v>262</v>
      </c>
      <c r="V1042" s="388" t="s">
        <v>75</v>
      </c>
      <c r="W1042" s="672" t="s">
        <v>76</v>
      </c>
      <c r="Y1042" s="654" t="s">
        <v>263</v>
      </c>
      <c r="Z1042" s="656" t="s">
        <v>74</v>
      </c>
      <c r="AA1042" s="657" t="s">
        <v>75</v>
      </c>
      <c r="AC1042" s="665" t="s">
        <v>71</v>
      </c>
      <c r="AD1042" s="657" t="s">
        <v>86</v>
      </c>
      <c r="AE1042" s="661" t="s">
        <v>149</v>
      </c>
      <c r="AF1042" s="661" t="s">
        <v>94</v>
      </c>
      <c r="AG1042" s="661" t="s">
        <v>149</v>
      </c>
      <c r="AH1042" s="661" t="s">
        <v>94</v>
      </c>
      <c r="AI1042" s="661" t="s">
        <v>149</v>
      </c>
      <c r="AJ1042" s="661" t="s">
        <v>94</v>
      </c>
      <c r="AK1042" s="1332" t="s">
        <v>149</v>
      </c>
      <c r="AL1042" s="661" t="s">
        <v>94</v>
      </c>
      <c r="AM1042" s="1406" t="s">
        <v>76</v>
      </c>
      <c r="AN1042" s="1407"/>
      <c r="AP1042" s="387" t="s">
        <v>260</v>
      </c>
      <c r="AQ1042" s="387" t="s">
        <v>261</v>
      </c>
      <c r="AS1042" s="1218" t="s">
        <v>165</v>
      </c>
      <c r="AT1042" s="1219" t="s">
        <v>79</v>
      </c>
      <c r="AU1042" s="1220" t="s">
        <v>80</v>
      </c>
    </row>
    <row r="1043" spans="1:47" ht="15" thickBot="1" x14ac:dyDescent="0.35">
      <c r="B1043" s="405">
        <v>94</v>
      </c>
      <c r="C1043" s="399"/>
      <c r="D1043" s="385" t="str">
        <f>VLOOKUP($B1043,EventOrder,6,FALSE)</f>
        <v>800m U14 Female</v>
      </c>
      <c r="E1043" s="399"/>
      <c r="F1043" s="385"/>
      <c r="G1043" s="386" t="str">
        <f>VLOOKUP($B1043,EventOrder,4,FALSE)</f>
        <v>U14 Female</v>
      </c>
      <c r="H1043" s="396" t="str">
        <f>IF(MID(G1043,5,1)="F","F","M")</f>
        <v>F</v>
      </c>
      <c r="I1043" s="397">
        <f>VLOOKUP($B1043,EventOrder,2,FALSE)</f>
        <v>12.4</v>
      </c>
      <c r="K1043" s="372"/>
      <c r="L1043" s="667" t="s">
        <v>149</v>
      </c>
      <c r="M1043" s="409" t="s">
        <v>264</v>
      </c>
      <c r="N1043" s="409" t="s">
        <v>265</v>
      </c>
      <c r="O1043" s="409" t="s">
        <v>266</v>
      </c>
      <c r="P1043" s="408"/>
      <c r="Q1043" s="413"/>
      <c r="R1043" s="659" t="s">
        <v>94</v>
      </c>
      <c r="S1043" s="409" t="s">
        <v>264</v>
      </c>
      <c r="T1043" s="409" t="s">
        <v>265</v>
      </c>
      <c r="U1043" s="409" t="s">
        <v>266</v>
      </c>
      <c r="V1043" s="408"/>
      <c r="W1043" s="671"/>
      <c r="Y1043" s="655" t="s">
        <v>167</v>
      </c>
      <c r="Z1043" s="658" t="s">
        <v>149</v>
      </c>
      <c r="AA1043" s="659" t="s">
        <v>94</v>
      </c>
      <c r="AC1043" s="666"/>
      <c r="AD1043" s="668"/>
      <c r="AE1043" s="768" t="s">
        <v>75</v>
      </c>
      <c r="AF1043" s="768" t="s">
        <v>75</v>
      </c>
      <c r="AG1043" s="768" t="s">
        <v>267</v>
      </c>
      <c r="AH1043" s="768" t="s">
        <v>267</v>
      </c>
      <c r="AI1043" s="768" t="s">
        <v>268</v>
      </c>
      <c r="AJ1043" s="768" t="s">
        <v>268</v>
      </c>
      <c r="AK1043" s="770" t="s">
        <v>269</v>
      </c>
      <c r="AL1043" s="768" t="s">
        <v>269</v>
      </c>
      <c r="AM1043" s="667" t="s">
        <v>149</v>
      </c>
      <c r="AN1043" s="659" t="s">
        <v>94</v>
      </c>
      <c r="AP1043" s="409" t="s">
        <v>264</v>
      </c>
      <c r="AQ1043" s="409" t="s">
        <v>265</v>
      </c>
      <c r="AS1043" s="1221" t="s">
        <v>270</v>
      </c>
      <c r="AT1043" s="1222" t="s">
        <v>270</v>
      </c>
      <c r="AU1043" s="1223" t="s">
        <v>270</v>
      </c>
    </row>
    <row r="1044" spans="1:47" ht="15.6" x14ac:dyDescent="0.3">
      <c r="A1044" s="416">
        <f>(B1043*10)+1</f>
        <v>941</v>
      </c>
      <c r="B1044" s="362" t="str">
        <f>'Event Details'!D$22</f>
        <v>S</v>
      </c>
      <c r="C1044" s="381" t="str">
        <f>'Event Details'!E$22</f>
        <v>BRAT</v>
      </c>
      <c r="D1044" s="379"/>
      <c r="E1044" s="378"/>
      <c r="F1044" s="363">
        <f>VLOOKUP($B1043,IF($H1043="F",TeamSheetFemale,TeamSheetMale),$Y1044-1,FALSE)</f>
        <v>31</v>
      </c>
      <c r="G1044" s="380" t="str">
        <f>VLOOKUP($B1043,IF($H1043="F",TeamSheetFemale,TeamSheetMale),$Y1044,FALSE)</f>
        <v xml:space="preserve">Joanna O'Connor Delgado </v>
      </c>
      <c r="H1044" s="363">
        <f>VLOOKUP($B1043,IF($H1043="F",TeamSheetFemale,TeamSheetMale),$Y1044+1,FALSE)</f>
        <v>0</v>
      </c>
      <c r="I1044" s="364">
        <f>VLOOKUP($B1043,IF($H1043="F",TeamSheetFemale,TeamSheetMale),$Y1044+2,FALSE)</f>
        <v>0</v>
      </c>
      <c r="K1044" s="393" t="s">
        <v>271</v>
      </c>
      <c r="L1044" s="16" t="str">
        <f t="shared" ref="L1044:L1051" si="934">LEFT(M1044,1)</f>
        <v>U</v>
      </c>
      <c r="M1044" s="926" t="s">
        <v>130</v>
      </c>
      <c r="N1044" s="926" t="s">
        <v>1021</v>
      </c>
      <c r="O1044" s="394">
        <f>IF(LEN($M1044)=1,VLOOKUP(LEFT($M1044,1),B1044:I1051,5,FALSE),IF(LEN($M1044)=2,VLOOKUP(LEFT($M1044,1),B1044:I1051,7,FALSE),""))</f>
        <v>77</v>
      </c>
      <c r="P1044" s="395" t="str">
        <f>IF(LEN($M1044)=1,VLOOKUP(LEFT($M1044,1),B1044:I1051,6,FALSE),IF(LEN($M1044)=2,VLOOKUP(LEFT($M1044,1),B1044:I1051,8,FALSE),""))</f>
        <v>Evangaline Grover</v>
      </c>
      <c r="Q1044" s="406" t="s">
        <v>271</v>
      </c>
      <c r="R1044" s="146" t="str">
        <f t="shared" ref="R1044:R1051" si="935">LEFT(S1044,1)</f>
        <v/>
      </c>
      <c r="S1044" s="926"/>
      <c r="T1044" s="926"/>
      <c r="U1044" s="394" t="str">
        <f>IF(LEN($S1044)=1,VLOOKUP(LEFT($S1044,1),B1044:I1051,5,FALSE),IF(LEN($S1044)=2,VLOOKUP(LEFT($S1044,1),B1044:I1051,7,FALSE),""))</f>
        <v/>
      </c>
      <c r="V1044" s="395" t="str">
        <f>IF(LEN($S1044)=1,VLOOKUP(LEFT($S1044,1),B1044:I1051,6,FALSE),IF(LEN($S1044)=2,VLOOKUP(LEFT($S1044,1),B1044:I1051,8,FALSE),""))</f>
        <v/>
      </c>
      <c r="W1044" s="417">
        <f>AN$6</f>
        <v>8</v>
      </c>
      <c r="Y1044" s="653">
        <v>7</v>
      </c>
      <c r="Z1044" s="653" t="str">
        <f t="shared" ref="Z1044:Z1051" si="936">IF(LEN(M1044)&gt;0,VLOOKUP(LEFT(M1044,1),ShortName,5,FALSE),0)</f>
        <v>K&amp;S</v>
      </c>
      <c r="AA1044" s="138">
        <f t="shared" ref="AA1044:AA1051" si="937">IF(LEN(S1044)&gt;0,VLOOKUP(LEFT(S1044,1),ShortName,5,FALSE),0)</f>
        <v>0</v>
      </c>
      <c r="AC1044" s="16" t="str">
        <f t="shared" ref="AC1044:AD1051" si="938">B1044</f>
        <v>S</v>
      </c>
      <c r="AD1044" s="419" t="str">
        <f t="shared" si="938"/>
        <v>BRAT</v>
      </c>
      <c r="AE1044" s="635">
        <f>IF(ISNA(MATCH(AC1044,N1044:N1053,0)),0,VLOOKUP(AC1044,N1044:S1053,5,FALSE))</f>
        <v>0</v>
      </c>
      <c r="AF1044" s="635" t="str">
        <f>IF(ISNA(MATCH(AC1044,T1044:T1053,0))," ",VLOOKUP(AC1044,T1044:Y1053,5,FALSE))</f>
        <v xml:space="preserve"> </v>
      </c>
      <c r="AG1044" s="635">
        <f>IF(ISNA(MATCH(AC1044,L1044:L1051,0)),0,VLOOKUP(AC1044,L1044:N1051,3,FALSE))</f>
        <v>0</v>
      </c>
      <c r="AH1044" s="635">
        <f>IF(ISNA(MATCH(AC1044,R1044:R1051,0)),0,VLOOKUP(AC1044,R1044:T1051,3,FALSE))</f>
        <v>0</v>
      </c>
      <c r="AI1044" s="635">
        <f>IF(ISNA(MATCH(AC1044,L1044:L1051,0)),0,VLOOKUP(AC1044,L1044:P1051,4,FALSE))</f>
        <v>0</v>
      </c>
      <c r="AJ1044" s="635">
        <f>IF(ISNA(MATCH(AC1044,R1044:R1051,0)),0,VLOOKUP(AC1044,R1044:U1051,4,FALSE))</f>
        <v>0</v>
      </c>
      <c r="AK1044" s="49">
        <f t="shared" ref="AK1044:AK1051" si="939">IF(AM1044=0,0,AN$6-(AM1044-1))</f>
        <v>0</v>
      </c>
      <c r="AL1044" s="49">
        <f t="shared" ref="AL1044:AL1051" si="940">IF(AN1044=0,0,AN$6-(AN1044-1))</f>
        <v>0</v>
      </c>
      <c r="AM1044" s="49">
        <f>IF(ISNA(MATCH(AC1044,L1044:L1051,0)),0,VLOOKUP(AC1044,L1044:W1051,AM$1,FALSE))</f>
        <v>0</v>
      </c>
      <c r="AN1044" s="138">
        <f>IF(ISNA(MATCH(AC1044,R1044:R1051,0)),0,VLOOKUP(AC1044,R1044:W1051,AN$1,FALSE))</f>
        <v>0</v>
      </c>
      <c r="AP1044" s="926"/>
      <c r="AQ1044" s="926"/>
      <c r="AS1044" s="32">
        <f>IF(LEN(N1044)&gt;0,1,0)</f>
        <v>1</v>
      </c>
      <c r="AT1044" s="32">
        <f>IF(AND(AS1044=1,H1043="M"),1,0)</f>
        <v>0</v>
      </c>
      <c r="AU1044" s="32">
        <f>IF(AND(AS1044=1,H1043="F"),1,0)</f>
        <v>1</v>
      </c>
    </row>
    <row r="1045" spans="1:47" ht="15.6" x14ac:dyDescent="0.3">
      <c r="A1045" s="417">
        <f>A1044+1</f>
        <v>942</v>
      </c>
      <c r="B1045" s="362" t="str">
        <f>'Event Details'!D$23</f>
        <v>U</v>
      </c>
      <c r="C1045" s="381" t="str">
        <f>'Event Details'!E$23</f>
        <v>Kidder &amp; Stourport</v>
      </c>
      <c r="D1045" s="379"/>
      <c r="E1045" s="378"/>
      <c r="F1045" s="363">
        <f>VLOOKUP($B1043,IF($H1043="F",TeamSheetFemale,TeamSheetMale),$Y1045-1,FALSE)</f>
        <v>77</v>
      </c>
      <c r="G1045" s="380" t="str">
        <f>VLOOKUP($B1043,IF($H1043="F",TeamSheetFemale,TeamSheetMale),$Y1045,FALSE)</f>
        <v>Evangaline Grover</v>
      </c>
      <c r="H1045" s="363">
        <f>VLOOKUP($B1043,IF($H1043="F",TeamSheetFemale,TeamSheetMale),$Y1045+1,FALSE)</f>
        <v>0</v>
      </c>
      <c r="I1045" s="364">
        <f>VLOOKUP($B1043,IF($H1043="F",TeamSheetFemale,TeamSheetMale),$Y1045+2,FALSE)</f>
        <v>0</v>
      </c>
      <c r="K1045" s="341" t="s">
        <v>272</v>
      </c>
      <c r="L1045" s="16" t="str">
        <f t="shared" si="934"/>
        <v>F</v>
      </c>
      <c r="M1045" s="927" t="s">
        <v>142</v>
      </c>
      <c r="N1045" s="927" t="s">
        <v>1031</v>
      </c>
      <c r="O1045" s="354">
        <v>54</v>
      </c>
      <c r="P1045" s="410" t="str">
        <f>IF(LEN($M1045)=1,VLOOKUP(LEFT($M1045,1),B1044:I1051,6,FALSE),IF(LEN($M1045)=2,VLOOKUP(LEFT($M1045,1),B1044:I1051,8,FALSE),""))</f>
        <v>Evelyn Fallis</v>
      </c>
      <c r="Q1045" s="371" t="s">
        <v>272</v>
      </c>
      <c r="R1045" s="146" t="str">
        <f t="shared" si="935"/>
        <v/>
      </c>
      <c r="S1045" s="927"/>
      <c r="T1045" s="927"/>
      <c r="U1045" s="354" t="str">
        <f>IF(LEN($S1045)=1,VLOOKUP(LEFT($S1045,1),B1044:I1051,5,FALSE),IF(LEN($S1045)=2,VLOOKUP(LEFT($S1045,1),B1044:I1051,7,FALSE),""))</f>
        <v/>
      </c>
      <c r="V1045" s="410" t="str">
        <f>IF(LEN($S1045)=1,VLOOKUP(LEFT($S1045,1),B1044:I1051,6,FALSE),IF(LEN($S1045)=2,VLOOKUP(LEFT($S1045,1),B1044:I1051,8,FALSE),""))</f>
        <v/>
      </c>
      <c r="W1045" s="417">
        <f>W1044-1</f>
        <v>7</v>
      </c>
      <c r="Y1045" s="16">
        <v>12</v>
      </c>
      <c r="Z1045" s="16" t="str">
        <f t="shared" si="936"/>
        <v>Tam</v>
      </c>
      <c r="AA1045" s="146">
        <f t="shared" si="937"/>
        <v>0</v>
      </c>
      <c r="AC1045" s="16" t="str">
        <f t="shared" si="938"/>
        <v>U</v>
      </c>
      <c r="AD1045" s="419" t="str">
        <f t="shared" si="938"/>
        <v>Kidder &amp; Stourport</v>
      </c>
      <c r="AE1045" s="419">
        <f>IF(ISNA(MATCH(AC1045,N1044:N1053,0)),0,VLOOKUP(AC1045,N1044:S1053,5,FALSE))</f>
        <v>0</v>
      </c>
      <c r="AF1045" s="419" t="str">
        <f>IF(ISNA(MATCH(AC1045,T1044:T1053,0))," ",VLOOKUP(AC1045,T1044:Y1053,5,FALSE))</f>
        <v xml:space="preserve"> </v>
      </c>
      <c r="AG1045" s="419" t="str">
        <f>IF(ISNA(MATCH(AC1045,L1044:L1051,0)),0,VLOOKUP(AC1045,L1044:N1051,3,FALSE))</f>
        <v>2.40.4</v>
      </c>
      <c r="AH1045" s="419">
        <f>IF(ISNA(MATCH(AC1045,R1044:R1051,0)),0,VLOOKUP(AC1045,R1044:T1051,3,FALSE))</f>
        <v>0</v>
      </c>
      <c r="AI1045" s="419">
        <f>IF(ISNA(MATCH(AC1045,L1044:L1051,0)),0,VLOOKUP(AC1045,L1044:P1051,4,FALSE))</f>
        <v>77</v>
      </c>
      <c r="AJ1045" s="419">
        <f>IF(ISNA(MATCH(AC1045,R1044:R1051,0)),0,VLOOKUP(AC1045,R1044:U1051,4,FALSE))</f>
        <v>0</v>
      </c>
      <c r="AK1045" s="32">
        <f t="shared" si="939"/>
        <v>1</v>
      </c>
      <c r="AL1045" s="32">
        <f t="shared" si="940"/>
        <v>0</v>
      </c>
      <c r="AM1045" s="32">
        <f>IF(ISNA(MATCH(AC1045,L1044:L1051,0)),0,VLOOKUP(AC1045,L1044:W1051,AM$1,FALSE))</f>
        <v>8</v>
      </c>
      <c r="AN1045" s="146">
        <f>IF(ISNA(MATCH(AC1045,R1044:R1051,0)),0,VLOOKUP(AC1045,R1044:W1051,AN$1,FALSE))</f>
        <v>0</v>
      </c>
      <c r="AP1045" s="927"/>
      <c r="AQ1045" s="927"/>
    </row>
    <row r="1046" spans="1:47" ht="15.6" x14ac:dyDescent="0.3">
      <c r="A1046" s="417">
        <f t="shared" ref="A1046:A1051" si="941">A1045+1</f>
        <v>943</v>
      </c>
      <c r="B1046" s="362" t="str">
        <f>'Event Details'!D$24</f>
        <v>G</v>
      </c>
      <c r="C1046" s="381" t="str">
        <f>'Event Details'!E$24</f>
        <v>Royal Sutton</v>
      </c>
      <c r="D1046" s="379"/>
      <c r="E1046" s="378"/>
      <c r="F1046" s="363">
        <f>VLOOKUP($B1043,IF($H1043="F",TeamSheetFemale,TeamSheetMale),$Y1046-1,FALSE)</f>
        <v>0</v>
      </c>
      <c r="G1046" s="380">
        <f>VLOOKUP($B1043,IF($H1043="F",TeamSheetFemale,TeamSheetMale),$Y1046,FALSE)</f>
        <v>0</v>
      </c>
      <c r="H1046" s="363">
        <f>VLOOKUP($B1043,IF($H1043="F",TeamSheetFemale,TeamSheetMale),$Y1046+1,FALSE)</f>
        <v>0</v>
      </c>
      <c r="I1046" s="364">
        <f>VLOOKUP($B1043,IF($H1043="F",TeamSheetFemale,TeamSheetMale),$Y1046+2,FALSE)</f>
        <v>0</v>
      </c>
      <c r="K1046" s="341" t="s">
        <v>273</v>
      </c>
      <c r="L1046" s="16" t="str">
        <f t="shared" si="934"/>
        <v/>
      </c>
      <c r="M1046" s="927"/>
      <c r="N1046" s="927"/>
      <c r="O1046" s="354" t="str">
        <f>IF(LEN($M1046)=1,VLOOKUP(LEFT($M1046,1),B1044:I1051,5,FALSE),IF(LEN($M1046)=2,VLOOKUP(LEFT($M1046,1),B1044:I1051,7,FALSE),""))</f>
        <v/>
      </c>
      <c r="P1046" s="410" t="str">
        <f>IF(LEN($M1046)=1,VLOOKUP(LEFT($M1046,1),B1044:I1051,6,FALSE),IF(LEN($M1046)=2,VLOOKUP(LEFT($M1046,1),B1044:I1051,8,FALSE),""))</f>
        <v/>
      </c>
      <c r="Q1046" s="371" t="s">
        <v>273</v>
      </c>
      <c r="R1046" s="146" t="str">
        <f t="shared" si="935"/>
        <v/>
      </c>
      <c r="S1046" s="927"/>
      <c r="T1046" s="927"/>
      <c r="U1046" s="354" t="str">
        <f>IF(LEN($S1046)=1,VLOOKUP(LEFT($S1046,1),B1044:I1051,5,FALSE),IF(LEN($S1046)=2,VLOOKUP(LEFT($S1046,1),B1044:I1051,7,FALSE),""))</f>
        <v/>
      </c>
      <c r="V1046" s="410" t="str">
        <f>IF(LEN($S1046)=1,VLOOKUP(LEFT($S1046,1),B1044:I1051,6,FALSE),IF(LEN($S1046)=2,VLOOKUP(LEFT($S1046,1),B1044:I1051,8,FALSE),""))</f>
        <v/>
      </c>
      <c r="W1046" s="417">
        <f t="shared" ref="W1046:W1051" si="942">W1045-1</f>
        <v>6</v>
      </c>
      <c r="Y1046" s="16">
        <v>17</v>
      </c>
      <c r="Z1046" s="16">
        <f t="shared" si="936"/>
        <v>0</v>
      </c>
      <c r="AA1046" s="146">
        <f t="shared" si="937"/>
        <v>0</v>
      </c>
      <c r="AC1046" s="16" t="str">
        <f t="shared" si="938"/>
        <v>G</v>
      </c>
      <c r="AD1046" s="419" t="str">
        <f t="shared" si="938"/>
        <v>Royal Sutton</v>
      </c>
      <c r="AE1046" s="419">
        <f>IF(ISNA(MATCH(AC1046,N1044:N1053,0)),0,VLOOKUP(AC1046,N1044:S1053,5,FALSE))</f>
        <v>0</v>
      </c>
      <c r="AF1046" s="419" t="str">
        <f>IF(ISNA(MATCH(AC1046,T1044:T1053,0))," ",VLOOKUP(AC1046,T1044:Y1053,5,FALSE))</f>
        <v xml:space="preserve"> </v>
      </c>
      <c r="AG1046" s="419">
        <f>IF(ISNA(MATCH(AC1046,L1044:L1051,0)),0,VLOOKUP(AC1046,L1044:N1051,3,FALSE))</f>
        <v>0</v>
      </c>
      <c r="AH1046" s="419">
        <f>IF(ISNA(MATCH(AC1046,R1044:R1051,0)),0,VLOOKUP(AC1046,R1044:T1051,3,FALSE))</f>
        <v>0</v>
      </c>
      <c r="AI1046" s="419">
        <f>IF(ISNA(MATCH(AC1046,L1044:L1051,0)),0,VLOOKUP(AC1046,L1044:P1051,4,FALSE))</f>
        <v>0</v>
      </c>
      <c r="AJ1046" s="419">
        <f>IF(ISNA(MATCH(AC1046,R1044:R1051,0)),0,VLOOKUP(AC1046,R1044:U1051,4,FALSE))</f>
        <v>0</v>
      </c>
      <c r="AK1046" s="32">
        <f t="shared" si="939"/>
        <v>0</v>
      </c>
      <c r="AL1046" s="32">
        <f t="shared" si="940"/>
        <v>0</v>
      </c>
      <c r="AM1046" s="32">
        <f>IF(ISNA(MATCH(AC1046,L1044:L1051,0)),0,VLOOKUP(AC1046,L1044:W1051,AM$1,FALSE))</f>
        <v>0</v>
      </c>
      <c r="AN1046" s="146">
        <f>IF(ISNA(MATCH(AC1046,R1044:R1051,0)),0,VLOOKUP(AC1046,R1044:W1051,AN$1,FALSE))</f>
        <v>0</v>
      </c>
      <c r="AP1046" s="927"/>
      <c r="AQ1046" s="927"/>
    </row>
    <row r="1047" spans="1:47" ht="15.6" x14ac:dyDescent="0.3">
      <c r="A1047" s="417">
        <f t="shared" si="941"/>
        <v>944</v>
      </c>
      <c r="B1047" s="362" t="str">
        <f>'Event Details'!D$25</f>
        <v>R</v>
      </c>
      <c r="C1047" s="381" t="str">
        <f>'Event Details'!E$25</f>
        <v>Rugby &amp; N'hampton</v>
      </c>
      <c r="D1047" s="379"/>
      <c r="E1047" s="378"/>
      <c r="F1047" s="363">
        <f>VLOOKUP($B1043,IF($H1043="F",TeamSheetFemale,TeamSheetMale),$Y1047-1,FALSE)</f>
        <v>115</v>
      </c>
      <c r="G1047" s="380" t="str">
        <f>VLOOKUP($B1043,IF($H1043="F",TeamSheetFemale,TeamSheetMale),$Y1047,FALSE)</f>
        <v>Caitlin Bosworth</v>
      </c>
      <c r="H1047" s="363">
        <f>VLOOKUP($B1043,IF($H1043="F",TeamSheetFemale,TeamSheetMale),$Y1047+1,FALSE)</f>
        <v>0</v>
      </c>
      <c r="I1047" s="364">
        <f>VLOOKUP($B1043,IF($H1043="F",TeamSheetFemale,TeamSheetMale),$Y1047+2,FALSE)</f>
        <v>0</v>
      </c>
      <c r="K1047" s="341" t="s">
        <v>274</v>
      </c>
      <c r="L1047" s="16" t="str">
        <f t="shared" si="934"/>
        <v/>
      </c>
      <c r="M1047" s="927"/>
      <c r="N1047" s="927"/>
      <c r="O1047" s="354" t="str">
        <f>IF(LEN($M1047)=1,VLOOKUP(LEFT($M1047,1),B1044:I1051,5,FALSE),IF(LEN($M1047)=2,VLOOKUP(LEFT($M1047,1),B1044:I1051,7,FALSE),""))</f>
        <v/>
      </c>
      <c r="P1047" s="410" t="str">
        <f>IF(LEN($M1047)=1,VLOOKUP(LEFT($M1047,1),B1044:I1051,6,FALSE),IF(LEN($M1047)=2,VLOOKUP(LEFT($M1047,1),B1044:I1051,8,FALSE),""))</f>
        <v/>
      </c>
      <c r="Q1047" s="371" t="s">
        <v>274</v>
      </c>
      <c r="R1047" s="146" t="str">
        <f t="shared" si="935"/>
        <v/>
      </c>
      <c r="S1047" s="927"/>
      <c r="T1047" s="927"/>
      <c r="U1047" s="354" t="str">
        <f>IF(LEN($S1047)=1,VLOOKUP(LEFT($S1047,1),B1044:I1051,5,FALSE),IF(LEN($S1047)=2,VLOOKUP(LEFT($S1047,1),B1044:I1051,7,FALSE),""))</f>
        <v/>
      </c>
      <c r="V1047" s="410" t="str">
        <f>IF(LEN($S1047)=1,VLOOKUP(LEFT($S1047,1),B1044:I1051,6,FALSE),IF(LEN($S1047)=2,VLOOKUP(LEFT($S1047,1),B1044:I1051,8,FALSE),""))</f>
        <v/>
      </c>
      <c r="W1047" s="417">
        <f t="shared" si="942"/>
        <v>5</v>
      </c>
      <c r="Y1047" s="16">
        <v>22</v>
      </c>
      <c r="Z1047" s="16">
        <f t="shared" si="936"/>
        <v>0</v>
      </c>
      <c r="AA1047" s="146">
        <f t="shared" si="937"/>
        <v>0</v>
      </c>
      <c r="AC1047" s="16" t="str">
        <f t="shared" si="938"/>
        <v>R</v>
      </c>
      <c r="AD1047" s="419" t="str">
        <f t="shared" si="938"/>
        <v>Rugby &amp; N'hampton</v>
      </c>
      <c r="AE1047" s="419">
        <f>IF(ISNA(MATCH(AC1047,N1044:N1053,0)),0,VLOOKUP(AC1047,N1044:S1053,5,FALSE))</f>
        <v>0</v>
      </c>
      <c r="AF1047" s="419" t="str">
        <f>IF(ISNA(MATCH(AC1047,T1044:T1053,0))," ",VLOOKUP(AC1047,T1044:Y1053,5,FALSE))</f>
        <v xml:space="preserve"> </v>
      </c>
      <c r="AG1047" s="419">
        <f>IF(ISNA(MATCH(AC1047,L1044:L1051,0)),0,VLOOKUP(AC1047,L1044:N1051,3,FALSE))</f>
        <v>0</v>
      </c>
      <c r="AH1047" s="419">
        <f>IF(ISNA(MATCH(AC1047,R1044:R1051,0)),0,VLOOKUP(AC1047,R1044:T1051,3,FALSE))</f>
        <v>0</v>
      </c>
      <c r="AI1047" s="419">
        <f>IF(ISNA(MATCH(AC1047,L1044:L1051,0)),0,VLOOKUP(AC1047,L1044:P1051,4,FALSE))</f>
        <v>0</v>
      </c>
      <c r="AJ1047" s="419">
        <f>IF(ISNA(MATCH(AC1047,R1044:R1051,0)),0,VLOOKUP(AC1047,R1044:U1051,4,FALSE))</f>
        <v>0</v>
      </c>
      <c r="AK1047" s="32">
        <f t="shared" si="939"/>
        <v>0</v>
      </c>
      <c r="AL1047" s="32">
        <f t="shared" si="940"/>
        <v>0</v>
      </c>
      <c r="AM1047" s="32">
        <f>IF(ISNA(MATCH(AC1047,L1044:L1051,0)),0,VLOOKUP(AC1047,L1044:W1051,AM$1,FALSE))</f>
        <v>0</v>
      </c>
      <c r="AN1047" s="146">
        <f>IF(ISNA(MATCH(AC1047,R1044:R1051,0)),0,VLOOKUP(AC1047,R1044:W1051,AN$1,FALSE))</f>
        <v>0</v>
      </c>
      <c r="AP1047" s="927"/>
      <c r="AQ1047" s="927"/>
    </row>
    <row r="1048" spans="1:47" ht="15.6" x14ac:dyDescent="0.3">
      <c r="A1048" s="417">
        <f t="shared" si="941"/>
        <v>945</v>
      </c>
      <c r="B1048" s="362" t="str">
        <f>'Event Details'!D$26</f>
        <v>M</v>
      </c>
      <c r="C1048" s="381" t="str">
        <f>'Event Details'!E$26</f>
        <v>Solihull &amp; S.Heath</v>
      </c>
      <c r="D1048" s="379"/>
      <c r="E1048" s="378"/>
      <c r="F1048" s="363">
        <f>VLOOKUP($B1043,IF($H1043="F",TeamSheetFemale,TeamSheetMale),$Y1048-1,FALSE)</f>
        <v>0</v>
      </c>
      <c r="G1048" s="380">
        <f>VLOOKUP($B1043,IF($H1043="F",TeamSheetFemale,TeamSheetMale),$Y1048,FALSE)</f>
        <v>0</v>
      </c>
      <c r="H1048" s="363">
        <f>VLOOKUP($B1043,IF($H1043="F",TeamSheetFemale,TeamSheetMale),$Y1048+1,FALSE)</f>
        <v>0</v>
      </c>
      <c r="I1048" s="364">
        <f>VLOOKUP($B1043,IF($H1043="F",TeamSheetFemale,TeamSheetMale),$Y1048+2,FALSE)</f>
        <v>0</v>
      </c>
      <c r="K1048" s="341" t="s">
        <v>275</v>
      </c>
      <c r="L1048" s="16" t="str">
        <f t="shared" si="934"/>
        <v/>
      </c>
      <c r="M1048" s="927"/>
      <c r="N1048" s="927"/>
      <c r="O1048" s="354" t="str">
        <f>IF(LEN($M1048)=1,VLOOKUP(LEFT($M1048,1),B1044:I1051,5,FALSE),IF(LEN($M1048)=2,VLOOKUP(LEFT($M1048,1),B1044:I1051,7,FALSE),""))</f>
        <v/>
      </c>
      <c r="P1048" s="410" t="str">
        <f>IF(LEN($M1048)=1,VLOOKUP(LEFT($M1048,1),B1044:I1051,6,FALSE),IF(LEN($M1048)=2,VLOOKUP(LEFT($M1048,1),B1044:I1051,8,FALSE),""))</f>
        <v/>
      </c>
      <c r="Q1048" s="371" t="s">
        <v>275</v>
      </c>
      <c r="R1048" s="146" t="str">
        <f t="shared" si="935"/>
        <v/>
      </c>
      <c r="S1048" s="927"/>
      <c r="T1048" s="927"/>
      <c r="U1048" s="354" t="str">
        <f>IF(LEN($S1048)=1,VLOOKUP(LEFT($S1048,1),B1044:I1051,5,FALSE),IF(LEN($S1048)=2,VLOOKUP(LEFT($S1048,1),B1044:I1051,7,FALSE),""))</f>
        <v/>
      </c>
      <c r="V1048" s="410" t="str">
        <f>IF(LEN($S1048)=1,VLOOKUP(LEFT($S1048,1),B1044:I1051,6,FALSE),IF(LEN($S1048)=2,VLOOKUP(LEFT($S1048,1),B1044:I1051,8,FALSE),""))</f>
        <v/>
      </c>
      <c r="W1048" s="417">
        <f t="shared" si="942"/>
        <v>4</v>
      </c>
      <c r="Y1048" s="16">
        <v>27</v>
      </c>
      <c r="Z1048" s="16">
        <f t="shared" si="936"/>
        <v>0</v>
      </c>
      <c r="AA1048" s="146">
        <f t="shared" si="937"/>
        <v>0</v>
      </c>
      <c r="AC1048" s="16" t="str">
        <f t="shared" si="938"/>
        <v>M</v>
      </c>
      <c r="AD1048" s="419" t="str">
        <f t="shared" si="938"/>
        <v>Solihull &amp; S.Heath</v>
      </c>
      <c r="AE1048" s="419">
        <f>IF(ISNA(MATCH(AC1048,N1044:N1053,0)),0,VLOOKUP(AC1048,N1044:S1053,5,FALSE))</f>
        <v>0</v>
      </c>
      <c r="AF1048" s="419" t="str">
        <f>IF(ISNA(MATCH(AC1048,T1044:T1053,0))," ",VLOOKUP(AC1048,T1044:Y1053,5,FALSE))</f>
        <v xml:space="preserve"> </v>
      </c>
      <c r="AG1048" s="419">
        <f>IF(ISNA(MATCH(AC1048,L1044:L1051,0)),0,VLOOKUP(AC1048,L1044:N1051,3,FALSE))</f>
        <v>0</v>
      </c>
      <c r="AH1048" s="419">
        <f>IF(ISNA(MATCH(AC1048,R1044:R1051,0)),0,VLOOKUP(AC1048,R1044:T1051,3,FALSE))</f>
        <v>0</v>
      </c>
      <c r="AI1048" s="419">
        <f>IF(ISNA(MATCH(AC1048,L1044:L1051,0)),0,VLOOKUP(AC1048,L1044:P1051,4,FALSE))</f>
        <v>0</v>
      </c>
      <c r="AJ1048" s="419">
        <f>IF(ISNA(MATCH(AC1048,R1044:R1051,0)),0,VLOOKUP(AC1048,R1044:U1051,4,FALSE))</f>
        <v>0</v>
      </c>
      <c r="AK1048" s="32">
        <f t="shared" si="939"/>
        <v>0</v>
      </c>
      <c r="AL1048" s="32">
        <f t="shared" si="940"/>
        <v>0</v>
      </c>
      <c r="AM1048" s="32">
        <f>IF(ISNA(MATCH(AC1048,L1044:L1051,0)),0,VLOOKUP(AC1048,L1044:W1051,AM$1,FALSE))</f>
        <v>0</v>
      </c>
      <c r="AN1048" s="146">
        <f>IF(ISNA(MATCH(AC1048,R1044:R1051,0)),0,VLOOKUP(AC1048,R1044:W1051,AN$1,FALSE))</f>
        <v>0</v>
      </c>
      <c r="AP1048" s="927"/>
      <c r="AQ1048" s="927"/>
    </row>
    <row r="1049" spans="1:47" ht="15.6" x14ac:dyDescent="0.3">
      <c r="A1049" s="417">
        <f t="shared" si="941"/>
        <v>946</v>
      </c>
      <c r="B1049" s="362" t="str">
        <f>'Event Details'!D$27</f>
        <v>D</v>
      </c>
      <c r="C1049" s="381" t="str">
        <f>'Event Details'!E$27</f>
        <v>Stratford</v>
      </c>
      <c r="D1049" s="379"/>
      <c r="E1049" s="378"/>
      <c r="F1049" s="363">
        <f>VLOOKUP($B1043,IF($H1043="F",TeamSheetFemale,TeamSheetMale),$Y1049-1,FALSE)</f>
        <v>0</v>
      </c>
      <c r="G1049" s="380">
        <f>VLOOKUP($B1043,IF($H1043="F",TeamSheetFemale,TeamSheetMale),$Y1049,FALSE)</f>
        <v>0</v>
      </c>
      <c r="H1049" s="363">
        <f>VLOOKUP($B1043,IF($H1043="F",TeamSheetFemale,TeamSheetMale),$Y1049+1,FALSE)</f>
        <v>0</v>
      </c>
      <c r="I1049" s="364">
        <f>VLOOKUP($B1043,IF($H1043="F",TeamSheetFemale,TeamSheetMale),$Y1049+2,FALSE)</f>
        <v>0</v>
      </c>
      <c r="K1049" s="341" t="s">
        <v>276</v>
      </c>
      <c r="L1049" s="16" t="str">
        <f t="shared" si="934"/>
        <v/>
      </c>
      <c r="M1049" s="927"/>
      <c r="N1049" s="927"/>
      <c r="O1049" s="354" t="str">
        <f>IF(LEN($M1049)=1,VLOOKUP(LEFT($M1049,1),B1044:I1051,5,FALSE),IF(LEN($M1049)=2,VLOOKUP(LEFT($M1049,1),B1044:I1051,7,FALSE),""))</f>
        <v/>
      </c>
      <c r="P1049" s="410" t="str">
        <f>IF(LEN($M1049)=1,VLOOKUP(LEFT($M1049,1),B1044:I1051,6,FALSE),IF(LEN($M1049)=2,VLOOKUP(LEFT($M1049,1),B1044:I1051,8,FALSE),""))</f>
        <v/>
      </c>
      <c r="Q1049" s="371" t="s">
        <v>276</v>
      </c>
      <c r="R1049" s="146" t="str">
        <f t="shared" si="935"/>
        <v/>
      </c>
      <c r="S1049" s="927"/>
      <c r="T1049" s="927"/>
      <c r="U1049" s="354" t="str">
        <f>IF(LEN($S1049)=1,VLOOKUP(LEFT($S1049,1),B1044:I1051,5,FALSE),IF(LEN($S1049)=2,VLOOKUP(LEFT($S1049,1),B1044:I1051,7,FALSE),""))</f>
        <v/>
      </c>
      <c r="V1049" s="410" t="str">
        <f>IF(LEN($S1049)=1,VLOOKUP(LEFT($S1049,1),B1044:I1051,6,FALSE),IF(LEN($S1049)=2,VLOOKUP(LEFT($S1049,1),B1044:I1051,8,FALSE),""))</f>
        <v/>
      </c>
      <c r="W1049" s="417">
        <f t="shared" si="942"/>
        <v>3</v>
      </c>
      <c r="Y1049" s="16">
        <v>32</v>
      </c>
      <c r="Z1049" s="16">
        <f t="shared" si="936"/>
        <v>0</v>
      </c>
      <c r="AA1049" s="146">
        <f t="shared" si="937"/>
        <v>0</v>
      </c>
      <c r="AC1049" s="16" t="str">
        <f t="shared" si="938"/>
        <v>D</v>
      </c>
      <c r="AD1049" s="419" t="str">
        <f t="shared" si="938"/>
        <v>Stratford</v>
      </c>
      <c r="AE1049" s="419">
        <f>IF(ISNA(MATCH(AC1049,N1044:N1053,0)),0,VLOOKUP(AC1049,N1044:S1053,5,FALSE))</f>
        <v>0</v>
      </c>
      <c r="AF1049" s="419" t="str">
        <f>IF(ISNA(MATCH(AC1049,T1044:T1053,0))," ",VLOOKUP(AC1049,T1044:Y1053,5,FALSE))</f>
        <v xml:space="preserve"> </v>
      </c>
      <c r="AG1049" s="419">
        <f>IF(ISNA(MATCH(AC1049,L1044:L1051,0)),0,VLOOKUP(AC1049,L1044:N1051,3,FALSE))</f>
        <v>0</v>
      </c>
      <c r="AH1049" s="419">
        <f>IF(ISNA(MATCH(AC1049,R1044:R1051,0)),0,VLOOKUP(AC1049,R1044:T1051,3,FALSE))</f>
        <v>0</v>
      </c>
      <c r="AI1049" s="419">
        <f>IF(ISNA(MATCH(AC1049,L1044:L1051,0)),0,VLOOKUP(AC1049,L1044:P1051,4,FALSE))</f>
        <v>0</v>
      </c>
      <c r="AJ1049" s="419">
        <f>IF(ISNA(MATCH(AC1049,R1044:R1051,0)),0,VLOOKUP(AC1049,R1044:U1051,4,FALSE))</f>
        <v>0</v>
      </c>
      <c r="AK1049" s="32">
        <f t="shared" si="939"/>
        <v>0</v>
      </c>
      <c r="AL1049" s="32">
        <f t="shared" si="940"/>
        <v>0</v>
      </c>
      <c r="AM1049" s="32">
        <f>IF(ISNA(MATCH(AC1049,L1044:L1051,0)),0,VLOOKUP(AC1049,L1044:W1051,AM$1,FALSE))</f>
        <v>0</v>
      </c>
      <c r="AN1049" s="146">
        <f>IF(ISNA(MATCH(AC1049,R1044:R1051,0)),0,VLOOKUP(AC1049,R1044:W1051,AN$1,FALSE))</f>
        <v>0</v>
      </c>
      <c r="AP1049" s="927"/>
      <c r="AQ1049" s="927"/>
    </row>
    <row r="1050" spans="1:47" ht="15.6" x14ac:dyDescent="0.3">
      <c r="A1050" s="417">
        <f t="shared" si="941"/>
        <v>947</v>
      </c>
      <c r="B1050" s="362" t="str">
        <f>'Event Details'!D$28</f>
        <v>F</v>
      </c>
      <c r="C1050" s="381" t="str">
        <f>'Event Details'!E$28</f>
        <v>Tamworth</v>
      </c>
      <c r="D1050" s="379"/>
      <c r="E1050" s="378"/>
      <c r="F1050" s="363">
        <f>VLOOKUP($B1043,IF($H1043="F",TeamSheetFemale,TeamSheetMale),$Y1050-1,FALSE)</f>
        <v>54</v>
      </c>
      <c r="G1050" s="380" t="str">
        <f>VLOOKUP($B1043,IF($H1043="F",TeamSheetFemale,TeamSheetMale),$Y1050,FALSE)</f>
        <v>Evelyn Fallis</v>
      </c>
      <c r="H1050" s="363">
        <f>VLOOKUP($B1043,IF($H1043="F",TeamSheetFemale,TeamSheetMale),$Y1050+1,FALSE)</f>
        <v>0</v>
      </c>
      <c r="I1050" s="364">
        <f>VLOOKUP($B1043,IF($H1043="F",TeamSheetFemale,TeamSheetMale),$Y1050+2,FALSE)</f>
        <v>0</v>
      </c>
      <c r="K1050" s="341" t="s">
        <v>277</v>
      </c>
      <c r="L1050" s="16" t="str">
        <f t="shared" si="934"/>
        <v/>
      </c>
      <c r="M1050" s="927"/>
      <c r="N1050" s="927"/>
      <c r="O1050" s="354" t="str">
        <f>IF(LEN($M1050)=1,VLOOKUP(LEFT($M1050,1),B1044:I1051,5,FALSE),IF(LEN($M1050)=2,VLOOKUP(LEFT($M1050,1),B1044:I1051,7,FALSE),""))</f>
        <v/>
      </c>
      <c r="P1050" s="410" t="str">
        <f>IF(LEN($M1050)=1,VLOOKUP(LEFT($M1050,1),B1044:I1051,6,FALSE),IF(LEN($M1050)=2,VLOOKUP(LEFT($M1050,1),B1044:I1051,8,FALSE),""))</f>
        <v/>
      </c>
      <c r="Q1050" s="371" t="s">
        <v>277</v>
      </c>
      <c r="R1050" s="146" t="str">
        <f t="shared" si="935"/>
        <v/>
      </c>
      <c r="S1050" s="927"/>
      <c r="T1050" s="927"/>
      <c r="U1050" s="354" t="str">
        <f>IF(LEN($S1050)=1,VLOOKUP(LEFT($S1050,1),B1044:I1051,5,FALSE),IF(LEN($S1050)=2,VLOOKUP(LEFT($S1050,1),B1044:I1051,7,FALSE),""))</f>
        <v/>
      </c>
      <c r="V1050" s="410" t="str">
        <f>IF(LEN($S1050)=1,VLOOKUP(LEFT($S1050,1),B1044:I1051,6,FALSE),IF(LEN($S1050)=2,VLOOKUP(LEFT($S1050,1),B1044:I1051,8,FALSE),""))</f>
        <v/>
      </c>
      <c r="W1050" s="417">
        <f t="shared" si="942"/>
        <v>2</v>
      </c>
      <c r="Y1050" s="16">
        <v>37</v>
      </c>
      <c r="Z1050" s="16">
        <f t="shared" si="936"/>
        <v>0</v>
      </c>
      <c r="AA1050" s="146">
        <f t="shared" si="937"/>
        <v>0</v>
      </c>
      <c r="AC1050" s="16" t="str">
        <f t="shared" si="938"/>
        <v>F</v>
      </c>
      <c r="AD1050" s="419" t="str">
        <f t="shared" si="938"/>
        <v>Tamworth</v>
      </c>
      <c r="AE1050" s="419">
        <f>IF(ISNA(MATCH(AC1050,N1042:N1051,0)),0,VLOOKUP(AC1050,N1042:S1051,5,FALSE))</f>
        <v>0</v>
      </c>
      <c r="AF1050" s="419" t="str">
        <f>IF(ISNA(MATCH(AC1050,T1042:T1051,0))," ",VLOOKUP(AC1050,T1042:Y1051,5,FALSE))</f>
        <v xml:space="preserve"> </v>
      </c>
      <c r="AG1050" s="419" t="str">
        <f>IF(ISNA(MATCH(AC1050,L1044:L1051,0)),0,VLOOKUP(AC1050,L1044:N1051,3,FALSE))</f>
        <v>2.57.4</v>
      </c>
      <c r="AH1050" s="419">
        <f>IF(ISNA(MATCH(AC1050,R1044:R1051,0)),0,VLOOKUP(AC1050,R1044:T1051,3,FALSE))</f>
        <v>0</v>
      </c>
      <c r="AI1050" s="419">
        <f>IF(ISNA(MATCH(AC1050,L1044:L1051,0)),0,VLOOKUP(AC1050,L1044:P1051,4,FALSE))</f>
        <v>54</v>
      </c>
      <c r="AJ1050" s="419">
        <f>IF(ISNA(MATCH(AC1050,R1044:R1051,0)),0,VLOOKUP(AC1050,R1044:U1051,4,FALSE))</f>
        <v>0</v>
      </c>
      <c r="AK1050" s="32">
        <f t="shared" si="939"/>
        <v>2</v>
      </c>
      <c r="AL1050" s="32">
        <f t="shared" si="940"/>
        <v>0</v>
      </c>
      <c r="AM1050" s="32">
        <f>IF(ISNA(MATCH(AC1050,L1044:L1051,0)),0,VLOOKUP(AC1050,L1044:W1051,AM$1,FALSE))</f>
        <v>7</v>
      </c>
      <c r="AN1050" s="146">
        <f>IF(ISNA(MATCH(AC1050,R1044:R1051,0)),0,VLOOKUP(AC1050,R1044:W1051,AN$1,FALSE))</f>
        <v>0</v>
      </c>
      <c r="AP1050" s="927"/>
      <c r="AQ1050" s="927"/>
    </row>
    <row r="1051" spans="1:47" ht="16.2" thickBot="1" x14ac:dyDescent="0.35">
      <c r="A1051" s="418">
        <f t="shared" si="941"/>
        <v>948</v>
      </c>
      <c r="B1051" s="365" t="str">
        <f>'Event Details'!D$29</f>
        <v>Y</v>
      </c>
      <c r="C1051" s="366" t="str">
        <f>'Event Details'!E$29</f>
        <v>Worcester</v>
      </c>
      <c r="D1051" s="361"/>
      <c r="E1051" s="370"/>
      <c r="F1051" s="367">
        <f>VLOOKUP($B1043,IF($H1043="F",TeamSheetFemale,TeamSheetMale),$Y1051-1,FALSE)</f>
        <v>0</v>
      </c>
      <c r="G1051" s="368">
        <f>VLOOKUP($B1043,IF($H1043="F",TeamSheetFemale,TeamSheetMale),$Y1051,FALSE)</f>
        <v>0</v>
      </c>
      <c r="H1051" s="367">
        <f>VLOOKUP($B1043,IF($H1043="F",TeamSheetFemale,TeamSheetMale),$Y1051+1,FALSE)</f>
        <v>0</v>
      </c>
      <c r="I1051" s="369">
        <f>VLOOKUP($B1043,IF($H1043="F",TeamSheetFemale,TeamSheetMale),$Y1051+2,FALSE)</f>
        <v>0</v>
      </c>
      <c r="K1051" s="346" t="s">
        <v>278</v>
      </c>
      <c r="L1051" s="25" t="str">
        <f t="shared" si="934"/>
        <v/>
      </c>
      <c r="M1051" s="932"/>
      <c r="N1051" s="932"/>
      <c r="O1051" s="374" t="str">
        <f>IF(LEN($M1051)=1,VLOOKUP(LEFT($M1051,1),B1044:I1051,5,FALSE),IF(LEN($M1051)=2,VLOOKUP(LEFT($M1051,1),B1044:I1051,7,FALSE),""))</f>
        <v/>
      </c>
      <c r="P1051" s="411" t="str">
        <f>IF(LEN($M1051)=1,VLOOKUP(LEFT($M1051,1),B1044:I1051,6,FALSE),IF(LEN($M1051)=2,VLOOKUP(LEFT($M1051,1),B1044:I1051,8,FALSE),""))</f>
        <v/>
      </c>
      <c r="Q1051" s="407" t="s">
        <v>278</v>
      </c>
      <c r="R1051" s="523" t="str">
        <f t="shared" si="935"/>
        <v/>
      </c>
      <c r="S1051" s="932"/>
      <c r="T1051" s="932"/>
      <c r="U1051" s="374" t="str">
        <f>IF(LEN($S1051)=1,VLOOKUP(LEFT($S1051,1),B1044:I1051,5,FALSE),IF(LEN($S1051)=2,VLOOKUP(LEFT($S1051,1),B1044:I1051,7,FALSE),""))</f>
        <v/>
      </c>
      <c r="V1051" s="411" t="str">
        <f>IF(LEN($S1051)=1,VLOOKUP(LEFT($S1051,1),B1044:I1051,6,FALSE),IF(LEN($S1051)=2,VLOOKUP(LEFT($S1051,1),B1044:I1051,8,FALSE),""))</f>
        <v/>
      </c>
      <c r="W1051" s="418">
        <f t="shared" si="942"/>
        <v>1</v>
      </c>
      <c r="Y1051" s="25">
        <v>42</v>
      </c>
      <c r="Z1051" s="25">
        <f t="shared" si="936"/>
        <v>0</v>
      </c>
      <c r="AA1051" s="523">
        <f t="shared" si="937"/>
        <v>0</v>
      </c>
      <c r="AC1051" s="25" t="str">
        <f t="shared" si="938"/>
        <v>Y</v>
      </c>
      <c r="AD1051" s="624" t="str">
        <f t="shared" si="938"/>
        <v>Worcester</v>
      </c>
      <c r="AE1051" s="624">
        <f>IF(ISNA(MATCH(AC1051,N1043:N1052,0)),0,VLOOKUP(AC1051,N1043:S1052,5,FALSE))</f>
        <v>0</v>
      </c>
      <c r="AF1051" s="624" t="str">
        <f t="shared" ref="AF1051" si="943">IF(ISNA(MATCH(AC1051,T1043:T1052,0))," ",VLOOKUP(AC1051,T1043:Y1052,5,FALSE))</f>
        <v xml:space="preserve"> </v>
      </c>
      <c r="AG1051" s="624">
        <f>IF(ISNA(MATCH(AC1051,L1044:L1051,0)),0,VLOOKUP(AC1051,L1044:N1051,3,FALSE))</f>
        <v>0</v>
      </c>
      <c r="AH1051" s="624">
        <f>IF(ISNA(MATCH(AC1051,R1044:R1051,0)),0,VLOOKUP(AC1051,R1044:T1051,3,FALSE))</f>
        <v>0</v>
      </c>
      <c r="AI1051" s="624">
        <f>IF(ISNA(MATCH(AC1051,L1044:L1051,0)),0,VLOOKUP(AC1051,L1044:P1051,4,FALSE))</f>
        <v>0</v>
      </c>
      <c r="AJ1051" s="624">
        <f>IF(ISNA(MATCH(AC1051,R1044:R1051,0)),0,VLOOKUP(AC1051,R1044:U1051,4,FALSE))</f>
        <v>0</v>
      </c>
      <c r="AK1051" s="116">
        <f t="shared" si="939"/>
        <v>0</v>
      </c>
      <c r="AL1051" s="116">
        <f t="shared" si="940"/>
        <v>0</v>
      </c>
      <c r="AM1051" s="116">
        <f>IF(ISNA(MATCH(AC1051,L1044:L1051,0)),0,VLOOKUP(AC1051,L1044:W1051,AM$1,FALSE))</f>
        <v>0</v>
      </c>
      <c r="AN1051" s="523">
        <f>IF(ISNA(MATCH(AC1051,R1044:R1051,0)),0,VLOOKUP(AC1051,R1044:W1051,AN$1,FALSE))</f>
        <v>0</v>
      </c>
      <c r="AP1051" s="932"/>
      <c r="AQ1051" s="932"/>
    </row>
    <row r="1052" spans="1:47" ht="15" thickBot="1" x14ac:dyDescent="0.35">
      <c r="K1052" s="1207" t="s">
        <v>280</v>
      </c>
      <c r="M1052" s="276"/>
      <c r="N1052" s="307"/>
      <c r="S1052" s="276"/>
      <c r="T1052" s="307"/>
      <c r="AP1052" s="276"/>
      <c r="AQ1052" s="307"/>
    </row>
    <row r="1053" spans="1:47" x14ac:dyDescent="0.3">
      <c r="B1053" s="400" t="s">
        <v>258</v>
      </c>
      <c r="C1053" s="398"/>
      <c r="D1053" s="401" t="s">
        <v>165</v>
      </c>
      <c r="E1053" s="398"/>
      <c r="F1053" s="398"/>
      <c r="G1053" s="402" t="s">
        <v>259</v>
      </c>
      <c r="H1053" s="403" t="s">
        <v>249</v>
      </c>
      <c r="I1053" s="404" t="s">
        <v>168</v>
      </c>
      <c r="K1053" s="360"/>
      <c r="L1053" s="661"/>
      <c r="M1053" s="387" t="s">
        <v>260</v>
      </c>
      <c r="N1053" s="387" t="s">
        <v>261</v>
      </c>
      <c r="O1053" s="387" t="s">
        <v>262</v>
      </c>
      <c r="P1053" s="388" t="s">
        <v>75</v>
      </c>
      <c r="Q1053" s="389"/>
      <c r="R1053" s="657"/>
      <c r="S1053" s="387" t="s">
        <v>260</v>
      </c>
      <c r="T1053" s="387" t="s">
        <v>261</v>
      </c>
      <c r="U1053" s="387" t="s">
        <v>262</v>
      </c>
      <c r="V1053" s="388" t="s">
        <v>75</v>
      </c>
      <c r="W1053" s="672" t="s">
        <v>76</v>
      </c>
      <c r="Y1053" s="414" t="s">
        <v>263</v>
      </c>
      <c r="Z1053" s="656" t="s">
        <v>74</v>
      </c>
      <c r="AA1053" s="657" t="s">
        <v>75</v>
      </c>
      <c r="AC1053" s="665" t="s">
        <v>71</v>
      </c>
      <c r="AD1053" s="657" t="s">
        <v>86</v>
      </c>
      <c r="AE1053" s="661" t="s">
        <v>149</v>
      </c>
      <c r="AF1053" s="661" t="s">
        <v>94</v>
      </c>
      <c r="AG1053" s="661" t="s">
        <v>149</v>
      </c>
      <c r="AH1053" s="661" t="s">
        <v>94</v>
      </c>
      <c r="AI1053" s="661" t="s">
        <v>149</v>
      </c>
      <c r="AJ1053" s="661" t="s">
        <v>94</v>
      </c>
      <c r="AK1053" s="1332" t="s">
        <v>149</v>
      </c>
      <c r="AL1053" s="661" t="s">
        <v>94</v>
      </c>
      <c r="AM1053" s="1406" t="s">
        <v>76</v>
      </c>
      <c r="AN1053" s="1407"/>
      <c r="AP1053" s="387" t="s">
        <v>260</v>
      </c>
      <c r="AQ1053" s="387" t="s">
        <v>261</v>
      </c>
      <c r="AS1053" s="1218" t="s">
        <v>165</v>
      </c>
      <c r="AT1053" s="1219" t="s">
        <v>79</v>
      </c>
      <c r="AU1053" s="1220" t="s">
        <v>80</v>
      </c>
    </row>
    <row r="1054" spans="1:47" ht="15" thickBot="1" x14ac:dyDescent="0.35">
      <c r="B1054" s="405">
        <v>95</v>
      </c>
      <c r="C1054" s="399"/>
      <c r="D1054" s="385" t="str">
        <f>VLOOKUP($B1054,EventOrder,6,FALSE)</f>
        <v>800m U16 Female</v>
      </c>
      <c r="E1054" s="399"/>
      <c r="F1054" s="385"/>
      <c r="G1054" s="386" t="str">
        <f>VLOOKUP($B1054,EventOrder,4,FALSE)</f>
        <v>U16 Female</v>
      </c>
      <c r="H1054" s="396" t="str">
        <f>IF(MID(G1054,5,1)="F","F","M")</f>
        <v>F</v>
      </c>
      <c r="I1054" s="397">
        <f>VLOOKUP($B1054,EventOrder,2,FALSE)</f>
        <v>1</v>
      </c>
      <c r="K1054" s="377"/>
      <c r="L1054" s="667" t="s">
        <v>149</v>
      </c>
      <c r="M1054" s="409" t="s">
        <v>264</v>
      </c>
      <c r="N1054" s="409" t="s">
        <v>265</v>
      </c>
      <c r="O1054" s="390" t="s">
        <v>266</v>
      </c>
      <c r="P1054" s="391"/>
      <c r="Q1054" s="392"/>
      <c r="R1054" s="659" t="s">
        <v>94</v>
      </c>
      <c r="S1054" s="409" t="s">
        <v>264</v>
      </c>
      <c r="T1054" s="409" t="s">
        <v>265</v>
      </c>
      <c r="U1054" s="390" t="s">
        <v>266</v>
      </c>
      <c r="V1054" s="391"/>
      <c r="W1054" s="671"/>
      <c r="Y1054" s="415" t="s">
        <v>167</v>
      </c>
      <c r="Z1054" s="658" t="s">
        <v>149</v>
      </c>
      <c r="AA1054" s="659" t="s">
        <v>94</v>
      </c>
      <c r="AC1054" s="666"/>
      <c r="AD1054" s="668"/>
      <c r="AE1054" s="768" t="s">
        <v>75</v>
      </c>
      <c r="AF1054" s="768" t="s">
        <v>75</v>
      </c>
      <c r="AG1054" s="768" t="s">
        <v>267</v>
      </c>
      <c r="AH1054" s="768" t="s">
        <v>267</v>
      </c>
      <c r="AI1054" s="768" t="s">
        <v>268</v>
      </c>
      <c r="AJ1054" s="768" t="s">
        <v>268</v>
      </c>
      <c r="AK1054" s="770" t="s">
        <v>269</v>
      </c>
      <c r="AL1054" s="768" t="s">
        <v>269</v>
      </c>
      <c r="AM1054" s="667" t="s">
        <v>149</v>
      </c>
      <c r="AN1054" s="659" t="s">
        <v>94</v>
      </c>
      <c r="AP1054" s="409" t="s">
        <v>264</v>
      </c>
      <c r="AQ1054" s="409" t="s">
        <v>265</v>
      </c>
      <c r="AS1054" s="1221" t="s">
        <v>270</v>
      </c>
      <c r="AT1054" s="1222" t="s">
        <v>270</v>
      </c>
      <c r="AU1054" s="1223" t="s">
        <v>270</v>
      </c>
    </row>
    <row r="1055" spans="1:47" ht="15.6" x14ac:dyDescent="0.3">
      <c r="A1055" s="416">
        <f>(B1054*10)+1</f>
        <v>951</v>
      </c>
      <c r="B1055" s="362" t="str">
        <f>'Event Details'!D$22</f>
        <v>S</v>
      </c>
      <c r="C1055" s="381" t="str">
        <f>'Event Details'!E$22</f>
        <v>BRAT</v>
      </c>
      <c r="D1055" s="379"/>
      <c r="E1055" s="378"/>
      <c r="F1055" s="363">
        <f>VLOOKUP($B1054,IF($H1054="F",TeamSheetFemale,TeamSheetMale),$Y1055-1,FALSE)</f>
        <v>32</v>
      </c>
      <c r="G1055" s="380" t="str">
        <f>VLOOKUP($B1054,IF($H1054="F",TeamSheetFemale,TeamSheetMale),$Y1055,FALSE)</f>
        <v>Isabel Pickering</v>
      </c>
      <c r="H1055" s="363">
        <f>VLOOKUP($B1054,IF($H1054="F",TeamSheetFemale,TeamSheetMale),$Y1055+1,FALSE)</f>
        <v>0</v>
      </c>
      <c r="I1055" s="364">
        <f>VLOOKUP($B1054,IF($H1054="F",TeamSheetFemale,TeamSheetMale),$Y1055+2,FALSE)</f>
        <v>0</v>
      </c>
      <c r="K1055" s="393" t="s">
        <v>271</v>
      </c>
      <c r="L1055" s="16" t="str">
        <f t="shared" ref="L1055:L1062" si="944">LEFT(M1055,1)</f>
        <v/>
      </c>
      <c r="M1055" s="926"/>
      <c r="N1055" s="926"/>
      <c r="O1055" s="394" t="str">
        <f>IF(LEN($M1055)=1,VLOOKUP(LEFT($M1055,1),B1055:I1062,5,FALSE),IF(LEN($M1055)=2,VLOOKUP(LEFT($M1055,1),B1055:I1062,7,FALSE),""))</f>
        <v/>
      </c>
      <c r="P1055" s="395" t="str">
        <f>IF(LEN($M1055)=1,VLOOKUP(LEFT($M1055,1),B1055:I1062,6,FALSE),IF(LEN($M1055)=2,VLOOKUP(LEFT($M1055,1),B1055:I1062,8,FALSE),""))</f>
        <v/>
      </c>
      <c r="Q1055" s="393" t="s">
        <v>271</v>
      </c>
      <c r="R1055" s="146" t="str">
        <f t="shared" ref="R1055:R1062" si="945">LEFT(S1055,1)</f>
        <v/>
      </c>
      <c r="S1055" s="926"/>
      <c r="T1055" s="926"/>
      <c r="U1055" s="394" t="str">
        <f>IF(LEN($S1055)=1,VLOOKUP(LEFT($S1055,1),B1055:I1062,5,FALSE),IF(LEN($S1055)=2,VLOOKUP(LEFT($S1055,1),B1055:I1062,7,FALSE),""))</f>
        <v/>
      </c>
      <c r="V1055" s="395" t="str">
        <f>IF(LEN($S1055)=1,VLOOKUP(LEFT($S1055,1),B1055:I1062,6,FALSE),IF(LEN($S1055)=2,VLOOKUP(LEFT($S1055,1),B1055:I1062,8,FALSE),""))</f>
        <v/>
      </c>
      <c r="W1055" s="417">
        <f>AN$6</f>
        <v>8</v>
      </c>
      <c r="Y1055" s="416">
        <v>7</v>
      </c>
      <c r="Z1055" s="653">
        <f t="shared" ref="Z1055:Z1062" si="946">IF(LEN(M1055)&gt;0,VLOOKUP(LEFT(M1055,1),ShortName,5,FALSE),0)</f>
        <v>0</v>
      </c>
      <c r="AA1055" s="138">
        <f t="shared" ref="AA1055:AA1062" si="947">IF(LEN(S1055)&gt;0,VLOOKUP(LEFT(S1055,1),ShortName,5,FALSE),0)</f>
        <v>0</v>
      </c>
      <c r="AC1055" s="16" t="str">
        <f t="shared" ref="AC1055:AD1062" si="948">B1055</f>
        <v>S</v>
      </c>
      <c r="AD1055" s="419" t="str">
        <f t="shared" si="948"/>
        <v>BRAT</v>
      </c>
      <c r="AE1055" s="635">
        <f>IF(ISNA(MATCH(AC1055,N1055:N1064,0)),0,VLOOKUP(AC1055,N1055:S1064,5,FALSE))</f>
        <v>0</v>
      </c>
      <c r="AF1055" s="635" t="str">
        <f>IF(ISNA(MATCH(AC1055,T1055:T1064,0))," ",VLOOKUP(AC1055,T1055:Y1064,5,FALSE))</f>
        <v xml:space="preserve"> </v>
      </c>
      <c r="AG1055" s="635">
        <f>IF(ISNA(MATCH(AC1055,L1055:L1062,0)),0,VLOOKUP(AC1055,L1055:N1062,3,FALSE))</f>
        <v>0</v>
      </c>
      <c r="AH1055" s="635">
        <f>IF(ISNA(MATCH(AC1055,R1055:R1062,0)),0,VLOOKUP(AC1055,R1055:T1062,3,FALSE))</f>
        <v>0</v>
      </c>
      <c r="AI1055" s="635">
        <f>IF(ISNA(MATCH(AC1055,L1055:L1062,0)),0,VLOOKUP(AC1055,L1055:P1062,4,FALSE))</f>
        <v>0</v>
      </c>
      <c r="AJ1055" s="635">
        <f>IF(ISNA(MATCH(AC1055,R1055:R1062,0)),0,VLOOKUP(AC1055,R1055:U1062,4,FALSE))</f>
        <v>0</v>
      </c>
      <c r="AK1055" s="49">
        <f t="shared" ref="AK1055:AK1062" si="949">IF(AM1055=0,0,AN$6-(AM1055-1))</f>
        <v>0</v>
      </c>
      <c r="AL1055" s="49">
        <f t="shared" ref="AL1055:AL1062" si="950">IF(AN1055=0,0,AN$6-(AN1055-1))</f>
        <v>0</v>
      </c>
      <c r="AM1055" s="49">
        <f>IF(ISNA(MATCH(AC1055,L1055:L1062,0)),0,VLOOKUP(AC1055,L1055:W1062,AM$1,FALSE))</f>
        <v>0</v>
      </c>
      <c r="AN1055" s="138">
        <f>IF(ISNA(MATCH(AC1055,R1055:R1062,0)),0,VLOOKUP(AC1055,R1055:W1062,AN$1,FALSE))</f>
        <v>0</v>
      </c>
      <c r="AP1055" s="926"/>
      <c r="AQ1055" s="926"/>
      <c r="AS1055" s="32">
        <f>IF(LEN(N1055)&gt;0,1,0)</f>
        <v>0</v>
      </c>
      <c r="AT1055" s="32">
        <f>IF(AND(AS1055=1,H1054="M"),1,0)</f>
        <v>0</v>
      </c>
      <c r="AU1055" s="32">
        <f>IF(AND(AS1055=1,H1054="F"),1,0)</f>
        <v>0</v>
      </c>
    </row>
    <row r="1056" spans="1:47" ht="15.6" x14ac:dyDescent="0.3">
      <c r="A1056" s="417">
        <f>A1055+1</f>
        <v>952</v>
      </c>
      <c r="B1056" s="362" t="str">
        <f>'Event Details'!D$23</f>
        <v>U</v>
      </c>
      <c r="C1056" s="381" t="str">
        <f>'Event Details'!E$23</f>
        <v>Kidder &amp; Stourport</v>
      </c>
      <c r="D1056" s="379"/>
      <c r="E1056" s="378"/>
      <c r="F1056" s="363">
        <f>VLOOKUP($B1054,IF($H1054="F",TeamSheetFemale,TeamSheetMale),$Y1056-1,FALSE)</f>
        <v>0</v>
      </c>
      <c r="G1056" s="380">
        <f>VLOOKUP($B1054,IF($H1054="F",TeamSheetFemale,TeamSheetMale),$Y1056,FALSE)</f>
        <v>0</v>
      </c>
      <c r="H1056" s="363">
        <f>VLOOKUP($B1054,IF($H1054="F",TeamSheetFemale,TeamSheetMale),$Y1056+1,FALSE)</f>
        <v>0</v>
      </c>
      <c r="I1056" s="364">
        <f>VLOOKUP($B1054,IF($H1054="F",TeamSheetFemale,TeamSheetMale),$Y1056+2,FALSE)</f>
        <v>0</v>
      </c>
      <c r="K1056" s="341" t="s">
        <v>272</v>
      </c>
      <c r="L1056" s="16" t="str">
        <f t="shared" si="944"/>
        <v/>
      </c>
      <c r="M1056" s="927"/>
      <c r="N1056" s="927"/>
      <c r="O1056" s="353" t="str">
        <f>IF(LEN($M1056)=1,VLOOKUP(LEFT($M1056,1),B1055:I1062,5,FALSE),IF(LEN($M1056)=2,VLOOKUP(LEFT($M1056,1),B1055:I1062,7,FALSE),""))</f>
        <v/>
      </c>
      <c r="P1056" s="373" t="str">
        <f>IF(LEN($M1056)=1,VLOOKUP(LEFT($M1056,1),B1055:I1062,6,FALSE),IF(LEN($M1056)=2,VLOOKUP(LEFT($M1056,1),B1055:I1062,8,FALSE),""))</f>
        <v/>
      </c>
      <c r="Q1056" s="341" t="s">
        <v>272</v>
      </c>
      <c r="R1056" s="146" t="str">
        <f t="shared" si="945"/>
        <v/>
      </c>
      <c r="S1056" s="927"/>
      <c r="T1056" s="927"/>
      <c r="U1056" s="353" t="str">
        <f>IF(LEN($S1056)=1,VLOOKUP(LEFT($S1056,1),B1055:I1062,5,FALSE),IF(LEN($S1056)=2,VLOOKUP(LEFT($S1056,1),B1055:I1062,7,FALSE),""))</f>
        <v/>
      </c>
      <c r="V1056" s="373" t="str">
        <f>IF(LEN($S1056)=1,VLOOKUP(LEFT($S1056,1),B1055:I1062,6,FALSE),IF(LEN($S1056)=2,VLOOKUP(LEFT($S1056,1),B1055:I1062,8,FALSE),""))</f>
        <v/>
      </c>
      <c r="W1056" s="417">
        <f>W1055-1</f>
        <v>7</v>
      </c>
      <c r="Y1056" s="417">
        <v>12</v>
      </c>
      <c r="Z1056" s="16">
        <f t="shared" si="946"/>
        <v>0</v>
      </c>
      <c r="AA1056" s="146">
        <f t="shared" si="947"/>
        <v>0</v>
      </c>
      <c r="AC1056" s="16" t="str">
        <f t="shared" si="948"/>
        <v>U</v>
      </c>
      <c r="AD1056" s="419" t="str">
        <f t="shared" si="948"/>
        <v>Kidder &amp; Stourport</v>
      </c>
      <c r="AE1056" s="419">
        <f>IF(ISNA(MATCH(AC1056,N1055:N1064,0)),0,VLOOKUP(AC1056,N1055:S1064,5,FALSE))</f>
        <v>0</v>
      </c>
      <c r="AF1056" s="419" t="str">
        <f>IF(ISNA(MATCH(AC1056,T1055:T1064,0))," ",VLOOKUP(AC1056,T1055:Y1064,5,FALSE))</f>
        <v xml:space="preserve"> </v>
      </c>
      <c r="AG1056" s="419">
        <f>IF(ISNA(MATCH(AC1056,L1055:L1062,0)),0,VLOOKUP(AC1056,L1055:N1062,3,FALSE))</f>
        <v>0</v>
      </c>
      <c r="AH1056" s="419">
        <f>IF(ISNA(MATCH(AC1056,R1055:R1062,0)),0,VLOOKUP(AC1056,R1055:T1062,3,FALSE))</f>
        <v>0</v>
      </c>
      <c r="AI1056" s="419">
        <f>IF(ISNA(MATCH(AC1056,L1055:L1062,0)),0,VLOOKUP(AC1056,L1055:P1062,4,FALSE))</f>
        <v>0</v>
      </c>
      <c r="AJ1056" s="419">
        <f>IF(ISNA(MATCH(AC1056,R1055:R1062,0)),0,VLOOKUP(AC1056,R1055:U1062,4,FALSE))</f>
        <v>0</v>
      </c>
      <c r="AK1056" s="32">
        <f t="shared" si="949"/>
        <v>0</v>
      </c>
      <c r="AL1056" s="32">
        <f t="shared" si="950"/>
        <v>0</v>
      </c>
      <c r="AM1056" s="32">
        <f>IF(ISNA(MATCH(AC1056,L1055:L1062,0)),0,VLOOKUP(AC1056,L1055:W1062,AM$1,FALSE))</f>
        <v>0</v>
      </c>
      <c r="AN1056" s="146">
        <f>IF(ISNA(MATCH(AC1056,R1055:R1062,0)),0,VLOOKUP(AC1056,R1055:W1062,AN$1,FALSE))</f>
        <v>0</v>
      </c>
      <c r="AP1056" s="927"/>
      <c r="AQ1056" s="927"/>
    </row>
    <row r="1057" spans="1:47" ht="15.6" x14ac:dyDescent="0.3">
      <c r="A1057" s="417">
        <f t="shared" ref="A1057:A1062" si="951">A1056+1</f>
        <v>953</v>
      </c>
      <c r="B1057" s="362" t="str">
        <f>'Event Details'!D$24</f>
        <v>G</v>
      </c>
      <c r="C1057" s="381" t="str">
        <f>'Event Details'!E$24</f>
        <v>Royal Sutton</v>
      </c>
      <c r="D1057" s="379"/>
      <c r="E1057" s="378"/>
      <c r="F1057" s="363">
        <f>VLOOKUP($B1054,IF($H1054="F",TeamSheetFemale,TeamSheetMale),$Y1057-1,FALSE)</f>
        <v>0</v>
      </c>
      <c r="G1057" s="380">
        <f>VLOOKUP($B1054,IF($H1054="F",TeamSheetFemale,TeamSheetMale),$Y1057,FALSE)</f>
        <v>0</v>
      </c>
      <c r="H1057" s="363">
        <f>VLOOKUP($B1054,IF($H1054="F",TeamSheetFemale,TeamSheetMale),$Y1057+1,FALSE)</f>
        <v>0</v>
      </c>
      <c r="I1057" s="364">
        <f>VLOOKUP($B1054,IF($H1054="F",TeamSheetFemale,TeamSheetMale),$Y1057+2,FALSE)</f>
        <v>0</v>
      </c>
      <c r="K1057" s="341" t="s">
        <v>273</v>
      </c>
      <c r="L1057" s="16" t="str">
        <f t="shared" si="944"/>
        <v/>
      </c>
      <c r="M1057" s="927"/>
      <c r="N1057" s="927"/>
      <c r="O1057" s="353" t="str">
        <f>IF(LEN($M1057)=1,VLOOKUP(LEFT($M1057,1),B1055:I1062,5,FALSE),IF(LEN($M1057)=2,VLOOKUP(LEFT($M1057,1),B1055:I1062,7,FALSE),""))</f>
        <v/>
      </c>
      <c r="P1057" s="373" t="str">
        <f>IF(LEN($M1057)=1,VLOOKUP(LEFT($M1057,1),B1055:I1062,6,FALSE),IF(LEN($M1057)=2,VLOOKUP(LEFT($M1057,1),B1055:I1062,8,FALSE),""))</f>
        <v/>
      </c>
      <c r="Q1057" s="341" t="s">
        <v>273</v>
      </c>
      <c r="R1057" s="146" t="str">
        <f t="shared" si="945"/>
        <v/>
      </c>
      <c r="S1057" s="927"/>
      <c r="T1057" s="927"/>
      <c r="U1057" s="353" t="str">
        <f>IF(LEN($S1057)=1,VLOOKUP(LEFT($S1057,1),B1055:I1062,5,FALSE),IF(LEN($S1057)=2,VLOOKUP(LEFT($S1057,1),B1055:I1062,7,FALSE),""))</f>
        <v/>
      </c>
      <c r="V1057" s="373" t="str">
        <f>IF(LEN($S1057)=1,VLOOKUP(LEFT($S1057,1),B1055:I1062,6,FALSE),IF(LEN($S1057)=2,VLOOKUP(LEFT($S1057,1),B1055:I1062,8,FALSE),""))</f>
        <v/>
      </c>
      <c r="W1057" s="417">
        <f t="shared" ref="W1057:W1062" si="952">W1056-1</f>
        <v>6</v>
      </c>
      <c r="Y1057" s="417">
        <v>17</v>
      </c>
      <c r="Z1057" s="16">
        <f t="shared" si="946"/>
        <v>0</v>
      </c>
      <c r="AA1057" s="146">
        <f t="shared" si="947"/>
        <v>0</v>
      </c>
      <c r="AB1057" s="32"/>
      <c r="AC1057" s="16" t="str">
        <f t="shared" si="948"/>
        <v>G</v>
      </c>
      <c r="AD1057" s="419" t="str">
        <f t="shared" si="948"/>
        <v>Royal Sutton</v>
      </c>
      <c r="AE1057" s="419">
        <f>IF(ISNA(MATCH(AC1057,N1055:N1064,0)),0,VLOOKUP(AC1057,N1055:S1064,5,FALSE))</f>
        <v>0</v>
      </c>
      <c r="AF1057" s="419" t="str">
        <f>IF(ISNA(MATCH(AC1057,T1055:T1064,0))," ",VLOOKUP(AC1057,T1055:Y1064,5,FALSE))</f>
        <v xml:space="preserve"> </v>
      </c>
      <c r="AG1057" s="419">
        <f>IF(ISNA(MATCH(AC1057,L1055:L1062,0)),0,VLOOKUP(AC1057,L1055:N1062,3,FALSE))</f>
        <v>0</v>
      </c>
      <c r="AH1057" s="419">
        <f>IF(ISNA(MATCH(AC1057,R1055:R1062,0)),0,VLOOKUP(AC1057,R1055:T1062,3,FALSE))</f>
        <v>0</v>
      </c>
      <c r="AI1057" s="419">
        <f>IF(ISNA(MATCH(AC1057,L1055:L1062,0)),0,VLOOKUP(AC1057,L1055:P1062,4,FALSE))</f>
        <v>0</v>
      </c>
      <c r="AJ1057" s="419">
        <f>IF(ISNA(MATCH(AC1057,R1055:R1062,0)),0,VLOOKUP(AC1057,R1055:U1062,4,FALSE))</f>
        <v>0</v>
      </c>
      <c r="AK1057" s="32">
        <f t="shared" si="949"/>
        <v>0</v>
      </c>
      <c r="AL1057" s="32">
        <f t="shared" si="950"/>
        <v>0</v>
      </c>
      <c r="AM1057" s="32">
        <f>IF(ISNA(MATCH(AC1057,L1055:L1062,0)),0,VLOOKUP(AC1057,L1055:W1062,AM$1,FALSE))</f>
        <v>0</v>
      </c>
      <c r="AN1057" s="146">
        <f>IF(ISNA(MATCH(AC1057,R1055:R1062,0)),0,VLOOKUP(AC1057,R1055:W1062,AN$1,FALSE))</f>
        <v>0</v>
      </c>
      <c r="AP1057" s="927"/>
      <c r="AQ1057" s="927"/>
    </row>
    <row r="1058" spans="1:47" ht="15.6" x14ac:dyDescent="0.3">
      <c r="A1058" s="417">
        <f t="shared" si="951"/>
        <v>954</v>
      </c>
      <c r="B1058" s="362" t="str">
        <f>'Event Details'!D$25</f>
        <v>R</v>
      </c>
      <c r="C1058" s="381" t="str">
        <f>'Event Details'!E$25</f>
        <v>Rugby &amp; N'hampton</v>
      </c>
      <c r="D1058" s="379"/>
      <c r="E1058" s="378"/>
      <c r="F1058" s="363">
        <f>VLOOKUP($B1054,IF($H1054="F",TeamSheetFemale,TeamSheetMale),$Y1058-1,FALSE)</f>
        <v>0</v>
      </c>
      <c r="G1058" s="380">
        <f>VLOOKUP($B1054,IF($H1054="F",TeamSheetFemale,TeamSheetMale),$Y1058,FALSE)</f>
        <v>0</v>
      </c>
      <c r="H1058" s="363">
        <f>VLOOKUP($B1054,IF($H1054="F",TeamSheetFemale,TeamSheetMale),$Y1058+1,FALSE)</f>
        <v>0</v>
      </c>
      <c r="I1058" s="364">
        <f>VLOOKUP($B1054,IF($H1054="F",TeamSheetFemale,TeamSheetMale),$Y1058+2,FALSE)</f>
        <v>0</v>
      </c>
      <c r="K1058" s="341" t="s">
        <v>274</v>
      </c>
      <c r="L1058" s="16" t="str">
        <f t="shared" si="944"/>
        <v/>
      </c>
      <c r="M1058" s="927"/>
      <c r="N1058" s="927"/>
      <c r="O1058" s="353" t="str">
        <f>IF(LEN($M1058)=1,VLOOKUP(LEFT($M1058,1),B1055:I1062,5,FALSE),IF(LEN($M1058)=2,VLOOKUP(LEFT($M1058,1),B1055:I1062,7,FALSE),""))</f>
        <v/>
      </c>
      <c r="P1058" s="373" t="str">
        <f>IF(LEN($M1058)=1,VLOOKUP(LEFT($M1058,1),B1055:I1062,6,FALSE),IF(LEN($M1058)=2,VLOOKUP(LEFT($M1058,1),B1055:I1062,8,FALSE),""))</f>
        <v/>
      </c>
      <c r="Q1058" s="341" t="s">
        <v>274</v>
      </c>
      <c r="R1058" s="146" t="str">
        <f t="shared" si="945"/>
        <v/>
      </c>
      <c r="S1058" s="927"/>
      <c r="T1058" s="927"/>
      <c r="U1058" s="353" t="str">
        <f>IF(LEN($S1058)=1,VLOOKUP(LEFT($S1058,1),B1055:I1062,5,FALSE),IF(LEN($S1058)=2,VLOOKUP(LEFT($S1058,1),B1055:I1062,7,FALSE),""))</f>
        <v/>
      </c>
      <c r="V1058" s="373" t="str">
        <f>IF(LEN($S1058)=1,VLOOKUP(LEFT($S1058,1),B1055:I1062,6,FALSE),IF(LEN($S1058)=2,VLOOKUP(LEFT($S1058,1),B1055:I1062,8,FALSE),""))</f>
        <v/>
      </c>
      <c r="W1058" s="417">
        <f t="shared" si="952"/>
        <v>5</v>
      </c>
      <c r="Y1058" s="417">
        <v>22</v>
      </c>
      <c r="Z1058" s="16">
        <f t="shared" si="946"/>
        <v>0</v>
      </c>
      <c r="AA1058" s="146">
        <f t="shared" si="947"/>
        <v>0</v>
      </c>
      <c r="AB1058" s="32"/>
      <c r="AC1058" s="16" t="str">
        <f t="shared" si="948"/>
        <v>R</v>
      </c>
      <c r="AD1058" s="419" t="str">
        <f t="shared" si="948"/>
        <v>Rugby &amp; N'hampton</v>
      </c>
      <c r="AE1058" s="419">
        <f>IF(ISNA(MATCH(AC1058,N1055:N1064,0)),0,VLOOKUP(AC1058,N1055:S1064,5,FALSE))</f>
        <v>0</v>
      </c>
      <c r="AF1058" s="419" t="str">
        <f>IF(ISNA(MATCH(AC1058,T1055:T1064,0))," ",VLOOKUP(AC1058,T1055:Y1064,5,FALSE))</f>
        <v xml:space="preserve"> </v>
      </c>
      <c r="AG1058" s="419">
        <f>IF(ISNA(MATCH(AC1058,L1055:L1062,0)),0,VLOOKUP(AC1058,L1055:N1062,3,FALSE))</f>
        <v>0</v>
      </c>
      <c r="AH1058" s="419">
        <f>IF(ISNA(MATCH(AC1058,R1055:R1062,0)),0,VLOOKUP(AC1058,R1055:T1062,3,FALSE))</f>
        <v>0</v>
      </c>
      <c r="AI1058" s="419">
        <f>IF(ISNA(MATCH(AC1058,L1055:L1062,0)),0,VLOOKUP(AC1058,L1055:P1062,4,FALSE))</f>
        <v>0</v>
      </c>
      <c r="AJ1058" s="419">
        <f>IF(ISNA(MATCH(AC1058,R1055:R1062,0)),0,VLOOKUP(AC1058,R1055:U1062,4,FALSE))</f>
        <v>0</v>
      </c>
      <c r="AK1058" s="32">
        <f t="shared" si="949"/>
        <v>0</v>
      </c>
      <c r="AL1058" s="32">
        <f t="shared" si="950"/>
        <v>0</v>
      </c>
      <c r="AM1058" s="32">
        <f>IF(ISNA(MATCH(AC1058,L1055:L1062,0)),0,VLOOKUP(AC1058,L1055:W1062,AM$1,FALSE))</f>
        <v>0</v>
      </c>
      <c r="AN1058" s="146">
        <f>IF(ISNA(MATCH(AC1058,R1055:R1062,0)),0,VLOOKUP(AC1058,R1055:W1062,AN$1,FALSE))</f>
        <v>0</v>
      </c>
      <c r="AP1058" s="927"/>
      <c r="AQ1058" s="927"/>
    </row>
    <row r="1059" spans="1:47" ht="15.6" x14ac:dyDescent="0.3">
      <c r="A1059" s="417">
        <f t="shared" si="951"/>
        <v>955</v>
      </c>
      <c r="B1059" s="362" t="str">
        <f>'Event Details'!D$26</f>
        <v>M</v>
      </c>
      <c r="C1059" s="381" t="str">
        <f>'Event Details'!E$26</f>
        <v>Solihull &amp; S.Heath</v>
      </c>
      <c r="D1059" s="379"/>
      <c r="E1059" s="378"/>
      <c r="F1059" s="363">
        <f>VLOOKUP($B1054,IF($H1054="F",TeamSheetFemale,TeamSheetMale),$Y1059-1,FALSE)</f>
        <v>0</v>
      </c>
      <c r="G1059" s="380">
        <f>VLOOKUP($B1054,IF($H1054="F",TeamSheetFemale,TeamSheetMale),$Y1059,FALSE)</f>
        <v>0</v>
      </c>
      <c r="H1059" s="363">
        <f>VLOOKUP($B1054,IF($H1054="F",TeamSheetFemale,TeamSheetMale),$Y1059+1,FALSE)</f>
        <v>0</v>
      </c>
      <c r="I1059" s="364">
        <f>VLOOKUP($B1054,IF($H1054="F",TeamSheetFemale,TeamSheetMale),$Y1059+2,FALSE)</f>
        <v>0</v>
      </c>
      <c r="K1059" s="341" t="s">
        <v>275</v>
      </c>
      <c r="L1059" s="16" t="str">
        <f t="shared" si="944"/>
        <v/>
      </c>
      <c r="M1059" s="927"/>
      <c r="N1059" s="927"/>
      <c r="O1059" s="353" t="str">
        <f>IF(LEN($M1059)=1,VLOOKUP(LEFT($M1059,1),B1055:I1062,5,FALSE),IF(LEN($M1059)=2,VLOOKUP(LEFT($M1059,1),B1055:I1062,7,FALSE),""))</f>
        <v/>
      </c>
      <c r="P1059" s="373" t="str">
        <f>IF(LEN($M1059)=1,VLOOKUP(LEFT($M1059,1),B1055:I1062,6,FALSE),IF(LEN($M1059)=2,VLOOKUP(LEFT($M1059,1),B1055:I1062,8,FALSE),""))</f>
        <v/>
      </c>
      <c r="Q1059" s="341" t="s">
        <v>275</v>
      </c>
      <c r="R1059" s="146" t="str">
        <f t="shared" si="945"/>
        <v/>
      </c>
      <c r="S1059" s="927"/>
      <c r="T1059" s="927"/>
      <c r="U1059" s="353" t="str">
        <f>IF(LEN($S1059)=1,VLOOKUP(LEFT($S1059,1),B1055:I1062,5,FALSE),IF(LEN($S1059)=2,VLOOKUP(LEFT($S1059,1),B1055:I1062,7,FALSE),""))</f>
        <v/>
      </c>
      <c r="V1059" s="373" t="str">
        <f>IF(LEN($S1059)=1,VLOOKUP(LEFT($S1059,1),B1055:I1062,6,FALSE),IF(LEN($S1059)=2,VLOOKUP(LEFT($S1059,1),B1055:I1062,8,FALSE),""))</f>
        <v/>
      </c>
      <c r="W1059" s="417">
        <f t="shared" si="952"/>
        <v>4</v>
      </c>
      <c r="Y1059" s="417">
        <v>27</v>
      </c>
      <c r="Z1059" s="16">
        <f t="shared" si="946"/>
        <v>0</v>
      </c>
      <c r="AA1059" s="146">
        <f t="shared" si="947"/>
        <v>0</v>
      </c>
      <c r="AB1059" s="32"/>
      <c r="AC1059" s="16" t="str">
        <f t="shared" si="948"/>
        <v>M</v>
      </c>
      <c r="AD1059" s="419" t="str">
        <f t="shared" si="948"/>
        <v>Solihull &amp; S.Heath</v>
      </c>
      <c r="AE1059" s="419">
        <f>IF(ISNA(MATCH(AC1059,N1055:N1064,0)),0,VLOOKUP(AC1059,N1055:S1064,5,FALSE))</f>
        <v>0</v>
      </c>
      <c r="AF1059" s="419" t="str">
        <f>IF(ISNA(MATCH(AC1059,T1055:T1064,0))," ",VLOOKUP(AC1059,T1055:Y1064,5,FALSE))</f>
        <v xml:space="preserve"> </v>
      </c>
      <c r="AG1059" s="419">
        <f>IF(ISNA(MATCH(AC1059,L1055:L1062,0)),0,VLOOKUP(AC1059,L1055:N1062,3,FALSE))</f>
        <v>0</v>
      </c>
      <c r="AH1059" s="419">
        <f>IF(ISNA(MATCH(AC1059,R1055:R1062,0)),0,VLOOKUP(AC1059,R1055:T1062,3,FALSE))</f>
        <v>0</v>
      </c>
      <c r="AI1059" s="419">
        <f>IF(ISNA(MATCH(AC1059,L1055:L1062,0)),0,VLOOKUP(AC1059,L1055:P1062,4,FALSE))</f>
        <v>0</v>
      </c>
      <c r="AJ1059" s="419">
        <f>IF(ISNA(MATCH(AC1059,R1055:R1062,0)),0,VLOOKUP(AC1059,R1055:U1062,4,FALSE))</f>
        <v>0</v>
      </c>
      <c r="AK1059" s="32">
        <f t="shared" si="949"/>
        <v>0</v>
      </c>
      <c r="AL1059" s="32">
        <f t="shared" si="950"/>
        <v>0</v>
      </c>
      <c r="AM1059" s="32">
        <f>IF(ISNA(MATCH(AC1059,L1055:L1062,0)),0,VLOOKUP(AC1059,L1055:W1062,AM$1,FALSE))</f>
        <v>0</v>
      </c>
      <c r="AN1059" s="146">
        <f>IF(ISNA(MATCH(AC1059,R1055:R1062,0)),0,VLOOKUP(AC1059,R1055:W1062,AN$1,FALSE))</f>
        <v>0</v>
      </c>
      <c r="AP1059" s="927"/>
      <c r="AQ1059" s="927"/>
    </row>
    <row r="1060" spans="1:47" ht="15.6" x14ac:dyDescent="0.3">
      <c r="A1060" s="417">
        <f t="shared" si="951"/>
        <v>956</v>
      </c>
      <c r="B1060" s="362" t="str">
        <f>'Event Details'!D$27</f>
        <v>D</v>
      </c>
      <c r="C1060" s="381" t="str">
        <f>'Event Details'!E$27</f>
        <v>Stratford</v>
      </c>
      <c r="D1060" s="379"/>
      <c r="E1060" s="378"/>
      <c r="F1060" s="363">
        <f>VLOOKUP($B1054,IF($H1054="F",TeamSheetFemale,TeamSheetMale),$Y1060-1,FALSE)</f>
        <v>0</v>
      </c>
      <c r="G1060" s="380">
        <f>VLOOKUP($B1054,IF($H1054="F",TeamSheetFemale,TeamSheetMale),$Y1060,FALSE)</f>
        <v>0</v>
      </c>
      <c r="H1060" s="363">
        <f>VLOOKUP($B1054,IF($H1054="F",TeamSheetFemale,TeamSheetMale),$Y1060+1,FALSE)</f>
        <v>0</v>
      </c>
      <c r="I1060" s="364">
        <f>VLOOKUP($B1054,IF($H1054="F",TeamSheetFemale,TeamSheetMale),$Y1060+2,FALSE)</f>
        <v>0</v>
      </c>
      <c r="K1060" s="341" t="s">
        <v>276</v>
      </c>
      <c r="L1060" s="16" t="str">
        <f t="shared" si="944"/>
        <v/>
      </c>
      <c r="M1060" s="927"/>
      <c r="N1060" s="927"/>
      <c r="O1060" s="353" t="str">
        <f>IF(LEN($M1060)=1,VLOOKUP(LEFT($M1060,1),B1055:I1062,5,FALSE),IF(LEN($M1060)=2,VLOOKUP(LEFT($M1060,1),B1055:I1062,7,FALSE),""))</f>
        <v/>
      </c>
      <c r="P1060" s="373" t="str">
        <f>IF(LEN($M1060)=1,VLOOKUP(LEFT($M1060,1),B1055:I1062,6,FALSE),IF(LEN($M1060)=2,VLOOKUP(LEFT($M1060,1),B1055:I1062,8,FALSE),""))</f>
        <v/>
      </c>
      <c r="Q1060" s="341" t="s">
        <v>276</v>
      </c>
      <c r="R1060" s="146" t="str">
        <f t="shared" si="945"/>
        <v/>
      </c>
      <c r="S1060" s="927"/>
      <c r="T1060" s="927"/>
      <c r="U1060" s="353" t="str">
        <f>IF(LEN($S1060)=1,VLOOKUP(LEFT($S1060,1),B1055:I1062,5,FALSE),IF(LEN($S1060)=2,VLOOKUP(LEFT($S1060,1),B1055:I1062,7,FALSE),""))</f>
        <v/>
      </c>
      <c r="V1060" s="373" t="str">
        <f>IF(LEN($S1060)=1,VLOOKUP(LEFT($S1060,1),B1055:I1062,6,FALSE),IF(LEN($S1060)=2,VLOOKUP(LEFT($S1060,1),B1055:I1062,8,FALSE),""))</f>
        <v/>
      </c>
      <c r="W1060" s="417">
        <f t="shared" si="952"/>
        <v>3</v>
      </c>
      <c r="Y1060" s="417">
        <v>32</v>
      </c>
      <c r="Z1060" s="16">
        <f t="shared" si="946"/>
        <v>0</v>
      </c>
      <c r="AA1060" s="146">
        <f t="shared" si="947"/>
        <v>0</v>
      </c>
      <c r="AB1060" s="32"/>
      <c r="AC1060" s="16" t="str">
        <f t="shared" si="948"/>
        <v>D</v>
      </c>
      <c r="AD1060" s="419" t="str">
        <f t="shared" si="948"/>
        <v>Stratford</v>
      </c>
      <c r="AE1060" s="419">
        <f>IF(ISNA(MATCH(AC1060,N1055:N1064,0)),0,VLOOKUP(AC1060,N1055:S1064,5,FALSE))</f>
        <v>0</v>
      </c>
      <c r="AF1060" s="419" t="str">
        <f>IF(ISNA(MATCH(AC1060,T1055:T1064,0))," ",VLOOKUP(AC1060,T1055:Y1064,5,FALSE))</f>
        <v xml:space="preserve"> </v>
      </c>
      <c r="AG1060" s="419">
        <f>IF(ISNA(MATCH(AC1060,L1055:L1062,0)),0,VLOOKUP(AC1060,L1055:N1062,3,FALSE))</f>
        <v>0</v>
      </c>
      <c r="AH1060" s="419">
        <f>IF(ISNA(MATCH(AC1060,R1055:R1062,0)),0,VLOOKUP(AC1060,R1055:T1062,3,FALSE))</f>
        <v>0</v>
      </c>
      <c r="AI1060" s="419">
        <f>IF(ISNA(MATCH(AC1060,L1055:L1062,0)),0,VLOOKUP(AC1060,L1055:P1062,4,FALSE))</f>
        <v>0</v>
      </c>
      <c r="AJ1060" s="419">
        <f>IF(ISNA(MATCH(AC1060,R1055:R1062,0)),0,VLOOKUP(AC1060,R1055:U1062,4,FALSE))</f>
        <v>0</v>
      </c>
      <c r="AK1060" s="32">
        <f t="shared" si="949"/>
        <v>0</v>
      </c>
      <c r="AL1060" s="32">
        <f t="shared" si="950"/>
        <v>0</v>
      </c>
      <c r="AM1060" s="32">
        <f>IF(ISNA(MATCH(AC1060,L1055:L1062,0)),0,VLOOKUP(AC1060,L1055:W1062,AM$1,FALSE))</f>
        <v>0</v>
      </c>
      <c r="AN1060" s="146">
        <f>IF(ISNA(MATCH(AC1060,R1055:R1062,0)),0,VLOOKUP(AC1060,R1055:W1062,AN$1,FALSE))</f>
        <v>0</v>
      </c>
      <c r="AP1060" s="927"/>
      <c r="AQ1060" s="927"/>
    </row>
    <row r="1061" spans="1:47" ht="15.6" x14ac:dyDescent="0.3">
      <c r="A1061" s="417">
        <f t="shared" si="951"/>
        <v>957</v>
      </c>
      <c r="B1061" s="362" t="str">
        <f>'Event Details'!D$28</f>
        <v>F</v>
      </c>
      <c r="C1061" s="381" t="str">
        <f>'Event Details'!E$28</f>
        <v>Tamworth</v>
      </c>
      <c r="D1061" s="379"/>
      <c r="E1061" s="378"/>
      <c r="F1061" s="363">
        <f>VLOOKUP($B1054,IF($H1054="F",TeamSheetFemale,TeamSheetMale),$Y1061-1,FALSE)</f>
        <v>0</v>
      </c>
      <c r="G1061" s="380">
        <f>VLOOKUP($B1054,IF($H1054="F",TeamSheetFemale,TeamSheetMale),$Y1061,FALSE)</f>
        <v>0</v>
      </c>
      <c r="H1061" s="363">
        <f>VLOOKUP($B1054,IF($H1054="F",TeamSheetFemale,TeamSheetMale),$Y1061+1,FALSE)</f>
        <v>0</v>
      </c>
      <c r="I1061" s="364">
        <f>VLOOKUP($B1054,IF($H1054="F",TeamSheetFemale,TeamSheetMale),$Y1061+2,FALSE)</f>
        <v>0</v>
      </c>
      <c r="K1061" s="341" t="s">
        <v>277</v>
      </c>
      <c r="L1061" s="16" t="str">
        <f t="shared" si="944"/>
        <v/>
      </c>
      <c r="M1061" s="927"/>
      <c r="N1061" s="927"/>
      <c r="O1061" s="353" t="str">
        <f>IF(LEN($M1061)=1,VLOOKUP(LEFT($M1061,1),B1055:I1062,5,FALSE),IF(LEN($M1061)=2,VLOOKUP(LEFT($M1061,1),B1055:I1062,7,FALSE),""))</f>
        <v/>
      </c>
      <c r="P1061" s="373" t="str">
        <f>IF(LEN($M1061)=1,VLOOKUP(LEFT($M1061,1),B1055:I1062,6,FALSE),IF(LEN($M1061)=2,VLOOKUP(LEFT($M1061,1),B1055:I1062,8,FALSE),""))</f>
        <v/>
      </c>
      <c r="Q1061" s="341" t="s">
        <v>277</v>
      </c>
      <c r="R1061" s="146" t="str">
        <f t="shared" si="945"/>
        <v/>
      </c>
      <c r="S1061" s="927"/>
      <c r="T1061" s="927"/>
      <c r="U1061" s="353" t="str">
        <f>IF(LEN($S1061)=1,VLOOKUP(LEFT($S1061,1),B1055:I1062,5,FALSE),IF(LEN($S1061)=2,VLOOKUP(LEFT($S1061,1),B1055:I1062,7,FALSE),""))</f>
        <v/>
      </c>
      <c r="V1061" s="373" t="str">
        <f>IF(LEN($S1061)=1,VLOOKUP(LEFT($S1061,1),B1055:I1062,6,FALSE),IF(LEN($S1061)=2,VLOOKUP(LEFT($S1061,1),B1055:I1062,8,FALSE),""))</f>
        <v/>
      </c>
      <c r="W1061" s="417">
        <f t="shared" si="952"/>
        <v>2</v>
      </c>
      <c r="Y1061" s="417">
        <v>37</v>
      </c>
      <c r="Z1061" s="16">
        <f t="shared" si="946"/>
        <v>0</v>
      </c>
      <c r="AA1061" s="146">
        <f t="shared" si="947"/>
        <v>0</v>
      </c>
      <c r="AB1061" s="32"/>
      <c r="AC1061" s="16" t="str">
        <f t="shared" si="948"/>
        <v>F</v>
      </c>
      <c r="AD1061" s="419" t="str">
        <f t="shared" si="948"/>
        <v>Tamworth</v>
      </c>
      <c r="AE1061" s="419">
        <f>IF(ISNA(MATCH(AC1061,N1053:N1062,0)),0,VLOOKUP(AC1061,N1053:S1062,5,FALSE))</f>
        <v>0</v>
      </c>
      <c r="AF1061" s="419" t="str">
        <f>IF(ISNA(MATCH(AC1061,T1053:T1062,0))," ",VLOOKUP(AC1061,T1053:Y1062,5,FALSE))</f>
        <v xml:space="preserve"> </v>
      </c>
      <c r="AG1061" s="419">
        <f>IF(ISNA(MATCH(AC1061,L1055:L1062,0)),0,VLOOKUP(AC1061,L1055:N1062,3,FALSE))</f>
        <v>0</v>
      </c>
      <c r="AH1061" s="419">
        <f>IF(ISNA(MATCH(AC1061,R1055:R1062,0)),0,VLOOKUP(AC1061,R1055:T1062,3,FALSE))</f>
        <v>0</v>
      </c>
      <c r="AI1061" s="419">
        <f>IF(ISNA(MATCH(AC1061,L1055:L1062,0)),0,VLOOKUP(AC1061,L1055:P1062,4,FALSE))</f>
        <v>0</v>
      </c>
      <c r="AJ1061" s="419">
        <f>IF(ISNA(MATCH(AC1061,R1055:R1062,0)),0,VLOOKUP(AC1061,R1055:U1062,4,FALSE))</f>
        <v>0</v>
      </c>
      <c r="AK1061" s="32">
        <f t="shared" si="949"/>
        <v>0</v>
      </c>
      <c r="AL1061" s="32">
        <f t="shared" si="950"/>
        <v>0</v>
      </c>
      <c r="AM1061" s="32">
        <f>IF(ISNA(MATCH(AC1061,L1055:L1062,0)),0,VLOOKUP(AC1061,L1055:W1062,AM$1,FALSE))</f>
        <v>0</v>
      </c>
      <c r="AN1061" s="146">
        <f>IF(ISNA(MATCH(AC1061,R1055:R1062,0)),0,VLOOKUP(AC1061,R1055:W1062,AN$1,FALSE))</f>
        <v>0</v>
      </c>
      <c r="AP1061" s="927"/>
      <c r="AQ1061" s="927"/>
    </row>
    <row r="1062" spans="1:47" ht="16.2" thickBot="1" x14ac:dyDescent="0.35">
      <c r="A1062" s="418">
        <f t="shared" si="951"/>
        <v>958</v>
      </c>
      <c r="B1062" s="365" t="str">
        <f>'Event Details'!D$29</f>
        <v>Y</v>
      </c>
      <c r="C1062" s="366" t="str">
        <f>'Event Details'!E$29</f>
        <v>Worcester</v>
      </c>
      <c r="D1062" s="361"/>
      <c r="E1062" s="370"/>
      <c r="F1062" s="367">
        <f>VLOOKUP($B1054,IF($H1054="F",TeamSheetFemale,TeamSheetMale),$Y1062-1,FALSE)</f>
        <v>0</v>
      </c>
      <c r="G1062" s="368">
        <f>VLOOKUP($B1054,IF($H1054="F",TeamSheetFemale,TeamSheetMale),$Y1062,FALSE)</f>
        <v>0</v>
      </c>
      <c r="H1062" s="367">
        <f>VLOOKUP($B1054,IF($H1054="F",TeamSheetFemale,TeamSheetMale),$Y1062+1,FALSE)</f>
        <v>0</v>
      </c>
      <c r="I1062" s="369">
        <f>VLOOKUP($B1054,IF($H1054="F",TeamSheetFemale,TeamSheetMale),$Y1062+2,FALSE)</f>
        <v>0</v>
      </c>
      <c r="K1062" s="346" t="s">
        <v>278</v>
      </c>
      <c r="L1062" s="25" t="str">
        <f t="shared" si="944"/>
        <v/>
      </c>
      <c r="M1062" s="932"/>
      <c r="N1062" s="932"/>
      <c r="O1062" s="375" t="str">
        <f>IF(LEN($M1062)=1,VLOOKUP(LEFT($M1062,1),B1055:I1062,5,FALSE),IF(LEN($M1062)=2,VLOOKUP(LEFT($M1062,1),B1055:I1062,7,FALSE),""))</f>
        <v/>
      </c>
      <c r="P1062" s="376" t="str">
        <f>IF(LEN($M1062)=1,VLOOKUP(LEFT($M1062,1),B1055:I1062,6,FALSE),IF(LEN($M1062)=2,VLOOKUP(LEFT($M1062,1),B1055:I1062,8,FALSE),""))</f>
        <v/>
      </c>
      <c r="Q1062" s="346" t="s">
        <v>278</v>
      </c>
      <c r="R1062" s="523" t="str">
        <f t="shared" si="945"/>
        <v/>
      </c>
      <c r="S1062" s="932"/>
      <c r="T1062" s="932"/>
      <c r="U1062" s="375" t="str">
        <f>IF(LEN($S1062)=1,VLOOKUP(LEFT($S1062,1),B1055:I1062,5,FALSE),IF(LEN($S1062)=2,VLOOKUP(LEFT($S1062,1),B1055:I1062,7,FALSE),""))</f>
        <v/>
      </c>
      <c r="V1062" s="376" t="str">
        <f>IF(LEN($S1062)=1,VLOOKUP(LEFT($S1062,1),B1055:I1062,6,FALSE),IF(LEN($S1062)=2,VLOOKUP(LEFT($S1062,1),B1055:I1062,8,FALSE),""))</f>
        <v/>
      </c>
      <c r="W1062" s="418">
        <f t="shared" si="952"/>
        <v>1</v>
      </c>
      <c r="Y1062" s="418">
        <v>42</v>
      </c>
      <c r="Z1062" s="25">
        <f t="shared" si="946"/>
        <v>0</v>
      </c>
      <c r="AA1062" s="523">
        <f t="shared" si="947"/>
        <v>0</v>
      </c>
      <c r="AB1062" s="32"/>
      <c r="AC1062" s="25" t="str">
        <f t="shared" si="948"/>
        <v>Y</v>
      </c>
      <c r="AD1062" s="624" t="str">
        <f t="shared" si="948"/>
        <v>Worcester</v>
      </c>
      <c r="AE1062" s="624">
        <f>IF(ISNA(MATCH(AC1062,N1054:N1063,0)),0,VLOOKUP(AC1062,N1054:S1063,5,FALSE))</f>
        <v>0</v>
      </c>
      <c r="AF1062" s="624" t="str">
        <f t="shared" ref="AF1062" si="953">IF(ISNA(MATCH(AC1062,T1054:T1063,0))," ",VLOOKUP(AC1062,T1054:Y1063,5,FALSE))</f>
        <v xml:space="preserve"> </v>
      </c>
      <c r="AG1062" s="624">
        <f>IF(ISNA(MATCH(AC1062,L1055:L1062,0)),0,VLOOKUP(AC1062,L1055:N1062,3,FALSE))</f>
        <v>0</v>
      </c>
      <c r="AH1062" s="624">
        <f>IF(ISNA(MATCH(AC1062,R1055:R1062,0)),0,VLOOKUP(AC1062,R1055:T1062,3,FALSE))</f>
        <v>0</v>
      </c>
      <c r="AI1062" s="624">
        <f>IF(ISNA(MATCH(AC1062,L1055:L1062,0)),0,VLOOKUP(AC1062,L1055:P1062,4,FALSE))</f>
        <v>0</v>
      </c>
      <c r="AJ1062" s="624">
        <f>IF(ISNA(MATCH(AC1062,R1055:R1062,0)),0,VLOOKUP(AC1062,R1055:U1062,4,FALSE))</f>
        <v>0</v>
      </c>
      <c r="AK1062" s="116">
        <f t="shared" si="949"/>
        <v>0</v>
      </c>
      <c r="AL1062" s="116">
        <f t="shared" si="950"/>
        <v>0</v>
      </c>
      <c r="AM1062" s="116">
        <f>IF(ISNA(MATCH(AC1062,L1055:L1062,0)),0,VLOOKUP(AC1062,L1055:W1062,AM$1,FALSE))</f>
        <v>0</v>
      </c>
      <c r="AN1062" s="523">
        <f>IF(ISNA(MATCH(AC1062,R1055:R1062,0)),0,VLOOKUP(AC1062,R1055:W1062,AN$1,FALSE))</f>
        <v>0</v>
      </c>
      <c r="AP1062" s="932"/>
      <c r="AQ1062" s="932"/>
    </row>
    <row r="1063" spans="1:47" ht="15" thickBot="1" x14ac:dyDescent="0.35">
      <c r="K1063" s="1207" t="s">
        <v>280</v>
      </c>
      <c r="M1063" s="276"/>
      <c r="N1063" s="276"/>
      <c r="S1063" s="276"/>
      <c r="T1063" s="276"/>
      <c r="AP1063" s="276"/>
      <c r="AQ1063" s="276"/>
    </row>
    <row r="1064" spans="1:47" x14ac:dyDescent="0.3">
      <c r="B1064" s="400" t="s">
        <v>258</v>
      </c>
      <c r="C1064" s="398"/>
      <c r="D1064" s="401" t="s">
        <v>165</v>
      </c>
      <c r="E1064" s="398"/>
      <c r="F1064" s="398"/>
      <c r="G1064" s="402" t="s">
        <v>259</v>
      </c>
      <c r="H1064" s="403" t="s">
        <v>249</v>
      </c>
      <c r="I1064" s="404" t="s">
        <v>168</v>
      </c>
      <c r="K1064" s="360"/>
      <c r="L1064" s="661"/>
      <c r="M1064" s="387" t="s">
        <v>260</v>
      </c>
      <c r="N1064" s="387" t="s">
        <v>261</v>
      </c>
      <c r="O1064" s="387" t="s">
        <v>262</v>
      </c>
      <c r="P1064" s="388" t="s">
        <v>75</v>
      </c>
      <c r="Q1064" s="412"/>
      <c r="R1064" s="657"/>
      <c r="S1064" s="387" t="s">
        <v>260</v>
      </c>
      <c r="T1064" s="387" t="s">
        <v>261</v>
      </c>
      <c r="U1064" s="387" t="s">
        <v>262</v>
      </c>
      <c r="V1064" s="388" t="s">
        <v>75</v>
      </c>
      <c r="W1064" s="672" t="s">
        <v>76</v>
      </c>
      <c r="Y1064" s="654" t="s">
        <v>263</v>
      </c>
      <c r="Z1064" s="656" t="s">
        <v>74</v>
      </c>
      <c r="AA1064" s="657" t="s">
        <v>75</v>
      </c>
      <c r="AC1064" s="665" t="s">
        <v>71</v>
      </c>
      <c r="AD1064" s="657" t="s">
        <v>86</v>
      </c>
      <c r="AE1064" s="661" t="s">
        <v>149</v>
      </c>
      <c r="AF1064" s="661" t="s">
        <v>94</v>
      </c>
      <c r="AG1064" s="661" t="s">
        <v>149</v>
      </c>
      <c r="AH1064" s="661" t="s">
        <v>94</v>
      </c>
      <c r="AI1064" s="661" t="s">
        <v>149</v>
      </c>
      <c r="AJ1064" s="661" t="s">
        <v>94</v>
      </c>
      <c r="AK1064" s="1332" t="s">
        <v>149</v>
      </c>
      <c r="AL1064" s="661" t="s">
        <v>94</v>
      </c>
      <c r="AM1064" s="1406" t="s">
        <v>76</v>
      </c>
      <c r="AN1064" s="1407"/>
      <c r="AP1064" s="387" t="s">
        <v>260</v>
      </c>
      <c r="AQ1064" s="387" t="s">
        <v>261</v>
      </c>
      <c r="AS1064" s="1218" t="s">
        <v>165</v>
      </c>
      <c r="AT1064" s="1219" t="s">
        <v>79</v>
      </c>
      <c r="AU1064" s="1220" t="s">
        <v>80</v>
      </c>
    </row>
    <row r="1065" spans="1:47" ht="15" thickBot="1" x14ac:dyDescent="0.35">
      <c r="B1065" s="405">
        <v>96</v>
      </c>
      <c r="C1065" s="399"/>
      <c r="D1065" s="385" t="str">
        <f>VLOOKUP($B1065,EventOrder,6,FALSE)</f>
        <v>800m (U18/U20) Female</v>
      </c>
      <c r="E1065" s="399"/>
      <c r="F1065" s="385"/>
      <c r="G1065" s="386" t="str">
        <f>VLOOKUP($B1065,EventOrder,4,FALSE)</f>
        <v>U18 Female</v>
      </c>
      <c r="H1065" s="396" t="str">
        <f>IF(MID(G1065,5,1)="F","F","M")</f>
        <v>F</v>
      </c>
      <c r="I1065" s="397">
        <f>VLOOKUP($B1065,EventOrder,2,FALSE)</f>
        <v>1.2</v>
      </c>
      <c r="K1065" s="372"/>
      <c r="L1065" s="667" t="s">
        <v>149</v>
      </c>
      <c r="M1065" s="409" t="s">
        <v>264</v>
      </c>
      <c r="N1065" s="409" t="s">
        <v>265</v>
      </c>
      <c r="O1065" s="409" t="s">
        <v>266</v>
      </c>
      <c r="P1065" s="408"/>
      <c r="Q1065" s="413"/>
      <c r="R1065" s="659" t="s">
        <v>94</v>
      </c>
      <c r="S1065" s="409" t="s">
        <v>264</v>
      </c>
      <c r="T1065" s="409" t="s">
        <v>265</v>
      </c>
      <c r="U1065" s="409" t="s">
        <v>266</v>
      </c>
      <c r="V1065" s="408"/>
      <c r="W1065" s="671"/>
      <c r="Y1065" s="655" t="s">
        <v>167</v>
      </c>
      <c r="Z1065" s="658" t="s">
        <v>149</v>
      </c>
      <c r="AA1065" s="659" t="s">
        <v>94</v>
      </c>
      <c r="AC1065" s="666"/>
      <c r="AD1065" s="668"/>
      <c r="AE1065" s="768" t="s">
        <v>75</v>
      </c>
      <c r="AF1065" s="768" t="s">
        <v>75</v>
      </c>
      <c r="AG1065" s="768" t="s">
        <v>267</v>
      </c>
      <c r="AH1065" s="768" t="s">
        <v>267</v>
      </c>
      <c r="AI1065" s="768" t="s">
        <v>268</v>
      </c>
      <c r="AJ1065" s="768" t="s">
        <v>268</v>
      </c>
      <c r="AK1065" s="770" t="s">
        <v>269</v>
      </c>
      <c r="AL1065" s="768" t="s">
        <v>269</v>
      </c>
      <c r="AM1065" s="667" t="s">
        <v>149</v>
      </c>
      <c r="AN1065" s="659" t="s">
        <v>94</v>
      </c>
      <c r="AP1065" s="409" t="s">
        <v>264</v>
      </c>
      <c r="AQ1065" s="409" t="s">
        <v>265</v>
      </c>
      <c r="AS1065" s="1221" t="s">
        <v>270</v>
      </c>
      <c r="AT1065" s="1222" t="s">
        <v>270</v>
      </c>
      <c r="AU1065" s="1223" t="s">
        <v>270</v>
      </c>
    </row>
    <row r="1066" spans="1:47" ht="15.6" x14ac:dyDescent="0.3">
      <c r="A1066" s="416">
        <f>(B1065*10)+1</f>
        <v>961</v>
      </c>
      <c r="B1066" s="362" t="str">
        <f>'Event Details'!D$22</f>
        <v>S</v>
      </c>
      <c r="C1066" s="381" t="str">
        <f>'Event Details'!E$22</f>
        <v>BRAT</v>
      </c>
      <c r="D1066" s="379"/>
      <c r="E1066" s="378"/>
      <c r="F1066" s="363">
        <f>VLOOKUP($B1065,IF($H1065="F",TeamSheetFemale,TeamSheetMale),$Y1066-1,FALSE)</f>
        <v>0</v>
      </c>
      <c r="G1066" s="380">
        <f>VLOOKUP($B1065,IF($H1065="F",TeamSheetFemale,TeamSheetMale),$Y1066,FALSE)</f>
        <v>0</v>
      </c>
      <c r="H1066" s="363">
        <f>VLOOKUP($B1065,IF($H1065="F",TeamSheetFemale,TeamSheetMale),$Y1066+1,FALSE)</f>
        <v>0</v>
      </c>
      <c r="I1066" s="364">
        <f>VLOOKUP($B1065,IF($H1065="F",TeamSheetFemale,TeamSheetMale),$Y1066+2,FALSE)</f>
        <v>0</v>
      </c>
      <c r="K1066" s="393" t="s">
        <v>271</v>
      </c>
      <c r="L1066" s="16" t="str">
        <f t="shared" ref="L1066:L1073" si="954">LEFT(M1066,1)</f>
        <v/>
      </c>
      <c r="M1066" s="926"/>
      <c r="N1066" s="926"/>
      <c r="O1066" s="394" t="str">
        <f>IF(LEN($M1066)=1,VLOOKUP(LEFT($M1066,1),B1066:I1073,5,FALSE),IF(LEN($M1066)=2,VLOOKUP(LEFT($M1066,1),B1066:I1073,7,FALSE),""))</f>
        <v/>
      </c>
      <c r="P1066" s="395" t="str">
        <f>IF(LEN($M1066)=1,VLOOKUP(LEFT($M1066,1),B1066:I1073,6,FALSE),IF(LEN($M1066)=2,VLOOKUP(LEFT($M1066,1),B1066:I1073,8,FALSE),""))</f>
        <v/>
      </c>
      <c r="Q1066" s="406" t="s">
        <v>271</v>
      </c>
      <c r="R1066" s="146" t="str">
        <f t="shared" ref="R1066:R1073" si="955">LEFT(S1066,1)</f>
        <v/>
      </c>
      <c r="S1066" s="926"/>
      <c r="T1066" s="926"/>
      <c r="U1066" s="394" t="str">
        <f>IF(LEN($S1066)=1,VLOOKUP(LEFT($S1066,1),B1066:I1073,5,FALSE),IF(LEN($S1066)=2,VLOOKUP(LEFT($S1066,1),B1066:I1073,7,FALSE),""))</f>
        <v/>
      </c>
      <c r="V1066" s="395" t="str">
        <f>IF(LEN($S1066)=1,VLOOKUP(LEFT($S1066,1),B1066:I1073,6,FALSE),IF(LEN($S1066)=2,VLOOKUP(LEFT($S1066,1),B1066:I1073,8,FALSE),""))</f>
        <v/>
      </c>
      <c r="W1066" s="417">
        <f>AN$6</f>
        <v>8</v>
      </c>
      <c r="Y1066" s="653">
        <v>7</v>
      </c>
      <c r="Z1066" s="653">
        <f t="shared" ref="Z1066:Z1073" si="956">IF(LEN(M1066)&gt;0,VLOOKUP(LEFT(M1066,1),ShortName,5,FALSE),0)</f>
        <v>0</v>
      </c>
      <c r="AA1066" s="138">
        <f t="shared" ref="AA1066:AA1073" si="957">IF(LEN(S1066)&gt;0,VLOOKUP(LEFT(S1066,1),ShortName,5,FALSE),0)</f>
        <v>0</v>
      </c>
      <c r="AC1066" s="16" t="str">
        <f t="shared" ref="AC1066:AD1073" si="958">B1066</f>
        <v>S</v>
      </c>
      <c r="AD1066" s="419" t="str">
        <f t="shared" si="958"/>
        <v>BRAT</v>
      </c>
      <c r="AE1066" s="635">
        <f>IF(ISNA(MATCH(AC1066,N1066:N1075,0)),0,VLOOKUP(AC1066,N1066:S1075,5,FALSE))</f>
        <v>0</v>
      </c>
      <c r="AF1066" s="635" t="str">
        <f>IF(ISNA(MATCH(AC1066,T1066:T1075,0))," ",VLOOKUP(AC1066,T1066:Y1075,5,FALSE))</f>
        <v xml:space="preserve"> </v>
      </c>
      <c r="AG1066" s="635">
        <f>IF(ISNA(MATCH(AC1066,L1066:L1073,0)),0,VLOOKUP(AC1066,L1066:N1073,3,FALSE))</f>
        <v>0</v>
      </c>
      <c r="AH1066" s="635">
        <f>IF(ISNA(MATCH(AC1066,R1066:R1073,0)),0,VLOOKUP(AC1066,R1066:T1073,3,FALSE))</f>
        <v>0</v>
      </c>
      <c r="AI1066" s="635">
        <f>IF(ISNA(MATCH(AC1066,L1066:L1073,0)),0,VLOOKUP(AC1066,L1066:P1073,4,FALSE))</f>
        <v>0</v>
      </c>
      <c r="AJ1066" s="635">
        <f>IF(ISNA(MATCH(AC1066,R1066:R1073,0)),0,VLOOKUP(AC1066,R1066:U1073,4,FALSE))</f>
        <v>0</v>
      </c>
      <c r="AK1066" s="49">
        <f t="shared" ref="AK1066:AK1073" si="959">IF(AM1066=0,0,AN$6-(AM1066-1))</f>
        <v>0</v>
      </c>
      <c r="AL1066" s="49">
        <f t="shared" ref="AL1066:AL1073" si="960">IF(AN1066=0,0,AN$6-(AN1066-1))</f>
        <v>0</v>
      </c>
      <c r="AM1066" s="49">
        <f>IF(ISNA(MATCH(AC1066,L1066:L1073,0)),0,VLOOKUP(AC1066,L1066:W1073,AM$1,FALSE))</f>
        <v>0</v>
      </c>
      <c r="AN1066" s="138">
        <f>IF(ISNA(MATCH(AC1066,R1066:R1073,0)),0,VLOOKUP(AC1066,R1066:W1073,AN$1,FALSE))</f>
        <v>0</v>
      </c>
      <c r="AP1066" s="926"/>
      <c r="AQ1066" s="926"/>
      <c r="AS1066" s="32">
        <f>IF(LEN(N1066)&gt;0,1,0)</f>
        <v>0</v>
      </c>
      <c r="AT1066" s="32">
        <f>IF(AND(AS1066=1,H1065="M"),1,0)</f>
        <v>0</v>
      </c>
      <c r="AU1066" s="32">
        <f>IF(AND(AS1066=1,H1065="F"),1,0)</f>
        <v>0</v>
      </c>
    </row>
    <row r="1067" spans="1:47" ht="15.6" x14ac:dyDescent="0.3">
      <c r="A1067" s="417">
        <f>A1066+1</f>
        <v>962</v>
      </c>
      <c r="B1067" s="362" t="str">
        <f>'Event Details'!D$23</f>
        <v>U</v>
      </c>
      <c r="C1067" s="381" t="str">
        <f>'Event Details'!E$23</f>
        <v>Kidder &amp; Stourport</v>
      </c>
      <c r="D1067" s="379"/>
      <c r="E1067" s="378"/>
      <c r="F1067" s="363">
        <f>VLOOKUP($B1065,IF($H1065="F",TeamSheetFemale,TeamSheetMale),$Y1067-1,FALSE)</f>
        <v>0</v>
      </c>
      <c r="G1067" s="380">
        <f>VLOOKUP($B1065,IF($H1065="F",TeamSheetFemale,TeamSheetMale),$Y1067,FALSE)</f>
        <v>0</v>
      </c>
      <c r="H1067" s="363">
        <f>VLOOKUP($B1065,IF($H1065="F",TeamSheetFemale,TeamSheetMale),$Y1067+1,FALSE)</f>
        <v>0</v>
      </c>
      <c r="I1067" s="364">
        <f>VLOOKUP($B1065,IF($H1065="F",TeamSheetFemale,TeamSheetMale),$Y1067+2,FALSE)</f>
        <v>0</v>
      </c>
      <c r="K1067" s="341" t="s">
        <v>272</v>
      </c>
      <c r="L1067" s="16" t="str">
        <f t="shared" si="954"/>
        <v/>
      </c>
      <c r="M1067" s="927"/>
      <c r="N1067" s="927"/>
      <c r="O1067" s="354" t="str">
        <f>IF(LEN($M1067)=1,VLOOKUP(LEFT($M1067,1),B1066:I1073,5,FALSE),IF(LEN($M1067)=2,VLOOKUP(LEFT($M1067,1),B1066:I1073,7,FALSE),""))</f>
        <v/>
      </c>
      <c r="P1067" s="410" t="str">
        <f>IF(LEN($M1067)=1,VLOOKUP(LEFT($M1067,1),B1066:I1073,6,FALSE),IF(LEN($M1067)=2,VLOOKUP(LEFT($M1067,1),B1066:I1073,8,FALSE),""))</f>
        <v/>
      </c>
      <c r="Q1067" s="371" t="s">
        <v>272</v>
      </c>
      <c r="R1067" s="146" t="str">
        <f t="shared" si="955"/>
        <v/>
      </c>
      <c r="S1067" s="927"/>
      <c r="T1067" s="927"/>
      <c r="U1067" s="354" t="str">
        <f>IF(LEN($S1067)=1,VLOOKUP(LEFT($S1067,1),B1066:I1073,5,FALSE),IF(LEN($S1067)=2,VLOOKUP(LEFT($S1067,1),B1066:I1073,7,FALSE),""))</f>
        <v/>
      </c>
      <c r="V1067" s="410" t="str">
        <f>IF(LEN($S1067)=1,VLOOKUP(LEFT($S1067,1),B1066:I1073,6,FALSE),IF(LEN($S1067)=2,VLOOKUP(LEFT($S1067,1),B1066:I1073,8,FALSE),""))</f>
        <v/>
      </c>
      <c r="W1067" s="417">
        <f>W1066-1</f>
        <v>7</v>
      </c>
      <c r="Y1067" s="16">
        <v>12</v>
      </c>
      <c r="Z1067" s="16">
        <f t="shared" si="956"/>
        <v>0</v>
      </c>
      <c r="AA1067" s="146">
        <f t="shared" si="957"/>
        <v>0</v>
      </c>
      <c r="AC1067" s="16" t="str">
        <f t="shared" si="958"/>
        <v>U</v>
      </c>
      <c r="AD1067" s="419" t="str">
        <f t="shared" si="958"/>
        <v>Kidder &amp; Stourport</v>
      </c>
      <c r="AE1067" s="419">
        <f>IF(ISNA(MATCH(AC1067,N1066:N1075,0)),0,VLOOKUP(AC1067,N1066:S1075,5,FALSE))</f>
        <v>0</v>
      </c>
      <c r="AF1067" s="419" t="str">
        <f>IF(ISNA(MATCH(AC1067,T1066:T1075,0))," ",VLOOKUP(AC1067,T1066:Y1075,5,FALSE))</f>
        <v xml:space="preserve"> </v>
      </c>
      <c r="AG1067" s="419">
        <f>IF(ISNA(MATCH(AC1067,L1066:L1073,0)),0,VLOOKUP(AC1067,L1066:N1073,3,FALSE))</f>
        <v>0</v>
      </c>
      <c r="AH1067" s="419">
        <f>IF(ISNA(MATCH(AC1067,R1066:R1073,0)),0,VLOOKUP(AC1067,R1066:T1073,3,FALSE))</f>
        <v>0</v>
      </c>
      <c r="AI1067" s="419">
        <f>IF(ISNA(MATCH(AC1067,L1066:L1073,0)),0,VLOOKUP(AC1067,L1066:P1073,4,FALSE))</f>
        <v>0</v>
      </c>
      <c r="AJ1067" s="419">
        <f>IF(ISNA(MATCH(AC1067,R1066:R1073,0)),0,VLOOKUP(AC1067,R1066:U1073,4,FALSE))</f>
        <v>0</v>
      </c>
      <c r="AK1067" s="32">
        <f t="shared" si="959"/>
        <v>0</v>
      </c>
      <c r="AL1067" s="32">
        <f t="shared" si="960"/>
        <v>0</v>
      </c>
      <c r="AM1067" s="32">
        <f>IF(ISNA(MATCH(AC1067,L1066:L1073,0)),0,VLOOKUP(AC1067,L1066:W1073,AM$1,FALSE))</f>
        <v>0</v>
      </c>
      <c r="AN1067" s="146">
        <f>IF(ISNA(MATCH(AC1067,R1066:R1073,0)),0,VLOOKUP(AC1067,R1066:W1073,AN$1,FALSE))</f>
        <v>0</v>
      </c>
      <c r="AP1067" s="927"/>
      <c r="AQ1067" s="927"/>
    </row>
    <row r="1068" spans="1:47" ht="15.6" x14ac:dyDescent="0.3">
      <c r="A1068" s="417">
        <f t="shared" ref="A1068:A1073" si="961">A1067+1</f>
        <v>963</v>
      </c>
      <c r="B1068" s="362" t="str">
        <f>'Event Details'!D$24</f>
        <v>G</v>
      </c>
      <c r="C1068" s="381" t="str">
        <f>'Event Details'!E$24</f>
        <v>Royal Sutton</v>
      </c>
      <c r="D1068" s="379"/>
      <c r="E1068" s="378"/>
      <c r="F1068" s="363">
        <f>VLOOKUP($B1065,IF($H1065="F",TeamSheetFemale,TeamSheetMale),$Y1068-1,FALSE)</f>
        <v>0</v>
      </c>
      <c r="G1068" s="380">
        <f>VLOOKUP($B1065,IF($H1065="F",TeamSheetFemale,TeamSheetMale),$Y1068,FALSE)</f>
        <v>0</v>
      </c>
      <c r="H1068" s="363">
        <f>VLOOKUP($B1065,IF($H1065="F",TeamSheetFemale,TeamSheetMale),$Y1068+1,FALSE)</f>
        <v>0</v>
      </c>
      <c r="I1068" s="364">
        <f>VLOOKUP($B1065,IF($H1065="F",TeamSheetFemale,TeamSheetMale),$Y1068+2,FALSE)</f>
        <v>0</v>
      </c>
      <c r="K1068" s="341" t="s">
        <v>273</v>
      </c>
      <c r="L1068" s="16" t="str">
        <f t="shared" si="954"/>
        <v/>
      </c>
      <c r="M1068" s="927"/>
      <c r="N1068" s="927"/>
      <c r="O1068" s="354" t="str">
        <f>IF(LEN($M1068)=1,VLOOKUP(LEFT($M1068,1),B1066:I1073,5,FALSE),IF(LEN($M1068)=2,VLOOKUP(LEFT($M1068,1),B1066:I1073,7,FALSE),""))</f>
        <v/>
      </c>
      <c r="P1068" s="410" t="str">
        <f>IF(LEN($M1068)=1,VLOOKUP(LEFT($M1068,1),B1066:I1073,6,FALSE),IF(LEN($M1068)=2,VLOOKUP(LEFT($M1068,1),B1066:I1073,8,FALSE),""))</f>
        <v/>
      </c>
      <c r="Q1068" s="371" t="s">
        <v>273</v>
      </c>
      <c r="R1068" s="146" t="str">
        <f t="shared" si="955"/>
        <v/>
      </c>
      <c r="S1068" s="927"/>
      <c r="T1068" s="927"/>
      <c r="U1068" s="354" t="str">
        <f>IF(LEN($S1068)=1,VLOOKUP(LEFT($S1068,1),B1066:I1073,5,FALSE),IF(LEN($S1068)=2,VLOOKUP(LEFT($S1068,1),B1066:I1073,7,FALSE),""))</f>
        <v/>
      </c>
      <c r="V1068" s="410" t="str">
        <f>IF(LEN($S1068)=1,VLOOKUP(LEFT($S1068,1),B1066:I1073,6,FALSE),IF(LEN($S1068)=2,VLOOKUP(LEFT($S1068,1),B1066:I1073,8,FALSE),""))</f>
        <v/>
      </c>
      <c r="W1068" s="417">
        <f t="shared" ref="W1068:W1073" si="962">W1067-1</f>
        <v>6</v>
      </c>
      <c r="Y1068" s="16">
        <v>17</v>
      </c>
      <c r="Z1068" s="16">
        <f t="shared" si="956"/>
        <v>0</v>
      </c>
      <c r="AA1068" s="146">
        <f t="shared" si="957"/>
        <v>0</v>
      </c>
      <c r="AC1068" s="16" t="str">
        <f t="shared" si="958"/>
        <v>G</v>
      </c>
      <c r="AD1068" s="419" t="str">
        <f t="shared" si="958"/>
        <v>Royal Sutton</v>
      </c>
      <c r="AE1068" s="419">
        <f>IF(ISNA(MATCH(AC1068,N1066:N1075,0)),0,VLOOKUP(AC1068,N1066:S1075,5,FALSE))</f>
        <v>0</v>
      </c>
      <c r="AF1068" s="419" t="str">
        <f>IF(ISNA(MATCH(AC1068,T1066:T1075,0))," ",VLOOKUP(AC1068,T1066:Y1075,5,FALSE))</f>
        <v xml:space="preserve"> </v>
      </c>
      <c r="AG1068" s="419">
        <f>IF(ISNA(MATCH(AC1068,L1066:L1073,0)),0,VLOOKUP(AC1068,L1066:N1073,3,FALSE))</f>
        <v>0</v>
      </c>
      <c r="AH1068" s="419">
        <f>IF(ISNA(MATCH(AC1068,R1066:R1073,0)),0,VLOOKUP(AC1068,R1066:T1073,3,FALSE))</f>
        <v>0</v>
      </c>
      <c r="AI1068" s="419">
        <f>IF(ISNA(MATCH(AC1068,L1066:L1073,0)),0,VLOOKUP(AC1068,L1066:P1073,4,FALSE))</f>
        <v>0</v>
      </c>
      <c r="AJ1068" s="419">
        <f>IF(ISNA(MATCH(AC1068,R1066:R1073,0)),0,VLOOKUP(AC1068,R1066:U1073,4,FALSE))</f>
        <v>0</v>
      </c>
      <c r="AK1068" s="32">
        <f t="shared" si="959"/>
        <v>0</v>
      </c>
      <c r="AL1068" s="32">
        <f t="shared" si="960"/>
        <v>0</v>
      </c>
      <c r="AM1068" s="32">
        <f>IF(ISNA(MATCH(AC1068,L1066:L1073,0)),0,VLOOKUP(AC1068,L1066:W1073,AM$1,FALSE))</f>
        <v>0</v>
      </c>
      <c r="AN1068" s="146">
        <f>IF(ISNA(MATCH(AC1068,R1066:R1073,0)),0,VLOOKUP(AC1068,R1066:W1073,AN$1,FALSE))</f>
        <v>0</v>
      </c>
      <c r="AP1068" s="927"/>
      <c r="AQ1068" s="927"/>
    </row>
    <row r="1069" spans="1:47" ht="15.6" x14ac:dyDescent="0.3">
      <c r="A1069" s="417">
        <f t="shared" si="961"/>
        <v>964</v>
      </c>
      <c r="B1069" s="362" t="str">
        <f>'Event Details'!D$25</f>
        <v>R</v>
      </c>
      <c r="C1069" s="381" t="str">
        <f>'Event Details'!E$25</f>
        <v>Rugby &amp; N'hampton</v>
      </c>
      <c r="D1069" s="379"/>
      <c r="E1069" s="378"/>
      <c r="F1069" s="363">
        <f>VLOOKUP($B1065,IF($H1065="F",TeamSheetFemale,TeamSheetMale),$Y1069-1,FALSE)</f>
        <v>0</v>
      </c>
      <c r="G1069" s="380">
        <f>VLOOKUP($B1065,IF($H1065="F",TeamSheetFemale,TeamSheetMale),$Y1069,FALSE)</f>
        <v>0</v>
      </c>
      <c r="H1069" s="363">
        <f>VLOOKUP($B1065,IF($H1065="F",TeamSheetFemale,TeamSheetMale),$Y1069+1,FALSE)</f>
        <v>0</v>
      </c>
      <c r="I1069" s="364">
        <f>VLOOKUP($B1065,IF($H1065="F",TeamSheetFemale,TeamSheetMale),$Y1069+2,FALSE)</f>
        <v>0</v>
      </c>
      <c r="K1069" s="341" t="s">
        <v>274</v>
      </c>
      <c r="L1069" s="16" t="str">
        <f t="shared" si="954"/>
        <v/>
      </c>
      <c r="M1069" s="927"/>
      <c r="N1069" s="927"/>
      <c r="O1069" s="354" t="str">
        <f>IF(LEN($M1069)=1,VLOOKUP(LEFT($M1069,1),B1066:I1073,5,FALSE),IF(LEN($M1069)=2,VLOOKUP(LEFT($M1069,1),B1066:I1073,7,FALSE),""))</f>
        <v/>
      </c>
      <c r="P1069" s="410" t="str">
        <f>IF(LEN($M1069)=1,VLOOKUP(LEFT($M1069,1),B1066:I1073,6,FALSE),IF(LEN($M1069)=2,VLOOKUP(LEFT($M1069,1),B1066:I1073,8,FALSE),""))</f>
        <v/>
      </c>
      <c r="Q1069" s="371" t="s">
        <v>274</v>
      </c>
      <c r="R1069" s="146" t="str">
        <f t="shared" si="955"/>
        <v/>
      </c>
      <c r="S1069" s="927"/>
      <c r="T1069" s="927"/>
      <c r="U1069" s="354" t="str">
        <f>IF(LEN($S1069)=1,VLOOKUP(LEFT($S1069,1),B1066:I1073,5,FALSE),IF(LEN($S1069)=2,VLOOKUP(LEFT($S1069,1),B1066:I1073,7,FALSE),""))</f>
        <v/>
      </c>
      <c r="V1069" s="410" t="str">
        <f>IF(LEN($S1069)=1,VLOOKUP(LEFT($S1069,1),B1066:I1073,6,FALSE),IF(LEN($S1069)=2,VLOOKUP(LEFT($S1069,1),B1066:I1073,8,FALSE),""))</f>
        <v/>
      </c>
      <c r="W1069" s="417">
        <f t="shared" si="962"/>
        <v>5</v>
      </c>
      <c r="Y1069" s="16">
        <v>22</v>
      </c>
      <c r="Z1069" s="16">
        <f t="shared" si="956"/>
        <v>0</v>
      </c>
      <c r="AA1069" s="146">
        <f t="shared" si="957"/>
        <v>0</v>
      </c>
      <c r="AC1069" s="16" t="str">
        <f t="shared" si="958"/>
        <v>R</v>
      </c>
      <c r="AD1069" s="419" t="str">
        <f t="shared" si="958"/>
        <v>Rugby &amp; N'hampton</v>
      </c>
      <c r="AE1069" s="419">
        <f>IF(ISNA(MATCH(AC1069,N1066:N1075,0)),0,VLOOKUP(AC1069,N1066:S1075,5,FALSE))</f>
        <v>0</v>
      </c>
      <c r="AF1069" s="419" t="str">
        <f>IF(ISNA(MATCH(AC1069,T1066:T1075,0))," ",VLOOKUP(AC1069,T1066:Y1075,5,FALSE))</f>
        <v xml:space="preserve"> </v>
      </c>
      <c r="AG1069" s="419">
        <f>IF(ISNA(MATCH(AC1069,L1066:L1073,0)),0,VLOOKUP(AC1069,L1066:N1073,3,FALSE))</f>
        <v>0</v>
      </c>
      <c r="AH1069" s="419">
        <f>IF(ISNA(MATCH(AC1069,R1066:R1073,0)),0,VLOOKUP(AC1069,R1066:T1073,3,FALSE))</f>
        <v>0</v>
      </c>
      <c r="AI1069" s="419">
        <f>IF(ISNA(MATCH(AC1069,L1066:L1073,0)),0,VLOOKUP(AC1069,L1066:P1073,4,FALSE))</f>
        <v>0</v>
      </c>
      <c r="AJ1069" s="419">
        <f>IF(ISNA(MATCH(AC1069,R1066:R1073,0)),0,VLOOKUP(AC1069,R1066:U1073,4,FALSE))</f>
        <v>0</v>
      </c>
      <c r="AK1069" s="32">
        <f t="shared" si="959"/>
        <v>0</v>
      </c>
      <c r="AL1069" s="32">
        <f t="shared" si="960"/>
        <v>0</v>
      </c>
      <c r="AM1069" s="32">
        <f>IF(ISNA(MATCH(AC1069,L1066:L1073,0)),0,VLOOKUP(AC1069,L1066:W1073,AM$1,FALSE))</f>
        <v>0</v>
      </c>
      <c r="AN1069" s="146">
        <f>IF(ISNA(MATCH(AC1069,R1066:R1073,0)),0,VLOOKUP(AC1069,R1066:W1073,AN$1,FALSE))</f>
        <v>0</v>
      </c>
      <c r="AP1069" s="927"/>
      <c r="AQ1069" s="927"/>
    </row>
    <row r="1070" spans="1:47" ht="15.6" x14ac:dyDescent="0.3">
      <c r="A1070" s="417">
        <f t="shared" si="961"/>
        <v>965</v>
      </c>
      <c r="B1070" s="362" t="str">
        <f>'Event Details'!D$26</f>
        <v>M</v>
      </c>
      <c r="C1070" s="381" t="str">
        <f>'Event Details'!E$26</f>
        <v>Solihull &amp; S.Heath</v>
      </c>
      <c r="D1070" s="379"/>
      <c r="E1070" s="378"/>
      <c r="F1070" s="363">
        <f>VLOOKUP($B1065,IF($H1065="F",TeamSheetFemale,TeamSheetMale),$Y1070-1,FALSE)</f>
        <v>0</v>
      </c>
      <c r="G1070" s="380">
        <f>VLOOKUP($B1065,IF($H1065="F",TeamSheetFemale,TeamSheetMale),$Y1070,FALSE)</f>
        <v>0</v>
      </c>
      <c r="H1070" s="363">
        <f>VLOOKUP($B1065,IF($H1065="F",TeamSheetFemale,TeamSheetMale),$Y1070+1,FALSE)</f>
        <v>0</v>
      </c>
      <c r="I1070" s="364">
        <f>VLOOKUP($B1065,IF($H1065="F",TeamSheetFemale,TeamSheetMale),$Y1070+2,FALSE)</f>
        <v>0</v>
      </c>
      <c r="K1070" s="341" t="s">
        <v>275</v>
      </c>
      <c r="L1070" s="16" t="str">
        <f t="shared" si="954"/>
        <v/>
      </c>
      <c r="M1070" s="927"/>
      <c r="N1070" s="927"/>
      <c r="O1070" s="354" t="str">
        <f>IF(LEN($M1070)=1,VLOOKUP(LEFT($M1070,1),B1066:I1073,5,FALSE),IF(LEN($M1070)=2,VLOOKUP(LEFT($M1070,1),B1066:I1073,7,FALSE),""))</f>
        <v/>
      </c>
      <c r="P1070" s="410" t="str">
        <f>IF(LEN($M1070)=1,VLOOKUP(LEFT($M1070,1),B1066:I1073,6,FALSE),IF(LEN($M1070)=2,VLOOKUP(LEFT($M1070,1),B1066:I1073,8,FALSE),""))</f>
        <v/>
      </c>
      <c r="Q1070" s="371" t="s">
        <v>275</v>
      </c>
      <c r="R1070" s="146" t="str">
        <f t="shared" si="955"/>
        <v/>
      </c>
      <c r="S1070" s="927"/>
      <c r="T1070" s="927"/>
      <c r="U1070" s="354" t="str">
        <f>IF(LEN($S1070)=1,VLOOKUP(LEFT($S1070,1),B1066:I1073,5,FALSE),IF(LEN($S1070)=2,VLOOKUP(LEFT($S1070,1),B1066:I1073,7,FALSE),""))</f>
        <v/>
      </c>
      <c r="V1070" s="410" t="str">
        <f>IF(LEN($S1070)=1,VLOOKUP(LEFT($S1070,1),B1066:I1073,6,FALSE),IF(LEN($S1070)=2,VLOOKUP(LEFT($S1070,1),B1066:I1073,8,FALSE),""))</f>
        <v/>
      </c>
      <c r="W1070" s="417">
        <f t="shared" si="962"/>
        <v>4</v>
      </c>
      <c r="Y1070" s="16">
        <v>27</v>
      </c>
      <c r="Z1070" s="16">
        <f t="shared" si="956"/>
        <v>0</v>
      </c>
      <c r="AA1070" s="146">
        <f t="shared" si="957"/>
        <v>0</v>
      </c>
      <c r="AC1070" s="16" t="str">
        <f t="shared" si="958"/>
        <v>M</v>
      </c>
      <c r="AD1070" s="419" t="str">
        <f t="shared" si="958"/>
        <v>Solihull &amp; S.Heath</v>
      </c>
      <c r="AE1070" s="419">
        <f>IF(ISNA(MATCH(AC1070,N1066:N1075,0)),0,VLOOKUP(AC1070,N1066:S1075,5,FALSE))</f>
        <v>0</v>
      </c>
      <c r="AF1070" s="419" t="str">
        <f>IF(ISNA(MATCH(AC1070,T1066:T1075,0))," ",VLOOKUP(AC1070,T1066:Y1075,5,FALSE))</f>
        <v xml:space="preserve"> </v>
      </c>
      <c r="AG1070" s="419">
        <f>IF(ISNA(MATCH(AC1070,L1066:L1073,0)),0,VLOOKUP(AC1070,L1066:N1073,3,FALSE))</f>
        <v>0</v>
      </c>
      <c r="AH1070" s="419">
        <f>IF(ISNA(MATCH(AC1070,R1066:R1073,0)),0,VLOOKUP(AC1070,R1066:T1073,3,FALSE))</f>
        <v>0</v>
      </c>
      <c r="AI1070" s="419">
        <f>IF(ISNA(MATCH(AC1070,L1066:L1073,0)),0,VLOOKUP(AC1070,L1066:P1073,4,FALSE))</f>
        <v>0</v>
      </c>
      <c r="AJ1070" s="419">
        <f>IF(ISNA(MATCH(AC1070,R1066:R1073,0)),0,VLOOKUP(AC1070,R1066:U1073,4,FALSE))</f>
        <v>0</v>
      </c>
      <c r="AK1070" s="32">
        <f t="shared" si="959"/>
        <v>0</v>
      </c>
      <c r="AL1070" s="32">
        <f t="shared" si="960"/>
        <v>0</v>
      </c>
      <c r="AM1070" s="32">
        <f>IF(ISNA(MATCH(AC1070,L1066:L1073,0)),0,VLOOKUP(AC1070,L1066:W1073,AM$1,FALSE))</f>
        <v>0</v>
      </c>
      <c r="AN1070" s="146">
        <f>IF(ISNA(MATCH(AC1070,R1066:R1073,0)),0,VLOOKUP(AC1070,R1066:W1073,AN$1,FALSE))</f>
        <v>0</v>
      </c>
      <c r="AP1070" s="927"/>
      <c r="AQ1070" s="927"/>
    </row>
    <row r="1071" spans="1:47" ht="15.6" x14ac:dyDescent="0.3">
      <c r="A1071" s="417">
        <f t="shared" si="961"/>
        <v>966</v>
      </c>
      <c r="B1071" s="362" t="str">
        <f>'Event Details'!D$27</f>
        <v>D</v>
      </c>
      <c r="C1071" s="381" t="str">
        <f>'Event Details'!E$27</f>
        <v>Stratford</v>
      </c>
      <c r="D1071" s="379"/>
      <c r="E1071" s="378"/>
      <c r="F1071" s="363">
        <f>VLOOKUP($B1065,IF($H1065="F",TeamSheetFemale,TeamSheetMale),$Y1071-1,FALSE)</f>
        <v>0</v>
      </c>
      <c r="G1071" s="380">
        <f>VLOOKUP($B1065,IF($H1065="F",TeamSheetFemale,TeamSheetMale),$Y1071,FALSE)</f>
        <v>0</v>
      </c>
      <c r="H1071" s="363">
        <f>VLOOKUP($B1065,IF($H1065="F",TeamSheetFemale,TeamSheetMale),$Y1071+1,FALSE)</f>
        <v>0</v>
      </c>
      <c r="I1071" s="364">
        <f>VLOOKUP($B1065,IF($H1065="F",TeamSheetFemale,TeamSheetMale),$Y1071+2,FALSE)</f>
        <v>0</v>
      </c>
      <c r="K1071" s="341" t="s">
        <v>276</v>
      </c>
      <c r="L1071" s="16" t="str">
        <f t="shared" si="954"/>
        <v/>
      </c>
      <c r="M1071" s="927"/>
      <c r="N1071" s="927"/>
      <c r="O1071" s="354" t="str">
        <f>IF(LEN($M1071)=1,VLOOKUP(LEFT($M1071,1),B1066:I1073,5,FALSE),IF(LEN($M1071)=2,VLOOKUP(LEFT($M1071,1),B1066:I1073,7,FALSE),""))</f>
        <v/>
      </c>
      <c r="P1071" s="410" t="str">
        <f>IF(LEN($M1071)=1,VLOOKUP(LEFT($M1071,1),B1066:I1073,6,FALSE),IF(LEN($M1071)=2,VLOOKUP(LEFT($M1071,1),B1066:I1073,8,FALSE),""))</f>
        <v/>
      </c>
      <c r="Q1071" s="371" t="s">
        <v>276</v>
      </c>
      <c r="R1071" s="146" t="str">
        <f t="shared" si="955"/>
        <v/>
      </c>
      <c r="S1071" s="927"/>
      <c r="T1071" s="927"/>
      <c r="U1071" s="354" t="str">
        <f>IF(LEN($S1071)=1,VLOOKUP(LEFT($S1071,1),B1066:I1073,5,FALSE),IF(LEN($S1071)=2,VLOOKUP(LEFT($S1071,1),B1066:I1073,7,FALSE),""))</f>
        <v/>
      </c>
      <c r="V1071" s="410" t="str">
        <f>IF(LEN($S1071)=1,VLOOKUP(LEFT($S1071,1),B1066:I1073,6,FALSE),IF(LEN($S1071)=2,VLOOKUP(LEFT($S1071,1),B1066:I1073,8,FALSE),""))</f>
        <v/>
      </c>
      <c r="W1071" s="417">
        <f t="shared" si="962"/>
        <v>3</v>
      </c>
      <c r="Y1071" s="16">
        <v>32</v>
      </c>
      <c r="Z1071" s="16">
        <f t="shared" si="956"/>
        <v>0</v>
      </c>
      <c r="AA1071" s="146">
        <f t="shared" si="957"/>
        <v>0</v>
      </c>
      <c r="AC1071" s="16" t="str">
        <f t="shared" si="958"/>
        <v>D</v>
      </c>
      <c r="AD1071" s="419" t="str">
        <f t="shared" si="958"/>
        <v>Stratford</v>
      </c>
      <c r="AE1071" s="419">
        <f>IF(ISNA(MATCH(AC1071,N1066:N1075,0)),0,VLOOKUP(AC1071,N1066:S1075,5,FALSE))</f>
        <v>0</v>
      </c>
      <c r="AF1071" s="419" t="str">
        <f>IF(ISNA(MATCH(AC1071,T1066:T1075,0))," ",VLOOKUP(AC1071,T1066:Y1075,5,FALSE))</f>
        <v xml:space="preserve"> </v>
      </c>
      <c r="AG1071" s="419">
        <f>IF(ISNA(MATCH(AC1071,L1066:L1073,0)),0,VLOOKUP(AC1071,L1066:N1073,3,FALSE))</f>
        <v>0</v>
      </c>
      <c r="AH1071" s="419">
        <f>IF(ISNA(MATCH(AC1071,R1066:R1073,0)),0,VLOOKUP(AC1071,R1066:T1073,3,FALSE))</f>
        <v>0</v>
      </c>
      <c r="AI1071" s="419">
        <f>IF(ISNA(MATCH(AC1071,L1066:L1073,0)),0,VLOOKUP(AC1071,L1066:P1073,4,FALSE))</f>
        <v>0</v>
      </c>
      <c r="AJ1071" s="419">
        <f>IF(ISNA(MATCH(AC1071,R1066:R1073,0)),0,VLOOKUP(AC1071,R1066:U1073,4,FALSE))</f>
        <v>0</v>
      </c>
      <c r="AK1071" s="32">
        <f t="shared" si="959"/>
        <v>0</v>
      </c>
      <c r="AL1071" s="32">
        <f t="shared" si="960"/>
        <v>0</v>
      </c>
      <c r="AM1071" s="32">
        <f>IF(ISNA(MATCH(AC1071,L1066:L1073,0)),0,VLOOKUP(AC1071,L1066:W1073,AM$1,FALSE))</f>
        <v>0</v>
      </c>
      <c r="AN1071" s="146">
        <f>IF(ISNA(MATCH(AC1071,R1066:R1073,0)),0,VLOOKUP(AC1071,R1066:W1073,AN$1,FALSE))</f>
        <v>0</v>
      </c>
      <c r="AP1071" s="927"/>
      <c r="AQ1071" s="927"/>
    </row>
    <row r="1072" spans="1:47" ht="15.6" x14ac:dyDescent="0.3">
      <c r="A1072" s="417">
        <f t="shared" si="961"/>
        <v>967</v>
      </c>
      <c r="B1072" s="362" t="str">
        <f>'Event Details'!D$28</f>
        <v>F</v>
      </c>
      <c r="C1072" s="381" t="str">
        <f>'Event Details'!E$28</f>
        <v>Tamworth</v>
      </c>
      <c r="D1072" s="379"/>
      <c r="E1072" s="378"/>
      <c r="F1072" s="363">
        <f>VLOOKUP($B1065,IF($H1065="F",TeamSheetFemale,TeamSheetMale),$Y1072-1,FALSE)</f>
        <v>0</v>
      </c>
      <c r="G1072" s="380">
        <f>VLOOKUP($B1065,IF($H1065="F",TeamSheetFemale,TeamSheetMale),$Y1072,FALSE)</f>
        <v>0</v>
      </c>
      <c r="H1072" s="363">
        <f>VLOOKUP($B1065,IF($H1065="F",TeamSheetFemale,TeamSheetMale),$Y1072+1,FALSE)</f>
        <v>0</v>
      </c>
      <c r="I1072" s="364">
        <f>VLOOKUP($B1065,IF($H1065="F",TeamSheetFemale,TeamSheetMale),$Y1072+2,FALSE)</f>
        <v>0</v>
      </c>
      <c r="K1072" s="341" t="s">
        <v>277</v>
      </c>
      <c r="L1072" s="16" t="str">
        <f t="shared" si="954"/>
        <v/>
      </c>
      <c r="M1072" s="927"/>
      <c r="N1072" s="927"/>
      <c r="O1072" s="354" t="str">
        <f>IF(LEN($M1072)=1,VLOOKUP(LEFT($M1072,1),B1066:I1073,5,FALSE),IF(LEN($M1072)=2,VLOOKUP(LEFT($M1072,1),B1066:I1073,7,FALSE),""))</f>
        <v/>
      </c>
      <c r="P1072" s="410" t="str">
        <f>IF(LEN($M1072)=1,VLOOKUP(LEFT($M1072,1),B1066:I1073,6,FALSE),IF(LEN($M1072)=2,VLOOKUP(LEFT($M1072,1),B1066:I1073,8,FALSE),""))</f>
        <v/>
      </c>
      <c r="Q1072" s="371" t="s">
        <v>277</v>
      </c>
      <c r="R1072" s="146" t="str">
        <f t="shared" si="955"/>
        <v/>
      </c>
      <c r="S1072" s="927"/>
      <c r="T1072" s="927"/>
      <c r="U1072" s="354" t="str">
        <f>IF(LEN($S1072)=1,VLOOKUP(LEFT($S1072,1),B1066:I1073,5,FALSE),IF(LEN($S1072)=2,VLOOKUP(LEFT($S1072,1),B1066:I1073,7,FALSE),""))</f>
        <v/>
      </c>
      <c r="V1072" s="410" t="str">
        <f>IF(LEN($S1072)=1,VLOOKUP(LEFT($S1072,1),B1066:I1073,6,FALSE),IF(LEN($S1072)=2,VLOOKUP(LEFT($S1072,1),B1066:I1073,8,FALSE),""))</f>
        <v/>
      </c>
      <c r="W1072" s="417">
        <f t="shared" si="962"/>
        <v>2</v>
      </c>
      <c r="Y1072" s="16">
        <v>37</v>
      </c>
      <c r="Z1072" s="16">
        <f t="shared" si="956"/>
        <v>0</v>
      </c>
      <c r="AA1072" s="146">
        <f t="shared" si="957"/>
        <v>0</v>
      </c>
      <c r="AC1072" s="16" t="str">
        <f t="shared" si="958"/>
        <v>F</v>
      </c>
      <c r="AD1072" s="419" t="str">
        <f t="shared" si="958"/>
        <v>Tamworth</v>
      </c>
      <c r="AE1072" s="419">
        <f>IF(ISNA(MATCH(AC1072,N1064:N1073,0)),0,VLOOKUP(AC1072,N1064:S1073,5,FALSE))</f>
        <v>0</v>
      </c>
      <c r="AF1072" s="419" t="str">
        <f>IF(ISNA(MATCH(AC1072,T1064:T1073,0))," ",VLOOKUP(AC1072,T1064:Y1073,5,FALSE))</f>
        <v xml:space="preserve"> </v>
      </c>
      <c r="AG1072" s="419">
        <f>IF(ISNA(MATCH(AC1072,L1066:L1073,0)),0,VLOOKUP(AC1072,L1066:N1073,3,FALSE))</f>
        <v>0</v>
      </c>
      <c r="AH1072" s="419">
        <f>IF(ISNA(MATCH(AC1072,R1066:R1073,0)),0,VLOOKUP(AC1072,R1066:T1073,3,FALSE))</f>
        <v>0</v>
      </c>
      <c r="AI1072" s="419">
        <f>IF(ISNA(MATCH(AC1072,L1066:L1073,0)),0,VLOOKUP(AC1072,L1066:P1073,4,FALSE))</f>
        <v>0</v>
      </c>
      <c r="AJ1072" s="419">
        <f>IF(ISNA(MATCH(AC1072,R1066:R1073,0)),0,VLOOKUP(AC1072,R1066:U1073,4,FALSE))</f>
        <v>0</v>
      </c>
      <c r="AK1072" s="32">
        <f t="shared" si="959"/>
        <v>0</v>
      </c>
      <c r="AL1072" s="32">
        <f t="shared" si="960"/>
        <v>0</v>
      </c>
      <c r="AM1072" s="32">
        <f>IF(ISNA(MATCH(AC1072,L1066:L1073,0)),0,VLOOKUP(AC1072,L1066:W1073,AM$1,FALSE))</f>
        <v>0</v>
      </c>
      <c r="AN1072" s="146">
        <f>IF(ISNA(MATCH(AC1072,R1066:R1073,0)),0,VLOOKUP(AC1072,R1066:W1073,AN$1,FALSE))</f>
        <v>0</v>
      </c>
      <c r="AP1072" s="927"/>
      <c r="AQ1072" s="927"/>
    </row>
    <row r="1073" spans="1:47" ht="16.2" thickBot="1" x14ac:dyDescent="0.35">
      <c r="A1073" s="418">
        <f t="shared" si="961"/>
        <v>968</v>
      </c>
      <c r="B1073" s="365" t="str">
        <f>'Event Details'!D$29</f>
        <v>Y</v>
      </c>
      <c r="C1073" s="366" t="str">
        <f>'Event Details'!E$29</f>
        <v>Worcester</v>
      </c>
      <c r="D1073" s="361"/>
      <c r="E1073" s="370"/>
      <c r="F1073" s="367">
        <f>VLOOKUP($B1065,IF($H1065="F",TeamSheetFemale,TeamSheetMale),$Y1073-1,FALSE)</f>
        <v>0</v>
      </c>
      <c r="G1073" s="368">
        <f>VLOOKUP($B1065,IF($H1065="F",TeamSheetFemale,TeamSheetMale),$Y1073,FALSE)</f>
        <v>0</v>
      </c>
      <c r="H1073" s="367">
        <f>VLOOKUP($B1065,IF($H1065="F",TeamSheetFemale,TeamSheetMale),$Y1073+1,FALSE)</f>
        <v>0</v>
      </c>
      <c r="I1073" s="369">
        <f>VLOOKUP($B1065,IF($H1065="F",TeamSheetFemale,TeamSheetMale),$Y1073+2,FALSE)</f>
        <v>0</v>
      </c>
      <c r="K1073" s="346" t="s">
        <v>278</v>
      </c>
      <c r="L1073" s="25" t="str">
        <f t="shared" si="954"/>
        <v/>
      </c>
      <c r="M1073" s="928"/>
      <c r="N1073" s="932"/>
      <c r="O1073" s="374" t="str">
        <f>IF(LEN($M1073)=1,VLOOKUP(LEFT($M1073,1),B1066:I1073,5,FALSE),IF(LEN($M1073)=2,VLOOKUP(LEFT($M1073,1),B1066:I1073,7,FALSE),""))</f>
        <v/>
      </c>
      <c r="P1073" s="411" t="str">
        <f>IF(LEN($M1073)=1,VLOOKUP(LEFT($M1073,1),B1066:I1073,6,FALSE),IF(LEN($M1073)=2,VLOOKUP(LEFT($M1073,1),B1066:I1073,8,FALSE),""))</f>
        <v/>
      </c>
      <c r="Q1073" s="407" t="s">
        <v>278</v>
      </c>
      <c r="R1073" s="523" t="str">
        <f t="shared" si="955"/>
        <v/>
      </c>
      <c r="S1073" s="928"/>
      <c r="T1073" s="932"/>
      <c r="U1073" s="374" t="str">
        <f>IF(LEN($S1073)=1,VLOOKUP(LEFT($S1073,1),B1066:I1073,5,FALSE),IF(LEN($S1073)=2,VLOOKUP(LEFT($S1073,1),B1066:I1073,7,FALSE),""))</f>
        <v/>
      </c>
      <c r="V1073" s="411" t="str">
        <f>IF(LEN($S1073)=1,VLOOKUP(LEFT($S1073,1),B1066:I1073,6,FALSE),IF(LEN($S1073)=2,VLOOKUP(LEFT($S1073,1),B1066:I1073,8,FALSE),""))</f>
        <v/>
      </c>
      <c r="W1073" s="418">
        <f t="shared" si="962"/>
        <v>1</v>
      </c>
      <c r="Y1073" s="25">
        <v>42</v>
      </c>
      <c r="Z1073" s="25">
        <f t="shared" si="956"/>
        <v>0</v>
      </c>
      <c r="AA1073" s="523">
        <f t="shared" si="957"/>
        <v>0</v>
      </c>
      <c r="AC1073" s="25" t="str">
        <f t="shared" si="958"/>
        <v>Y</v>
      </c>
      <c r="AD1073" s="624" t="str">
        <f t="shared" si="958"/>
        <v>Worcester</v>
      </c>
      <c r="AE1073" s="624">
        <f>IF(ISNA(MATCH(AC1073,N1065:N1074,0)),0,VLOOKUP(AC1073,N1065:S1074,5,FALSE))</f>
        <v>0</v>
      </c>
      <c r="AF1073" s="624" t="str">
        <f t="shared" ref="AF1073" si="963">IF(ISNA(MATCH(AC1073,T1065:T1074,0))," ",VLOOKUP(AC1073,T1065:Y1074,5,FALSE))</f>
        <v xml:space="preserve"> </v>
      </c>
      <c r="AG1073" s="624">
        <f>IF(ISNA(MATCH(AC1073,L1066:L1073,0)),0,VLOOKUP(AC1073,L1066:N1073,3,FALSE))</f>
        <v>0</v>
      </c>
      <c r="AH1073" s="624">
        <f>IF(ISNA(MATCH(AC1073,R1066:R1073,0)),0,VLOOKUP(AC1073,R1066:T1073,3,FALSE))</f>
        <v>0</v>
      </c>
      <c r="AI1073" s="624">
        <f>IF(ISNA(MATCH(AC1073,L1066:L1073,0)),0,VLOOKUP(AC1073,L1066:P1073,4,FALSE))</f>
        <v>0</v>
      </c>
      <c r="AJ1073" s="624">
        <f>IF(ISNA(MATCH(AC1073,R1066:R1073,0)),0,VLOOKUP(AC1073,R1066:U1073,4,FALSE))</f>
        <v>0</v>
      </c>
      <c r="AK1073" s="116">
        <f t="shared" si="959"/>
        <v>0</v>
      </c>
      <c r="AL1073" s="116">
        <f t="shared" si="960"/>
        <v>0</v>
      </c>
      <c r="AM1073" s="116">
        <f>IF(ISNA(MATCH(AC1073,L1066:L1073,0)),0,VLOOKUP(AC1073,L1066:W1073,AM$1,FALSE))</f>
        <v>0</v>
      </c>
      <c r="AN1073" s="523">
        <f>IF(ISNA(MATCH(AC1073,R1066:R1073,0)),0,VLOOKUP(AC1073,R1066:W1073,AN$1,FALSE))</f>
        <v>0</v>
      </c>
      <c r="AP1073" s="928"/>
      <c r="AQ1073" s="932"/>
    </row>
    <row r="1074" spans="1:47" ht="15" thickBot="1" x14ac:dyDescent="0.35">
      <c r="K1074" s="1207" t="s">
        <v>281</v>
      </c>
      <c r="M1074" s="276"/>
      <c r="N1074" s="307"/>
      <c r="S1074" s="276"/>
      <c r="T1074" s="307"/>
      <c r="AP1074" s="276"/>
      <c r="AQ1074" s="307"/>
    </row>
    <row r="1075" spans="1:47" x14ac:dyDescent="0.3">
      <c r="B1075" s="400" t="s">
        <v>258</v>
      </c>
      <c r="C1075" s="398"/>
      <c r="D1075" s="401" t="s">
        <v>165</v>
      </c>
      <c r="E1075" s="398"/>
      <c r="F1075" s="398"/>
      <c r="G1075" s="402" t="s">
        <v>259</v>
      </c>
      <c r="H1075" s="403" t="s">
        <v>249</v>
      </c>
      <c r="I1075" s="404" t="s">
        <v>168</v>
      </c>
      <c r="K1075" s="360"/>
      <c r="L1075" s="661"/>
      <c r="M1075" s="387" t="s">
        <v>260</v>
      </c>
      <c r="N1075" s="387" t="s">
        <v>261</v>
      </c>
      <c r="O1075" s="387" t="s">
        <v>262</v>
      </c>
      <c r="P1075" s="388" t="s">
        <v>75</v>
      </c>
      <c r="Q1075" s="389"/>
      <c r="R1075" s="657"/>
      <c r="S1075" s="387" t="s">
        <v>260</v>
      </c>
      <c r="T1075" s="387" t="s">
        <v>261</v>
      </c>
      <c r="U1075" s="387" t="s">
        <v>262</v>
      </c>
      <c r="V1075" s="388" t="s">
        <v>75</v>
      </c>
      <c r="W1075" s="672" t="s">
        <v>76</v>
      </c>
      <c r="Y1075" s="414" t="s">
        <v>263</v>
      </c>
      <c r="Z1075" s="656" t="s">
        <v>74</v>
      </c>
      <c r="AA1075" s="657" t="s">
        <v>75</v>
      </c>
      <c r="AC1075" s="665" t="s">
        <v>71</v>
      </c>
      <c r="AD1075" s="657" t="s">
        <v>86</v>
      </c>
      <c r="AE1075" s="661" t="s">
        <v>149</v>
      </c>
      <c r="AF1075" s="661" t="s">
        <v>94</v>
      </c>
      <c r="AG1075" s="661" t="s">
        <v>149</v>
      </c>
      <c r="AH1075" s="661" t="s">
        <v>94</v>
      </c>
      <c r="AI1075" s="661" t="s">
        <v>149</v>
      </c>
      <c r="AJ1075" s="661" t="s">
        <v>94</v>
      </c>
      <c r="AK1075" s="1332" t="s">
        <v>149</v>
      </c>
      <c r="AL1075" s="661" t="s">
        <v>94</v>
      </c>
      <c r="AM1075" s="1406" t="s">
        <v>76</v>
      </c>
      <c r="AN1075" s="1407"/>
      <c r="AP1075" s="387" t="s">
        <v>260</v>
      </c>
      <c r="AQ1075" s="387" t="s">
        <v>261</v>
      </c>
      <c r="AS1075" s="1218" t="s">
        <v>165</v>
      </c>
      <c r="AT1075" s="1219" t="s">
        <v>79</v>
      </c>
      <c r="AU1075" s="1220" t="s">
        <v>80</v>
      </c>
    </row>
    <row r="1076" spans="1:47" ht="15" thickBot="1" x14ac:dyDescent="0.35">
      <c r="B1076" s="405">
        <v>97</v>
      </c>
      <c r="C1076" s="399"/>
      <c r="D1076" s="385" t="str">
        <f>VLOOKUP($B1076,EventOrder,6,FALSE)</f>
        <v>1500m U14 Male</v>
      </c>
      <c r="E1076" s="399"/>
      <c r="F1076" s="385"/>
      <c r="G1076" s="386" t="str">
        <f>VLOOKUP($B1076,EventOrder,4,FALSE)</f>
        <v>U14 Male</v>
      </c>
      <c r="H1076" s="396" t="str">
        <f>IF(MID(G1076,5,1)="F","F","M")</f>
        <v>M</v>
      </c>
      <c r="I1076" s="397">
        <f>VLOOKUP($B1076,EventOrder,2,FALSE)</f>
        <v>3.1</v>
      </c>
      <c r="K1076" s="377"/>
      <c r="L1076" s="667" t="s">
        <v>149</v>
      </c>
      <c r="M1076" s="409" t="s">
        <v>264</v>
      </c>
      <c r="N1076" s="409" t="s">
        <v>265</v>
      </c>
      <c r="O1076" s="390" t="s">
        <v>266</v>
      </c>
      <c r="P1076" s="391"/>
      <c r="Q1076" s="392"/>
      <c r="R1076" s="659" t="s">
        <v>94</v>
      </c>
      <c r="S1076" s="409" t="s">
        <v>264</v>
      </c>
      <c r="T1076" s="409" t="s">
        <v>265</v>
      </c>
      <c r="U1076" s="390" t="s">
        <v>266</v>
      </c>
      <c r="V1076" s="391"/>
      <c r="W1076" s="671"/>
      <c r="Y1076" s="415" t="s">
        <v>167</v>
      </c>
      <c r="Z1076" s="658" t="s">
        <v>149</v>
      </c>
      <c r="AA1076" s="659" t="s">
        <v>94</v>
      </c>
      <c r="AC1076" s="666"/>
      <c r="AD1076" s="668"/>
      <c r="AE1076" s="768" t="s">
        <v>75</v>
      </c>
      <c r="AF1076" s="768" t="s">
        <v>75</v>
      </c>
      <c r="AG1076" s="768" t="s">
        <v>267</v>
      </c>
      <c r="AH1076" s="768" t="s">
        <v>267</v>
      </c>
      <c r="AI1076" s="768" t="s">
        <v>268</v>
      </c>
      <c r="AJ1076" s="768" t="s">
        <v>268</v>
      </c>
      <c r="AK1076" s="770" t="s">
        <v>269</v>
      </c>
      <c r="AL1076" s="768" t="s">
        <v>269</v>
      </c>
      <c r="AM1076" s="667" t="s">
        <v>149</v>
      </c>
      <c r="AN1076" s="659" t="s">
        <v>94</v>
      </c>
      <c r="AP1076" s="409" t="s">
        <v>264</v>
      </c>
      <c r="AQ1076" s="409" t="s">
        <v>265</v>
      </c>
      <c r="AS1076" s="1221" t="s">
        <v>270</v>
      </c>
      <c r="AT1076" s="1222" t="s">
        <v>270</v>
      </c>
      <c r="AU1076" s="1223" t="s">
        <v>270</v>
      </c>
    </row>
    <row r="1077" spans="1:47" ht="15.6" x14ac:dyDescent="0.3">
      <c r="A1077" s="416">
        <f>(B1076*10)+1</f>
        <v>971</v>
      </c>
      <c r="B1077" s="362" t="str">
        <f>'Event Details'!D$22</f>
        <v>S</v>
      </c>
      <c r="C1077" s="381" t="str">
        <f>'Event Details'!E$22</f>
        <v>BRAT</v>
      </c>
      <c r="D1077" s="379"/>
      <c r="E1077" s="378"/>
      <c r="F1077" s="363">
        <f>VLOOKUP($B1076,IF($H1076="F",TeamSheetFemale,TeamSheetMale),$Y1077-1,FALSE)</f>
        <v>0</v>
      </c>
      <c r="G1077" s="380">
        <f>VLOOKUP($B1076,IF($H1076="F",TeamSheetFemale,TeamSheetMale),$Y1077,FALSE)</f>
        <v>0</v>
      </c>
      <c r="H1077" s="363">
        <f>VLOOKUP($B1076,IF($H1076="F",TeamSheetFemale,TeamSheetMale),$Y1077+1,FALSE)</f>
        <v>0</v>
      </c>
      <c r="I1077" s="364">
        <f>VLOOKUP($B1076,IF($H1076="F",TeamSheetFemale,TeamSheetMale),$Y1077+2,FALSE)</f>
        <v>0</v>
      </c>
      <c r="K1077" s="393" t="s">
        <v>271</v>
      </c>
      <c r="L1077" s="16" t="str">
        <f t="shared" ref="L1077:L1084" si="964">LEFT(M1077,1)</f>
        <v>G</v>
      </c>
      <c r="M1077" s="926" t="s">
        <v>110</v>
      </c>
      <c r="N1077" s="926" t="s">
        <v>1103</v>
      </c>
      <c r="O1077" s="394">
        <f>IF(LEN($M1077)=1,VLOOKUP(LEFT($M1077,1),B1077:I1084,5,FALSE),IF(LEN($M1077)=2,VLOOKUP(LEFT($M1077,1),B1077:I1084,7,FALSE),""))</f>
        <v>19</v>
      </c>
      <c r="P1077" s="395" t="str">
        <f>IF(LEN($M1077)=1,VLOOKUP(LEFT($M1077,1),B1077:I1084,6,FALSE),IF(LEN($M1077)=2,VLOOKUP(LEFT($M1077,1),B1077:I1084,8,FALSE),""))</f>
        <v>Daniel Mengsteab</v>
      </c>
      <c r="Q1077" s="393" t="s">
        <v>271</v>
      </c>
      <c r="R1077" s="146" t="str">
        <f t="shared" ref="R1077:R1084" si="965">LEFT(S1077,1)</f>
        <v/>
      </c>
      <c r="S1077" s="926"/>
      <c r="T1077" s="926"/>
      <c r="U1077" s="394" t="str">
        <f>IF(LEN($S1077)=1,VLOOKUP(LEFT($S1077,1),B1077:I1084,5,FALSE),IF(LEN($S1077)=2,VLOOKUP(LEFT($S1077,1),B1077:I1084,7,FALSE),""))</f>
        <v/>
      </c>
      <c r="V1077" s="395" t="str">
        <f>IF(LEN($S1077)=1,VLOOKUP(LEFT($S1077,1),B1077:I1084,6,FALSE),IF(LEN($S1077)=2,VLOOKUP(LEFT($S1077,1),B1077:I1084,8,FALSE),""))</f>
        <v/>
      </c>
      <c r="W1077" s="417">
        <f>AN$6</f>
        <v>8</v>
      </c>
      <c r="Y1077" s="416">
        <v>7</v>
      </c>
      <c r="Z1077" s="653" t="str">
        <f t="shared" ref="Z1077:Z1084" si="966">IF(LEN(M1077)&gt;0,VLOOKUP(LEFT(M1077,1),ShortName,5,FALSE),0)</f>
        <v>Royal</v>
      </c>
      <c r="AA1077" s="138">
        <f t="shared" ref="AA1077:AA1084" si="967">IF(LEN(S1077)&gt;0,VLOOKUP(LEFT(S1077,1),ShortName,5,FALSE),0)</f>
        <v>0</v>
      </c>
      <c r="AC1077" s="16" t="str">
        <f t="shared" ref="AC1077:AD1084" si="968">B1077</f>
        <v>S</v>
      </c>
      <c r="AD1077" s="419" t="str">
        <f t="shared" si="968"/>
        <v>BRAT</v>
      </c>
      <c r="AE1077" s="635">
        <f>IF(ISNA(MATCH(AC1077,N1077:N1086,0)),0,VLOOKUP(AC1077,N1077:S1086,5,FALSE))</f>
        <v>0</v>
      </c>
      <c r="AF1077" s="635" t="str">
        <f>IF(ISNA(MATCH(AC1077,T1077:T1086,0))," ",VLOOKUP(AC1077,T1077:Y1086,5,FALSE))</f>
        <v xml:space="preserve"> </v>
      </c>
      <c r="AG1077" s="635">
        <f>IF(ISNA(MATCH(AC1077,L1077:L1084,0)),0,VLOOKUP(AC1077,L1077:N1084,3,FALSE))</f>
        <v>0</v>
      </c>
      <c r="AH1077" s="635">
        <f>IF(ISNA(MATCH(AC1077,R1077:R1084,0)),0,VLOOKUP(AC1077,R1077:T1084,3,FALSE))</f>
        <v>0</v>
      </c>
      <c r="AI1077" s="635">
        <f>IF(ISNA(MATCH(AC1077,L1077:L1084,0)),0,VLOOKUP(AC1077,L1077:P1084,4,FALSE))</f>
        <v>0</v>
      </c>
      <c r="AJ1077" s="635">
        <f>IF(ISNA(MATCH(AC1077,R1077:R1084,0)),0,VLOOKUP(AC1077,R1077:U1084,4,FALSE))</f>
        <v>0</v>
      </c>
      <c r="AK1077" s="49">
        <f t="shared" ref="AK1077:AK1084" si="969">IF(AM1077=0,0,AN$6-(AM1077-1))</f>
        <v>0</v>
      </c>
      <c r="AL1077" s="49">
        <f t="shared" ref="AL1077:AL1084" si="970">IF(AN1077=0,0,AN$6-(AN1077-1))</f>
        <v>0</v>
      </c>
      <c r="AM1077" s="49">
        <f>IF(ISNA(MATCH(AC1077,L1077:L1084,0)),0,VLOOKUP(AC1077,L1077:W1084,AM$1,FALSE))</f>
        <v>0</v>
      </c>
      <c r="AN1077" s="138">
        <f>IF(ISNA(MATCH(AC1077,R1077:R1084,0)),0,VLOOKUP(AC1077,R1077:W1084,AN$1,FALSE))</f>
        <v>0</v>
      </c>
      <c r="AP1077" s="926"/>
      <c r="AQ1077" s="926"/>
      <c r="AS1077" s="32">
        <f>IF(LEN(N1077)&gt;0,1,0)</f>
        <v>1</v>
      </c>
      <c r="AT1077" s="32">
        <f>IF(AND(AS1077=1,H1076="M"),1,0)</f>
        <v>1</v>
      </c>
      <c r="AU1077" s="32">
        <f>IF(AND(AS1077=1,H1076="F"),1,0)</f>
        <v>0</v>
      </c>
    </row>
    <row r="1078" spans="1:47" ht="15.6" x14ac:dyDescent="0.3">
      <c r="A1078" s="417">
        <f>A1077+1</f>
        <v>972</v>
      </c>
      <c r="B1078" s="362" t="str">
        <f>'Event Details'!D$23</f>
        <v>U</v>
      </c>
      <c r="C1078" s="381" t="str">
        <f>'Event Details'!E$23</f>
        <v>Kidder &amp; Stourport</v>
      </c>
      <c r="D1078" s="379"/>
      <c r="E1078" s="378"/>
      <c r="F1078" s="363">
        <f>VLOOKUP($B1076,IF($H1076="F",TeamSheetFemale,TeamSheetMale),$Y1078-1,FALSE)</f>
        <v>0</v>
      </c>
      <c r="G1078" s="380">
        <f>VLOOKUP($B1076,IF($H1076="F",TeamSheetFemale,TeamSheetMale),$Y1078,FALSE)</f>
        <v>0</v>
      </c>
      <c r="H1078" s="363">
        <f>VLOOKUP($B1076,IF($H1076="F",TeamSheetFemale,TeamSheetMale),$Y1078+1,FALSE)</f>
        <v>0</v>
      </c>
      <c r="I1078" s="364">
        <f>VLOOKUP($B1076,IF($H1076="F",TeamSheetFemale,TeamSheetMale),$Y1078+2,FALSE)</f>
        <v>0</v>
      </c>
      <c r="K1078" s="341" t="s">
        <v>272</v>
      </c>
      <c r="L1078" s="16" t="str">
        <f t="shared" si="964"/>
        <v/>
      </c>
      <c r="M1078" s="927"/>
      <c r="N1078" s="927"/>
      <c r="O1078" s="353" t="str">
        <f>IF(LEN($M1078)=1,VLOOKUP(LEFT($M1078,1),B1077:I1084,5,FALSE),IF(LEN($M1078)=2,VLOOKUP(LEFT($M1078,1),B1077:I1084,7,FALSE),""))</f>
        <v/>
      </c>
      <c r="P1078" s="373" t="str">
        <f>IF(LEN($M1078)=1,VLOOKUP(LEFT($M1078,1),B1077:I1084,6,FALSE),IF(LEN($M1078)=2,VLOOKUP(LEFT($M1078,1),B1077:I1084,8,FALSE),""))</f>
        <v/>
      </c>
      <c r="Q1078" s="341" t="s">
        <v>272</v>
      </c>
      <c r="R1078" s="146" t="str">
        <f t="shared" si="965"/>
        <v/>
      </c>
      <c r="S1078" s="927"/>
      <c r="T1078" s="927"/>
      <c r="U1078" s="353" t="str">
        <f>IF(LEN($S1078)=1,VLOOKUP(LEFT($S1078,1),B1077:I1084,5,FALSE),IF(LEN($S1078)=2,VLOOKUP(LEFT($S1078,1),B1077:I1084,7,FALSE),""))</f>
        <v/>
      </c>
      <c r="V1078" s="373" t="str">
        <f>IF(LEN($S1078)=1,VLOOKUP(LEFT($S1078,1),B1077:I1084,6,FALSE),IF(LEN($S1078)=2,VLOOKUP(LEFT($S1078,1),B1077:I1084,8,FALSE),""))</f>
        <v/>
      </c>
      <c r="W1078" s="417">
        <f>W1077-1</f>
        <v>7</v>
      </c>
      <c r="Y1078" s="417">
        <v>12</v>
      </c>
      <c r="Z1078" s="16">
        <f t="shared" si="966"/>
        <v>0</v>
      </c>
      <c r="AA1078" s="146">
        <f t="shared" si="967"/>
        <v>0</v>
      </c>
      <c r="AC1078" s="16" t="str">
        <f t="shared" si="968"/>
        <v>U</v>
      </c>
      <c r="AD1078" s="419" t="str">
        <f t="shared" si="968"/>
        <v>Kidder &amp; Stourport</v>
      </c>
      <c r="AE1078" s="419">
        <f>IF(ISNA(MATCH(AC1078,N1077:N1086,0)),0,VLOOKUP(AC1078,N1077:S1086,5,FALSE))</f>
        <v>0</v>
      </c>
      <c r="AF1078" s="419" t="str">
        <f>IF(ISNA(MATCH(AC1078,T1077:T1086,0))," ",VLOOKUP(AC1078,T1077:Y1086,5,FALSE))</f>
        <v xml:space="preserve"> </v>
      </c>
      <c r="AG1078" s="419">
        <f>IF(ISNA(MATCH(AC1078,L1077:L1084,0)),0,VLOOKUP(AC1078,L1077:N1084,3,FALSE))</f>
        <v>0</v>
      </c>
      <c r="AH1078" s="419">
        <f>IF(ISNA(MATCH(AC1078,R1077:R1084,0)),0,VLOOKUP(AC1078,R1077:T1084,3,FALSE))</f>
        <v>0</v>
      </c>
      <c r="AI1078" s="419">
        <f>IF(ISNA(MATCH(AC1078,L1077:L1084,0)),0,VLOOKUP(AC1078,L1077:P1084,4,FALSE))</f>
        <v>0</v>
      </c>
      <c r="AJ1078" s="419">
        <f>IF(ISNA(MATCH(AC1078,R1077:R1084,0)),0,VLOOKUP(AC1078,R1077:U1084,4,FALSE))</f>
        <v>0</v>
      </c>
      <c r="AK1078" s="32">
        <f t="shared" si="969"/>
        <v>0</v>
      </c>
      <c r="AL1078" s="32">
        <f t="shared" si="970"/>
        <v>0</v>
      </c>
      <c r="AM1078" s="32">
        <f>IF(ISNA(MATCH(AC1078,L1077:L1084,0)),0,VLOOKUP(AC1078,L1077:W1084,AM$1,FALSE))</f>
        <v>0</v>
      </c>
      <c r="AN1078" s="146">
        <f>IF(ISNA(MATCH(AC1078,R1077:R1084,0)),0,VLOOKUP(AC1078,R1077:W1084,AN$1,FALSE))</f>
        <v>0</v>
      </c>
      <c r="AP1078" s="927"/>
      <c r="AQ1078" s="927"/>
    </row>
    <row r="1079" spans="1:47" ht="15.6" x14ac:dyDescent="0.3">
      <c r="A1079" s="417">
        <f t="shared" ref="A1079:A1084" si="971">A1078+1</f>
        <v>973</v>
      </c>
      <c r="B1079" s="362" t="str">
        <f>'Event Details'!D$24</f>
        <v>G</v>
      </c>
      <c r="C1079" s="381" t="str">
        <f>'Event Details'!E$24</f>
        <v>Royal Sutton</v>
      </c>
      <c r="D1079" s="379"/>
      <c r="E1079" s="378"/>
      <c r="F1079" s="363">
        <f>VLOOKUP($B1076,IF($H1076="F",TeamSheetFemale,TeamSheetMale),$Y1079-1,FALSE)</f>
        <v>19</v>
      </c>
      <c r="G1079" s="380" t="str">
        <f>VLOOKUP($B1076,IF($H1076="F",TeamSheetFemale,TeamSheetMale),$Y1079,FALSE)</f>
        <v>Daniel Mengsteab</v>
      </c>
      <c r="H1079" s="363">
        <f>VLOOKUP($B1076,IF($H1076="F",TeamSheetFemale,TeamSheetMale),$Y1079+1,FALSE)</f>
        <v>0</v>
      </c>
      <c r="I1079" s="364">
        <f>VLOOKUP($B1076,IF($H1076="F",TeamSheetFemale,TeamSheetMale),$Y1079+2,FALSE)</f>
        <v>0</v>
      </c>
      <c r="K1079" s="341" t="s">
        <v>273</v>
      </c>
      <c r="L1079" s="16" t="str">
        <f t="shared" si="964"/>
        <v/>
      </c>
      <c r="M1079" s="927"/>
      <c r="N1079" s="927"/>
      <c r="O1079" s="353" t="str">
        <f>IF(LEN($M1079)=1,VLOOKUP(LEFT($M1079,1),B1077:I1084,5,FALSE),IF(LEN($M1079)=2,VLOOKUP(LEFT($M1079,1),B1077:I1084,7,FALSE),""))</f>
        <v/>
      </c>
      <c r="P1079" s="373" t="str">
        <f>IF(LEN($M1079)=1,VLOOKUP(LEFT($M1079,1),B1077:I1084,6,FALSE),IF(LEN($M1079)=2,VLOOKUP(LEFT($M1079,1),B1077:I1084,8,FALSE),""))</f>
        <v/>
      </c>
      <c r="Q1079" s="341" t="s">
        <v>273</v>
      </c>
      <c r="R1079" s="146" t="str">
        <f t="shared" si="965"/>
        <v/>
      </c>
      <c r="S1079" s="927"/>
      <c r="T1079" s="927"/>
      <c r="U1079" s="353" t="str">
        <f>IF(LEN($S1079)=1,VLOOKUP(LEFT($S1079,1),B1077:I1084,5,FALSE),IF(LEN($S1079)=2,VLOOKUP(LEFT($S1079,1),B1077:I1084,7,FALSE),""))</f>
        <v/>
      </c>
      <c r="V1079" s="373" t="str">
        <f>IF(LEN($S1079)=1,VLOOKUP(LEFT($S1079,1),B1077:I1084,6,FALSE),IF(LEN($S1079)=2,VLOOKUP(LEFT($S1079,1),B1077:I1084,8,FALSE),""))</f>
        <v/>
      </c>
      <c r="W1079" s="417">
        <f t="shared" ref="W1079:W1084" si="972">W1078-1</f>
        <v>6</v>
      </c>
      <c r="Y1079" s="417">
        <v>17</v>
      </c>
      <c r="Z1079" s="16">
        <f t="shared" si="966"/>
        <v>0</v>
      </c>
      <c r="AA1079" s="146">
        <f t="shared" si="967"/>
        <v>0</v>
      </c>
      <c r="AB1079" s="32"/>
      <c r="AC1079" s="16" t="str">
        <f t="shared" si="968"/>
        <v>G</v>
      </c>
      <c r="AD1079" s="419" t="str">
        <f t="shared" si="968"/>
        <v>Royal Sutton</v>
      </c>
      <c r="AE1079" s="419">
        <f>IF(ISNA(MATCH(AC1079,N1077:N1086,0)),0,VLOOKUP(AC1079,N1077:S1086,5,FALSE))</f>
        <v>0</v>
      </c>
      <c r="AF1079" s="419" t="str">
        <f>IF(ISNA(MATCH(AC1079,T1077:T1086,0))," ",VLOOKUP(AC1079,T1077:Y1086,5,FALSE))</f>
        <v xml:space="preserve"> </v>
      </c>
      <c r="AG1079" s="419" t="str">
        <f>IF(ISNA(MATCH(AC1079,L1077:L1084,0)),0,VLOOKUP(AC1079,L1077:N1084,3,FALSE))</f>
        <v>5.41.2</v>
      </c>
      <c r="AH1079" s="419">
        <f>IF(ISNA(MATCH(AC1079,R1077:R1084,0)),0,VLOOKUP(AC1079,R1077:T1084,3,FALSE))</f>
        <v>0</v>
      </c>
      <c r="AI1079" s="419">
        <f>IF(ISNA(MATCH(AC1079,L1077:L1084,0)),0,VLOOKUP(AC1079,L1077:P1084,4,FALSE))</f>
        <v>19</v>
      </c>
      <c r="AJ1079" s="419">
        <f>IF(ISNA(MATCH(AC1079,R1077:R1084,0)),0,VLOOKUP(AC1079,R1077:U1084,4,FALSE))</f>
        <v>0</v>
      </c>
      <c r="AK1079" s="32">
        <f t="shared" si="969"/>
        <v>1</v>
      </c>
      <c r="AL1079" s="32">
        <f t="shared" si="970"/>
        <v>0</v>
      </c>
      <c r="AM1079" s="32">
        <f>IF(ISNA(MATCH(AC1079,L1077:L1084,0)),0,VLOOKUP(AC1079,L1077:W1084,AM$1,FALSE))</f>
        <v>8</v>
      </c>
      <c r="AN1079" s="146">
        <f>IF(ISNA(MATCH(AC1079,R1077:R1084,0)),0,VLOOKUP(AC1079,R1077:W1084,AN$1,FALSE))</f>
        <v>0</v>
      </c>
      <c r="AP1079" s="927"/>
      <c r="AQ1079" s="927"/>
    </row>
    <row r="1080" spans="1:47" ht="15.6" x14ac:dyDescent="0.3">
      <c r="A1080" s="417">
        <f t="shared" si="971"/>
        <v>974</v>
      </c>
      <c r="B1080" s="362" t="str">
        <f>'Event Details'!D$25</f>
        <v>R</v>
      </c>
      <c r="C1080" s="381" t="str">
        <f>'Event Details'!E$25</f>
        <v>Rugby &amp; N'hampton</v>
      </c>
      <c r="D1080" s="379"/>
      <c r="E1080" s="378"/>
      <c r="F1080" s="363">
        <f>VLOOKUP($B1076,IF($H1076="F",TeamSheetFemale,TeamSheetMale),$Y1080-1,FALSE)</f>
        <v>0</v>
      </c>
      <c r="G1080" s="380">
        <f>VLOOKUP($B1076,IF($H1076="F",TeamSheetFemale,TeamSheetMale),$Y1080,FALSE)</f>
        <v>0</v>
      </c>
      <c r="H1080" s="363">
        <f>VLOOKUP($B1076,IF($H1076="F",TeamSheetFemale,TeamSheetMale),$Y1080+1,FALSE)</f>
        <v>0</v>
      </c>
      <c r="I1080" s="364">
        <f>VLOOKUP($B1076,IF($H1076="F",TeamSheetFemale,TeamSheetMale),$Y1080+2,FALSE)</f>
        <v>0</v>
      </c>
      <c r="K1080" s="341" t="s">
        <v>274</v>
      </c>
      <c r="L1080" s="16" t="str">
        <f t="shared" si="964"/>
        <v/>
      </c>
      <c r="M1080" s="927"/>
      <c r="N1080" s="927"/>
      <c r="O1080" s="353" t="str">
        <f>IF(LEN($M1080)=1,VLOOKUP(LEFT($M1080,1),B1077:I1084,5,FALSE),IF(LEN($M1080)=2,VLOOKUP(LEFT($M1080,1),B1077:I1084,7,FALSE),""))</f>
        <v/>
      </c>
      <c r="P1080" s="373" t="str">
        <f>IF(LEN($M1080)=1,VLOOKUP(LEFT($M1080,1),B1077:I1084,6,FALSE),IF(LEN($M1080)=2,VLOOKUP(LEFT($M1080,1),B1077:I1084,8,FALSE),""))</f>
        <v/>
      </c>
      <c r="Q1080" s="341" t="s">
        <v>274</v>
      </c>
      <c r="R1080" s="146" t="str">
        <f t="shared" si="965"/>
        <v/>
      </c>
      <c r="S1080" s="927"/>
      <c r="T1080" s="927"/>
      <c r="U1080" s="353" t="str">
        <f>IF(LEN($S1080)=1,VLOOKUP(LEFT($S1080,1),B1077:I1084,5,FALSE),IF(LEN($S1080)=2,VLOOKUP(LEFT($S1080,1),B1077:I1084,7,FALSE),""))</f>
        <v/>
      </c>
      <c r="V1080" s="373" t="str">
        <f>IF(LEN($S1080)=1,VLOOKUP(LEFT($S1080,1),B1077:I1084,6,FALSE),IF(LEN($S1080)=2,VLOOKUP(LEFT($S1080,1),B1077:I1084,8,FALSE),""))</f>
        <v/>
      </c>
      <c r="W1080" s="417">
        <f t="shared" si="972"/>
        <v>5</v>
      </c>
      <c r="Y1080" s="417">
        <v>22</v>
      </c>
      <c r="Z1080" s="16">
        <f t="shared" si="966"/>
        <v>0</v>
      </c>
      <c r="AA1080" s="146">
        <f t="shared" si="967"/>
        <v>0</v>
      </c>
      <c r="AB1080" s="32"/>
      <c r="AC1080" s="16" t="str">
        <f t="shared" si="968"/>
        <v>R</v>
      </c>
      <c r="AD1080" s="419" t="str">
        <f t="shared" si="968"/>
        <v>Rugby &amp; N'hampton</v>
      </c>
      <c r="AE1080" s="419">
        <f>IF(ISNA(MATCH(AC1080,N1077:N1086,0)),0,VLOOKUP(AC1080,N1077:S1086,5,FALSE))</f>
        <v>0</v>
      </c>
      <c r="AF1080" s="419" t="str">
        <f>IF(ISNA(MATCH(AC1080,T1077:T1086,0))," ",VLOOKUP(AC1080,T1077:Y1086,5,FALSE))</f>
        <v xml:space="preserve"> </v>
      </c>
      <c r="AG1080" s="419">
        <f>IF(ISNA(MATCH(AC1080,L1077:L1084,0)),0,VLOOKUP(AC1080,L1077:N1084,3,FALSE))</f>
        <v>0</v>
      </c>
      <c r="AH1080" s="419">
        <f>IF(ISNA(MATCH(AC1080,R1077:R1084,0)),0,VLOOKUP(AC1080,R1077:T1084,3,FALSE))</f>
        <v>0</v>
      </c>
      <c r="AI1080" s="419">
        <f>IF(ISNA(MATCH(AC1080,L1077:L1084,0)),0,VLOOKUP(AC1080,L1077:P1084,4,FALSE))</f>
        <v>0</v>
      </c>
      <c r="AJ1080" s="419">
        <f>IF(ISNA(MATCH(AC1080,R1077:R1084,0)),0,VLOOKUP(AC1080,R1077:U1084,4,FALSE))</f>
        <v>0</v>
      </c>
      <c r="AK1080" s="32">
        <f t="shared" si="969"/>
        <v>0</v>
      </c>
      <c r="AL1080" s="32">
        <f t="shared" si="970"/>
        <v>0</v>
      </c>
      <c r="AM1080" s="32">
        <f>IF(ISNA(MATCH(AC1080,L1077:L1084,0)),0,VLOOKUP(AC1080,L1077:W1084,AM$1,FALSE))</f>
        <v>0</v>
      </c>
      <c r="AN1080" s="146">
        <f>IF(ISNA(MATCH(AC1080,R1077:R1084,0)),0,VLOOKUP(AC1080,R1077:W1084,AN$1,FALSE))</f>
        <v>0</v>
      </c>
      <c r="AP1080" s="927"/>
      <c r="AQ1080" s="927"/>
    </row>
    <row r="1081" spans="1:47" ht="15.6" x14ac:dyDescent="0.3">
      <c r="A1081" s="417">
        <f t="shared" si="971"/>
        <v>975</v>
      </c>
      <c r="B1081" s="362" t="str">
        <f>'Event Details'!D$26</f>
        <v>M</v>
      </c>
      <c r="C1081" s="381" t="str">
        <f>'Event Details'!E$26</f>
        <v>Solihull &amp; S.Heath</v>
      </c>
      <c r="D1081" s="379"/>
      <c r="E1081" s="378"/>
      <c r="F1081" s="363">
        <f>VLOOKUP($B1076,IF($H1076="F",TeamSheetFemale,TeamSheetMale),$Y1081-1,FALSE)</f>
        <v>0</v>
      </c>
      <c r="G1081" s="380">
        <f>VLOOKUP($B1076,IF($H1076="F",TeamSheetFemale,TeamSheetMale),$Y1081,FALSE)</f>
        <v>0</v>
      </c>
      <c r="H1081" s="363">
        <f>VLOOKUP($B1076,IF($H1076="F",TeamSheetFemale,TeamSheetMale),$Y1081+1,FALSE)</f>
        <v>0</v>
      </c>
      <c r="I1081" s="364">
        <f>VLOOKUP($B1076,IF($H1076="F",TeamSheetFemale,TeamSheetMale),$Y1081+2,FALSE)</f>
        <v>0</v>
      </c>
      <c r="K1081" s="341" t="s">
        <v>275</v>
      </c>
      <c r="L1081" s="16" t="str">
        <f t="shared" si="964"/>
        <v/>
      </c>
      <c r="M1081" s="927"/>
      <c r="N1081" s="927"/>
      <c r="O1081" s="353" t="str">
        <f>IF(LEN($M1081)=1,VLOOKUP(LEFT($M1081,1),B1077:I1084,5,FALSE),IF(LEN($M1081)=2,VLOOKUP(LEFT($M1081,1),B1077:I1084,7,FALSE),""))</f>
        <v/>
      </c>
      <c r="P1081" s="373" t="str">
        <f>IF(LEN($M1081)=1,VLOOKUP(LEFT($M1081,1),B1077:I1084,6,FALSE),IF(LEN($M1081)=2,VLOOKUP(LEFT($M1081,1),B1077:I1084,8,FALSE),""))</f>
        <v/>
      </c>
      <c r="Q1081" s="341" t="s">
        <v>275</v>
      </c>
      <c r="R1081" s="146" t="str">
        <f t="shared" si="965"/>
        <v/>
      </c>
      <c r="S1081" s="927"/>
      <c r="T1081" s="927"/>
      <c r="U1081" s="353" t="str">
        <f>IF(LEN($S1081)=1,VLOOKUP(LEFT($S1081,1),B1077:I1084,5,FALSE),IF(LEN($S1081)=2,VLOOKUP(LEFT($S1081,1),B1077:I1084,7,FALSE),""))</f>
        <v/>
      </c>
      <c r="V1081" s="373" t="str">
        <f>IF(LEN($S1081)=1,VLOOKUP(LEFT($S1081,1),B1077:I1084,6,FALSE),IF(LEN($S1081)=2,VLOOKUP(LEFT($S1081,1),B1077:I1084,8,FALSE),""))</f>
        <v/>
      </c>
      <c r="W1081" s="417">
        <f t="shared" si="972"/>
        <v>4</v>
      </c>
      <c r="Y1081" s="417">
        <v>27</v>
      </c>
      <c r="Z1081" s="16">
        <f t="shared" si="966"/>
        <v>0</v>
      </c>
      <c r="AA1081" s="146">
        <f t="shared" si="967"/>
        <v>0</v>
      </c>
      <c r="AB1081" s="32"/>
      <c r="AC1081" s="16" t="str">
        <f t="shared" si="968"/>
        <v>M</v>
      </c>
      <c r="AD1081" s="419" t="str">
        <f t="shared" si="968"/>
        <v>Solihull &amp; S.Heath</v>
      </c>
      <c r="AE1081" s="419">
        <f>IF(ISNA(MATCH(AC1081,N1077:N1086,0)),0,VLOOKUP(AC1081,N1077:S1086,5,FALSE))</f>
        <v>0</v>
      </c>
      <c r="AF1081" s="419" t="str">
        <f>IF(ISNA(MATCH(AC1081,T1077:T1086,0))," ",VLOOKUP(AC1081,T1077:Y1086,5,FALSE))</f>
        <v xml:space="preserve"> </v>
      </c>
      <c r="AG1081" s="419">
        <f>IF(ISNA(MATCH(AC1081,L1077:L1084,0)),0,VLOOKUP(AC1081,L1077:N1084,3,FALSE))</f>
        <v>0</v>
      </c>
      <c r="AH1081" s="419">
        <f>IF(ISNA(MATCH(AC1081,R1077:R1084,0)),0,VLOOKUP(AC1081,R1077:T1084,3,FALSE))</f>
        <v>0</v>
      </c>
      <c r="AI1081" s="419">
        <f>IF(ISNA(MATCH(AC1081,L1077:L1084,0)),0,VLOOKUP(AC1081,L1077:P1084,4,FALSE))</f>
        <v>0</v>
      </c>
      <c r="AJ1081" s="419">
        <f>IF(ISNA(MATCH(AC1081,R1077:R1084,0)),0,VLOOKUP(AC1081,R1077:U1084,4,FALSE))</f>
        <v>0</v>
      </c>
      <c r="AK1081" s="32">
        <f t="shared" si="969"/>
        <v>0</v>
      </c>
      <c r="AL1081" s="32">
        <f t="shared" si="970"/>
        <v>0</v>
      </c>
      <c r="AM1081" s="32">
        <f>IF(ISNA(MATCH(AC1081,L1077:L1084,0)),0,VLOOKUP(AC1081,L1077:W1084,AM$1,FALSE))</f>
        <v>0</v>
      </c>
      <c r="AN1081" s="146">
        <f>IF(ISNA(MATCH(AC1081,R1077:R1084,0)),0,VLOOKUP(AC1081,R1077:W1084,AN$1,FALSE))</f>
        <v>0</v>
      </c>
      <c r="AP1081" s="927"/>
      <c r="AQ1081" s="927"/>
    </row>
    <row r="1082" spans="1:47" ht="15.6" x14ac:dyDescent="0.3">
      <c r="A1082" s="417">
        <f t="shared" si="971"/>
        <v>976</v>
      </c>
      <c r="B1082" s="362" t="str">
        <f>'Event Details'!D$27</f>
        <v>D</v>
      </c>
      <c r="C1082" s="381" t="str">
        <f>'Event Details'!E$27</f>
        <v>Stratford</v>
      </c>
      <c r="D1082" s="379"/>
      <c r="E1082" s="378"/>
      <c r="F1082" s="363">
        <f>VLOOKUP($B1076,IF($H1076="F",TeamSheetFemale,TeamSheetMale),$Y1082-1,FALSE)</f>
        <v>0</v>
      </c>
      <c r="G1082" s="380">
        <f>VLOOKUP($B1076,IF($H1076="F",TeamSheetFemale,TeamSheetMale),$Y1082,FALSE)</f>
        <v>0</v>
      </c>
      <c r="H1082" s="363">
        <f>VLOOKUP($B1076,IF($H1076="F",TeamSheetFemale,TeamSheetMale),$Y1082+1,FALSE)</f>
        <v>0</v>
      </c>
      <c r="I1082" s="364">
        <f>VLOOKUP($B1076,IF($H1076="F",TeamSheetFemale,TeamSheetMale),$Y1082+2,FALSE)</f>
        <v>0</v>
      </c>
      <c r="K1082" s="341" t="s">
        <v>276</v>
      </c>
      <c r="L1082" s="16" t="str">
        <f t="shared" si="964"/>
        <v/>
      </c>
      <c r="M1082" s="927"/>
      <c r="N1082" s="927"/>
      <c r="O1082" s="353" t="str">
        <f>IF(LEN($M1082)=1,VLOOKUP(LEFT($M1082,1),B1077:I1084,5,FALSE),IF(LEN($M1082)=2,VLOOKUP(LEFT($M1082,1),B1077:I1084,7,FALSE),""))</f>
        <v/>
      </c>
      <c r="P1082" s="373" t="str">
        <f>IF(LEN($M1082)=1,VLOOKUP(LEFT($M1082,1),B1077:I1084,6,FALSE),IF(LEN($M1082)=2,VLOOKUP(LEFT($M1082,1),B1077:I1084,8,FALSE),""))</f>
        <v/>
      </c>
      <c r="Q1082" s="341" t="s">
        <v>276</v>
      </c>
      <c r="R1082" s="146" t="str">
        <f t="shared" si="965"/>
        <v/>
      </c>
      <c r="S1082" s="927"/>
      <c r="T1082" s="927"/>
      <c r="U1082" s="353" t="str">
        <f>IF(LEN($S1082)=1,VLOOKUP(LEFT($S1082,1),B1077:I1084,5,FALSE),IF(LEN($S1082)=2,VLOOKUP(LEFT($S1082,1),B1077:I1084,7,FALSE),""))</f>
        <v/>
      </c>
      <c r="V1082" s="373" t="str">
        <f>IF(LEN($S1082)=1,VLOOKUP(LEFT($S1082,1),B1077:I1084,6,FALSE),IF(LEN($S1082)=2,VLOOKUP(LEFT($S1082,1),B1077:I1084,8,FALSE),""))</f>
        <v/>
      </c>
      <c r="W1082" s="417">
        <f t="shared" si="972"/>
        <v>3</v>
      </c>
      <c r="Y1082" s="417">
        <v>32</v>
      </c>
      <c r="Z1082" s="16">
        <f t="shared" si="966"/>
        <v>0</v>
      </c>
      <c r="AA1082" s="146">
        <f t="shared" si="967"/>
        <v>0</v>
      </c>
      <c r="AB1082" s="32"/>
      <c r="AC1082" s="16" t="str">
        <f t="shared" si="968"/>
        <v>D</v>
      </c>
      <c r="AD1082" s="419" t="str">
        <f t="shared" si="968"/>
        <v>Stratford</v>
      </c>
      <c r="AE1082" s="419">
        <f>IF(ISNA(MATCH(AC1082,N1077:N1086,0)),0,VLOOKUP(AC1082,N1077:S1086,5,FALSE))</f>
        <v>0</v>
      </c>
      <c r="AF1082" s="419" t="str">
        <f>IF(ISNA(MATCH(AC1082,T1077:T1086,0))," ",VLOOKUP(AC1082,T1077:Y1086,5,FALSE))</f>
        <v xml:space="preserve"> </v>
      </c>
      <c r="AG1082" s="419">
        <f>IF(ISNA(MATCH(AC1082,L1077:L1084,0)),0,VLOOKUP(AC1082,L1077:N1084,3,FALSE))</f>
        <v>0</v>
      </c>
      <c r="AH1082" s="419">
        <f>IF(ISNA(MATCH(AC1082,R1077:R1084,0)),0,VLOOKUP(AC1082,R1077:T1084,3,FALSE))</f>
        <v>0</v>
      </c>
      <c r="AI1082" s="419">
        <f>IF(ISNA(MATCH(AC1082,L1077:L1084,0)),0,VLOOKUP(AC1082,L1077:P1084,4,FALSE))</f>
        <v>0</v>
      </c>
      <c r="AJ1082" s="419">
        <f>IF(ISNA(MATCH(AC1082,R1077:R1084,0)),0,VLOOKUP(AC1082,R1077:U1084,4,FALSE))</f>
        <v>0</v>
      </c>
      <c r="AK1082" s="32">
        <f t="shared" si="969"/>
        <v>0</v>
      </c>
      <c r="AL1082" s="32">
        <f t="shared" si="970"/>
        <v>0</v>
      </c>
      <c r="AM1082" s="32">
        <f>IF(ISNA(MATCH(AC1082,L1077:L1084,0)),0,VLOOKUP(AC1082,L1077:W1084,AM$1,FALSE))</f>
        <v>0</v>
      </c>
      <c r="AN1082" s="146">
        <f>IF(ISNA(MATCH(AC1082,R1077:R1084,0)),0,VLOOKUP(AC1082,R1077:W1084,AN$1,FALSE))</f>
        <v>0</v>
      </c>
      <c r="AP1082" s="927"/>
      <c r="AQ1082" s="927"/>
    </row>
    <row r="1083" spans="1:47" ht="15.6" x14ac:dyDescent="0.3">
      <c r="A1083" s="417">
        <f t="shared" si="971"/>
        <v>977</v>
      </c>
      <c r="B1083" s="362" t="str">
        <f>'Event Details'!D$28</f>
        <v>F</v>
      </c>
      <c r="C1083" s="381" t="str">
        <f>'Event Details'!E$28</f>
        <v>Tamworth</v>
      </c>
      <c r="D1083" s="379"/>
      <c r="E1083" s="378"/>
      <c r="F1083" s="363">
        <f>VLOOKUP($B1076,IF($H1076="F",TeamSheetFemale,TeamSheetMale),$Y1083-1,FALSE)</f>
        <v>0</v>
      </c>
      <c r="G1083" s="380">
        <f>VLOOKUP($B1076,IF($H1076="F",TeamSheetFemale,TeamSheetMale),$Y1083,FALSE)</f>
        <v>0</v>
      </c>
      <c r="H1083" s="363">
        <f>VLOOKUP($B1076,IF($H1076="F",TeamSheetFemale,TeamSheetMale),$Y1083+1,FALSE)</f>
        <v>0</v>
      </c>
      <c r="I1083" s="364">
        <f>VLOOKUP($B1076,IF($H1076="F",TeamSheetFemale,TeamSheetMale),$Y1083+2,FALSE)</f>
        <v>0</v>
      </c>
      <c r="K1083" s="341" t="s">
        <v>277</v>
      </c>
      <c r="L1083" s="16" t="str">
        <f t="shared" si="964"/>
        <v/>
      </c>
      <c r="M1083" s="931"/>
      <c r="N1083" s="927"/>
      <c r="O1083" s="353" t="str">
        <f>IF(LEN($M1083)=1,VLOOKUP(LEFT($M1083,1),B1077:I1084,5,FALSE),IF(LEN($M1083)=2,VLOOKUP(LEFT($M1083,1),B1077:I1084,7,FALSE),""))</f>
        <v/>
      </c>
      <c r="P1083" s="373" t="str">
        <f>IF(LEN($M1083)=1,VLOOKUP(LEFT($M1083,1),B1077:I1084,6,FALSE),IF(LEN($M1083)=2,VLOOKUP(LEFT($M1083,1),B1077:I1084,8,FALSE),""))</f>
        <v/>
      </c>
      <c r="Q1083" s="341" t="s">
        <v>277</v>
      </c>
      <c r="R1083" s="146" t="str">
        <f t="shared" si="965"/>
        <v/>
      </c>
      <c r="S1083" s="931"/>
      <c r="T1083" s="927"/>
      <c r="U1083" s="353" t="str">
        <f>IF(LEN($S1083)=1,VLOOKUP(LEFT($S1083,1),B1077:I1084,5,FALSE),IF(LEN($S1083)=2,VLOOKUP(LEFT($S1083,1),B1077:I1084,7,FALSE),""))</f>
        <v/>
      </c>
      <c r="V1083" s="373" t="str">
        <f>IF(LEN($S1083)=1,VLOOKUP(LEFT($S1083,1),B1077:I1084,6,FALSE),IF(LEN($S1083)=2,VLOOKUP(LEFT($S1083,1),B1077:I1084,8,FALSE),""))</f>
        <v/>
      </c>
      <c r="W1083" s="417">
        <f t="shared" si="972"/>
        <v>2</v>
      </c>
      <c r="Y1083" s="417">
        <v>37</v>
      </c>
      <c r="Z1083" s="16">
        <f t="shared" si="966"/>
        <v>0</v>
      </c>
      <c r="AA1083" s="146">
        <f t="shared" si="967"/>
        <v>0</v>
      </c>
      <c r="AB1083" s="32"/>
      <c r="AC1083" s="16" t="str">
        <f t="shared" si="968"/>
        <v>F</v>
      </c>
      <c r="AD1083" s="419" t="str">
        <f t="shared" si="968"/>
        <v>Tamworth</v>
      </c>
      <c r="AE1083" s="419">
        <f>IF(ISNA(MATCH(AC1083,N1075:N1084,0)),0,VLOOKUP(AC1083,N1075:S1084,5,FALSE))</f>
        <v>0</v>
      </c>
      <c r="AF1083" s="419" t="str">
        <f>IF(ISNA(MATCH(AC1083,T1075:T1084,0))," ",VLOOKUP(AC1083,T1075:Y1084,5,FALSE))</f>
        <v xml:space="preserve"> </v>
      </c>
      <c r="AG1083" s="419">
        <f>IF(ISNA(MATCH(AC1083,L1077:L1084,0)),0,VLOOKUP(AC1083,L1077:N1084,3,FALSE))</f>
        <v>0</v>
      </c>
      <c r="AH1083" s="419">
        <f>IF(ISNA(MATCH(AC1083,R1077:R1084,0)),0,VLOOKUP(AC1083,R1077:T1084,3,FALSE))</f>
        <v>0</v>
      </c>
      <c r="AI1083" s="419">
        <f>IF(ISNA(MATCH(AC1083,L1077:L1084,0)),0,VLOOKUP(AC1083,L1077:P1084,4,FALSE))</f>
        <v>0</v>
      </c>
      <c r="AJ1083" s="419">
        <f>IF(ISNA(MATCH(AC1083,R1077:R1084,0)),0,VLOOKUP(AC1083,R1077:U1084,4,FALSE))</f>
        <v>0</v>
      </c>
      <c r="AK1083" s="32">
        <f t="shared" si="969"/>
        <v>0</v>
      </c>
      <c r="AL1083" s="32">
        <f t="shared" si="970"/>
        <v>0</v>
      </c>
      <c r="AM1083" s="32">
        <f>IF(ISNA(MATCH(AC1083,L1077:L1084,0)),0,VLOOKUP(AC1083,L1077:W1084,AM$1,FALSE))</f>
        <v>0</v>
      </c>
      <c r="AN1083" s="146">
        <f>IF(ISNA(MATCH(AC1083,R1077:R1084,0)),0,VLOOKUP(AC1083,R1077:W1084,AN$1,FALSE))</f>
        <v>0</v>
      </c>
      <c r="AP1083" s="931"/>
      <c r="AQ1083" s="927"/>
    </row>
    <row r="1084" spans="1:47" ht="16.2" thickBot="1" x14ac:dyDescent="0.35">
      <c r="A1084" s="418">
        <f t="shared" si="971"/>
        <v>978</v>
      </c>
      <c r="B1084" s="365" t="str">
        <f>'Event Details'!D$29</f>
        <v>Y</v>
      </c>
      <c r="C1084" s="366" t="str">
        <f>'Event Details'!E$29</f>
        <v>Worcester</v>
      </c>
      <c r="D1084" s="361"/>
      <c r="E1084" s="370"/>
      <c r="F1084" s="367">
        <f>VLOOKUP($B1076,IF($H1076="F",TeamSheetFemale,TeamSheetMale),$Y1084-1,FALSE)</f>
        <v>0</v>
      </c>
      <c r="G1084" s="368">
        <f>VLOOKUP($B1076,IF($H1076="F",TeamSheetFemale,TeamSheetMale),$Y1084,FALSE)</f>
        <v>0</v>
      </c>
      <c r="H1084" s="367">
        <f>VLOOKUP($B1076,IF($H1076="F",TeamSheetFemale,TeamSheetMale),$Y1084+1,FALSE)</f>
        <v>0</v>
      </c>
      <c r="I1084" s="369">
        <f>VLOOKUP($B1076,IF($H1076="F",TeamSheetFemale,TeamSheetMale),$Y1084+2,FALSE)</f>
        <v>0</v>
      </c>
      <c r="K1084" s="346" t="s">
        <v>278</v>
      </c>
      <c r="L1084" s="25" t="str">
        <f t="shared" si="964"/>
        <v/>
      </c>
      <c r="M1084" s="928" t="s">
        <v>148</v>
      </c>
      <c r="N1084" s="932"/>
      <c r="O1084" s="375" t="str">
        <f>IF(LEN($M1084)=1,VLOOKUP(LEFT($M1084,1),B1077:I1084,5,FALSE),IF(LEN($M1084)=2,VLOOKUP(LEFT($M1084,1),B1077:I1084,7,FALSE),""))</f>
        <v/>
      </c>
      <c r="P1084" s="376" t="str">
        <f>IF(LEN($M1084)=1,VLOOKUP(LEFT($M1084,1),B1077:I1084,6,FALSE),IF(LEN($M1084)=2,VLOOKUP(LEFT($M1084,1),B1077:I1084,8,FALSE),""))</f>
        <v/>
      </c>
      <c r="Q1084" s="346" t="s">
        <v>278</v>
      </c>
      <c r="R1084" s="523" t="str">
        <f t="shared" si="965"/>
        <v/>
      </c>
      <c r="S1084" s="928" t="s">
        <v>148</v>
      </c>
      <c r="T1084" s="932"/>
      <c r="U1084" s="375" t="str">
        <f>IF(LEN($S1084)=1,VLOOKUP(LEFT($S1084,1),B1077:I1084,5,FALSE),IF(LEN($S1084)=2,VLOOKUP(LEFT($S1084,1),B1077:I1084,7,FALSE),""))</f>
        <v/>
      </c>
      <c r="V1084" s="376" t="str">
        <f>IF(LEN($S1084)=1,VLOOKUP(LEFT($S1084,1),B1077:I1084,6,FALSE),IF(LEN($S1084)=2,VLOOKUP(LEFT($S1084,1),B1077:I1084,8,FALSE),""))</f>
        <v/>
      </c>
      <c r="W1084" s="418">
        <f t="shared" si="972"/>
        <v>1</v>
      </c>
      <c r="Y1084" s="418">
        <v>42</v>
      </c>
      <c r="Z1084" s="25">
        <f t="shared" si="966"/>
        <v>0</v>
      </c>
      <c r="AA1084" s="523">
        <f t="shared" si="967"/>
        <v>0</v>
      </c>
      <c r="AB1084" s="32"/>
      <c r="AC1084" s="25" t="str">
        <f t="shared" si="968"/>
        <v>Y</v>
      </c>
      <c r="AD1084" s="624" t="str">
        <f t="shared" si="968"/>
        <v>Worcester</v>
      </c>
      <c r="AE1084" s="624">
        <f>IF(ISNA(MATCH(AC1084,N1076:N1085,0)),0,VLOOKUP(AC1084,N1076:S1085,5,FALSE))</f>
        <v>0</v>
      </c>
      <c r="AF1084" s="624" t="str">
        <f t="shared" ref="AF1084" si="973">IF(ISNA(MATCH(AC1084,T1076:T1085,0))," ",VLOOKUP(AC1084,T1076:Y1085,5,FALSE))</f>
        <v xml:space="preserve"> </v>
      </c>
      <c r="AG1084" s="624">
        <f>IF(ISNA(MATCH(AC1084,L1077:L1084,0)),0,VLOOKUP(AC1084,L1077:N1084,3,FALSE))</f>
        <v>0</v>
      </c>
      <c r="AH1084" s="624">
        <f>IF(ISNA(MATCH(AC1084,R1077:R1084,0)),0,VLOOKUP(AC1084,R1077:T1084,3,FALSE))</f>
        <v>0</v>
      </c>
      <c r="AI1084" s="624">
        <f>IF(ISNA(MATCH(AC1084,L1077:L1084,0)),0,VLOOKUP(AC1084,L1077:P1084,4,FALSE))</f>
        <v>0</v>
      </c>
      <c r="AJ1084" s="624">
        <f>IF(ISNA(MATCH(AC1084,R1077:R1084,0)),0,VLOOKUP(AC1084,R1077:U1084,4,FALSE))</f>
        <v>0</v>
      </c>
      <c r="AK1084" s="116">
        <f t="shared" si="969"/>
        <v>0</v>
      </c>
      <c r="AL1084" s="116">
        <f t="shared" si="970"/>
        <v>0</v>
      </c>
      <c r="AM1084" s="116">
        <f>IF(ISNA(MATCH(AC1084,L1077:L1084,0)),0,VLOOKUP(AC1084,L1077:W1084,AM$1,FALSE))</f>
        <v>0</v>
      </c>
      <c r="AN1084" s="523">
        <f>IF(ISNA(MATCH(AC1084,R1077:R1084,0)),0,VLOOKUP(AC1084,R1077:W1084,AN$1,FALSE))</f>
        <v>0</v>
      </c>
      <c r="AP1084" s="928" t="s">
        <v>148</v>
      </c>
      <c r="AQ1084" s="932"/>
    </row>
    <row r="1085" spans="1:47" ht="15" thickBot="1" x14ac:dyDescent="0.35">
      <c r="K1085" s="1207" t="s">
        <v>281</v>
      </c>
      <c r="M1085" s="276"/>
      <c r="N1085" s="307"/>
      <c r="S1085" s="276"/>
      <c r="T1085" s="307"/>
      <c r="AP1085" s="276"/>
      <c r="AQ1085" s="307"/>
    </row>
    <row r="1086" spans="1:47" x14ac:dyDescent="0.3">
      <c r="B1086" s="400" t="s">
        <v>258</v>
      </c>
      <c r="C1086" s="398"/>
      <c r="D1086" s="401" t="s">
        <v>165</v>
      </c>
      <c r="E1086" s="398"/>
      <c r="F1086" s="398"/>
      <c r="G1086" s="402" t="s">
        <v>259</v>
      </c>
      <c r="H1086" s="403" t="s">
        <v>249</v>
      </c>
      <c r="I1086" s="404" t="s">
        <v>168</v>
      </c>
      <c r="K1086" s="360"/>
      <c r="L1086" s="661"/>
      <c r="M1086" s="387" t="s">
        <v>260</v>
      </c>
      <c r="N1086" s="387" t="s">
        <v>261</v>
      </c>
      <c r="O1086" s="387" t="s">
        <v>262</v>
      </c>
      <c r="P1086" s="388" t="s">
        <v>75</v>
      </c>
      <c r="Q1086" s="412"/>
      <c r="R1086" s="657"/>
      <c r="S1086" s="387" t="s">
        <v>260</v>
      </c>
      <c r="T1086" s="387" t="s">
        <v>261</v>
      </c>
      <c r="U1086" s="387" t="s">
        <v>262</v>
      </c>
      <c r="V1086" s="388" t="s">
        <v>75</v>
      </c>
      <c r="W1086" s="672" t="s">
        <v>76</v>
      </c>
      <c r="Y1086" s="654" t="s">
        <v>263</v>
      </c>
      <c r="Z1086" s="656" t="s">
        <v>74</v>
      </c>
      <c r="AA1086" s="657" t="s">
        <v>75</v>
      </c>
      <c r="AC1086" s="665" t="s">
        <v>71</v>
      </c>
      <c r="AD1086" s="657" t="s">
        <v>86</v>
      </c>
      <c r="AE1086" s="661" t="s">
        <v>149</v>
      </c>
      <c r="AF1086" s="661" t="s">
        <v>94</v>
      </c>
      <c r="AG1086" s="661" t="s">
        <v>149</v>
      </c>
      <c r="AH1086" s="661" t="s">
        <v>94</v>
      </c>
      <c r="AI1086" s="661" t="s">
        <v>149</v>
      </c>
      <c r="AJ1086" s="661" t="s">
        <v>94</v>
      </c>
      <c r="AK1086" s="1332" t="s">
        <v>149</v>
      </c>
      <c r="AL1086" s="661" t="s">
        <v>94</v>
      </c>
      <c r="AM1086" s="1406" t="s">
        <v>76</v>
      </c>
      <c r="AN1086" s="1407"/>
      <c r="AP1086" s="387" t="s">
        <v>260</v>
      </c>
      <c r="AQ1086" s="387" t="s">
        <v>261</v>
      </c>
      <c r="AS1086" s="1218" t="s">
        <v>165</v>
      </c>
      <c r="AT1086" s="1219" t="s">
        <v>79</v>
      </c>
      <c r="AU1086" s="1220" t="s">
        <v>80</v>
      </c>
    </row>
    <row r="1087" spans="1:47" ht="15" thickBot="1" x14ac:dyDescent="0.35">
      <c r="B1087" s="405">
        <v>98</v>
      </c>
      <c r="C1087" s="399"/>
      <c r="D1087" s="385" t="str">
        <f>VLOOKUP($B1087,EventOrder,6,FALSE)</f>
        <v>1500m U16 Male</v>
      </c>
      <c r="E1087" s="399"/>
      <c r="F1087" s="385"/>
      <c r="G1087" s="386" t="str">
        <f>VLOOKUP($B1087,EventOrder,4,FALSE)</f>
        <v>U16 Male</v>
      </c>
      <c r="H1087" s="396" t="str">
        <f>IF(MID(G1087,5,1)="F","F","M")</f>
        <v>M</v>
      </c>
      <c r="I1087" s="397">
        <f>VLOOKUP($B1087,EventOrder,2,FALSE)</f>
        <v>3.2</v>
      </c>
      <c r="K1087" s="372"/>
      <c r="L1087" s="667" t="s">
        <v>149</v>
      </c>
      <c r="M1087" s="409" t="s">
        <v>264</v>
      </c>
      <c r="N1087" s="409" t="s">
        <v>265</v>
      </c>
      <c r="O1087" s="409" t="s">
        <v>266</v>
      </c>
      <c r="P1087" s="408"/>
      <c r="Q1087" s="413"/>
      <c r="R1087" s="659" t="s">
        <v>94</v>
      </c>
      <c r="S1087" s="409" t="s">
        <v>264</v>
      </c>
      <c r="T1087" s="409" t="s">
        <v>265</v>
      </c>
      <c r="U1087" s="409" t="s">
        <v>266</v>
      </c>
      <c r="V1087" s="408"/>
      <c r="W1087" s="671"/>
      <c r="Y1087" s="655" t="s">
        <v>167</v>
      </c>
      <c r="Z1087" s="658" t="s">
        <v>149</v>
      </c>
      <c r="AA1087" s="659" t="s">
        <v>94</v>
      </c>
      <c r="AC1087" s="666"/>
      <c r="AD1087" s="668"/>
      <c r="AE1087" s="768" t="s">
        <v>75</v>
      </c>
      <c r="AF1087" s="768" t="s">
        <v>75</v>
      </c>
      <c r="AG1087" s="768" t="s">
        <v>267</v>
      </c>
      <c r="AH1087" s="768" t="s">
        <v>267</v>
      </c>
      <c r="AI1087" s="768" t="s">
        <v>268</v>
      </c>
      <c r="AJ1087" s="768" t="s">
        <v>268</v>
      </c>
      <c r="AK1087" s="770" t="s">
        <v>269</v>
      </c>
      <c r="AL1087" s="768" t="s">
        <v>269</v>
      </c>
      <c r="AM1087" s="667" t="s">
        <v>149</v>
      </c>
      <c r="AN1087" s="659" t="s">
        <v>94</v>
      </c>
      <c r="AP1087" s="409" t="s">
        <v>264</v>
      </c>
      <c r="AQ1087" s="409" t="s">
        <v>265</v>
      </c>
      <c r="AS1087" s="1221" t="s">
        <v>270</v>
      </c>
      <c r="AT1087" s="1222" t="s">
        <v>270</v>
      </c>
      <c r="AU1087" s="1223" t="s">
        <v>270</v>
      </c>
    </row>
    <row r="1088" spans="1:47" ht="15.6" x14ac:dyDescent="0.3">
      <c r="A1088" s="416">
        <f>(B1087*10)+1</f>
        <v>981</v>
      </c>
      <c r="B1088" s="362" t="str">
        <f>'Event Details'!D$22</f>
        <v>S</v>
      </c>
      <c r="C1088" s="381" t="str">
        <f>'Event Details'!E$22</f>
        <v>BRAT</v>
      </c>
      <c r="D1088" s="379"/>
      <c r="E1088" s="378"/>
      <c r="F1088" s="363">
        <f>VLOOKUP($B1087,IF($H1087="F",TeamSheetFemale,TeamSheetMale),$Y1088-1,FALSE)</f>
        <v>0</v>
      </c>
      <c r="G1088" s="380">
        <f>VLOOKUP($B1087,IF($H1087="F",TeamSheetFemale,TeamSheetMale),$Y1088,FALSE)</f>
        <v>0</v>
      </c>
      <c r="H1088" s="363">
        <f>VLOOKUP($B1087,IF($H1087="F",TeamSheetFemale,TeamSheetMale),$Y1088+1,FALSE)</f>
        <v>0</v>
      </c>
      <c r="I1088" s="364">
        <f>VLOOKUP($B1087,IF($H1087="F",TeamSheetFemale,TeamSheetMale),$Y1088+2,FALSE)</f>
        <v>0</v>
      </c>
      <c r="K1088" s="393" t="s">
        <v>271</v>
      </c>
      <c r="L1088" s="16" t="str">
        <f t="shared" ref="L1088:L1095" si="974">LEFT(M1088,1)</f>
        <v/>
      </c>
      <c r="M1088" s="926"/>
      <c r="N1088" s="926"/>
      <c r="O1088" s="394" t="str">
        <f>IF(LEN($M1088)=1,VLOOKUP(LEFT($M1088,1),B1088:I1095,5,FALSE),IF(LEN($M1088)=2,VLOOKUP(LEFT($M1088,1),B1088:I1095,7,FALSE),""))</f>
        <v/>
      </c>
      <c r="P1088" s="395" t="str">
        <f>IF(LEN($M1088)=1,VLOOKUP(LEFT($M1088,1),B1088:I1095,6,FALSE),IF(LEN($M1088)=2,VLOOKUP(LEFT($M1088,1),B1088:I1095,8,FALSE),""))</f>
        <v/>
      </c>
      <c r="Q1088" s="406" t="s">
        <v>271</v>
      </c>
      <c r="R1088" s="146" t="str">
        <f t="shared" ref="R1088:R1095" si="975">LEFT(S1088,1)</f>
        <v/>
      </c>
      <c r="S1088" s="926"/>
      <c r="T1088" s="926"/>
      <c r="U1088" s="394" t="str">
        <f>IF(LEN($S1088)=1,VLOOKUP(LEFT($S1088,1),B1088:I1095,5,FALSE),IF(LEN($S1088)=2,VLOOKUP(LEFT($S1088,1),B1088:I1095,7,FALSE),""))</f>
        <v/>
      </c>
      <c r="V1088" s="395" t="str">
        <f>IF(LEN($S1088)=1,VLOOKUP(LEFT($S1088,1),B1088:I1095,6,FALSE),IF(LEN($S1088)=2,VLOOKUP(LEFT($S1088,1),B1088:I1095,8,FALSE),""))</f>
        <v/>
      </c>
      <c r="W1088" s="417">
        <f>AN$6</f>
        <v>8</v>
      </c>
      <c r="Y1088" s="653">
        <v>7</v>
      </c>
      <c r="Z1088" s="653">
        <f t="shared" ref="Z1088:Z1095" si="976">IF(LEN(M1088)&gt;0,VLOOKUP(LEFT(M1088,1),ShortName,5,FALSE),0)</f>
        <v>0</v>
      </c>
      <c r="AA1088" s="138">
        <f t="shared" ref="AA1088:AA1095" si="977">IF(LEN(S1088)&gt;0,VLOOKUP(LEFT(S1088,1),ShortName,5,FALSE),0)</f>
        <v>0</v>
      </c>
      <c r="AC1088" s="16" t="str">
        <f t="shared" ref="AC1088:AD1095" si="978">B1088</f>
        <v>S</v>
      </c>
      <c r="AD1088" s="419" t="str">
        <f t="shared" si="978"/>
        <v>BRAT</v>
      </c>
      <c r="AE1088" s="635">
        <f>IF(ISNA(MATCH(AC1088,N1088:N1097,0)),0,VLOOKUP(AC1088,N1088:S1097,5,FALSE))</f>
        <v>0</v>
      </c>
      <c r="AF1088" s="635" t="str">
        <f>IF(ISNA(MATCH(AC1088,T1088:T1097,0))," ",VLOOKUP(AC1088,T1088:Y1097,5,FALSE))</f>
        <v xml:space="preserve"> </v>
      </c>
      <c r="AG1088" s="635">
        <f>IF(ISNA(MATCH(AC1088,L1088:L1095,0)),0,VLOOKUP(AC1088,L1088:N1095,3,FALSE))</f>
        <v>0</v>
      </c>
      <c r="AH1088" s="635">
        <f>IF(ISNA(MATCH(AC1088,R1088:R1095,0)),0,VLOOKUP(AC1088,R1088:T1095,3,FALSE))</f>
        <v>0</v>
      </c>
      <c r="AI1088" s="635">
        <f>IF(ISNA(MATCH(AC1088,L1088:L1095,0)),0,VLOOKUP(AC1088,L1088:P1095,4,FALSE))</f>
        <v>0</v>
      </c>
      <c r="AJ1088" s="635">
        <f>IF(ISNA(MATCH(AC1088,R1088:R1095,0)),0,VLOOKUP(AC1088,R1088:U1095,4,FALSE))</f>
        <v>0</v>
      </c>
      <c r="AK1088" s="49">
        <f t="shared" ref="AK1088:AK1095" si="979">IF(AM1088=0,0,AN$6-(AM1088-1))</f>
        <v>0</v>
      </c>
      <c r="AL1088" s="49">
        <f t="shared" ref="AL1088:AL1095" si="980">IF(AN1088=0,0,AN$6-(AN1088-1))</f>
        <v>0</v>
      </c>
      <c r="AM1088" s="49">
        <f>IF(ISNA(MATCH(AC1088,L1088:L1095,0)),0,VLOOKUP(AC1088,L1088:W1095,AM$1,FALSE))</f>
        <v>0</v>
      </c>
      <c r="AN1088" s="138">
        <f>IF(ISNA(MATCH(AC1088,R1088:R1095,0)),0,VLOOKUP(AC1088,R1088:W1095,AN$1,FALSE))</f>
        <v>0</v>
      </c>
      <c r="AP1088" s="926"/>
      <c r="AQ1088" s="926"/>
      <c r="AS1088" s="32">
        <f>IF(LEN(N1088)&gt;0,1,0)</f>
        <v>0</v>
      </c>
      <c r="AT1088" s="32">
        <f>IF(AND(AS1088=1,H1087="M"),1,0)</f>
        <v>0</v>
      </c>
      <c r="AU1088" s="32">
        <f>IF(AND(AS1088=1,H1087="F"),1,0)</f>
        <v>0</v>
      </c>
    </row>
    <row r="1089" spans="1:47" ht="15.6" x14ac:dyDescent="0.3">
      <c r="A1089" s="417">
        <f>A1088+1</f>
        <v>982</v>
      </c>
      <c r="B1089" s="362" t="str">
        <f>'Event Details'!D$23</f>
        <v>U</v>
      </c>
      <c r="C1089" s="381" t="str">
        <f>'Event Details'!E$23</f>
        <v>Kidder &amp; Stourport</v>
      </c>
      <c r="D1089" s="379"/>
      <c r="E1089" s="378"/>
      <c r="F1089" s="363">
        <f>VLOOKUP($B1087,IF($H1087="F",TeamSheetFemale,TeamSheetMale),$Y1089-1,FALSE)</f>
        <v>0</v>
      </c>
      <c r="G1089" s="380">
        <f>VLOOKUP($B1087,IF($H1087="F",TeamSheetFemale,TeamSheetMale),$Y1089,FALSE)</f>
        <v>0</v>
      </c>
      <c r="H1089" s="363">
        <f>VLOOKUP($B1087,IF($H1087="F",TeamSheetFemale,TeamSheetMale),$Y1089+1,FALSE)</f>
        <v>0</v>
      </c>
      <c r="I1089" s="364">
        <f>VLOOKUP($B1087,IF($H1087="F",TeamSheetFemale,TeamSheetMale),$Y1089+2,FALSE)</f>
        <v>0</v>
      </c>
      <c r="K1089" s="341" t="s">
        <v>272</v>
      </c>
      <c r="L1089" s="16" t="str">
        <f t="shared" si="974"/>
        <v/>
      </c>
      <c r="M1089" s="927"/>
      <c r="N1089" s="927"/>
      <c r="O1089" s="354" t="str">
        <f>IF(LEN($M1089)=1,VLOOKUP(LEFT($M1089,1),B1088:I1095,5,FALSE),IF(LEN($M1089)=2,VLOOKUP(LEFT($M1089,1),B1088:I1095,7,FALSE),""))</f>
        <v/>
      </c>
      <c r="P1089" s="410" t="str">
        <f>IF(LEN($M1089)=1,VLOOKUP(LEFT($M1089,1),B1088:I1095,6,FALSE),IF(LEN($M1089)=2,VLOOKUP(LEFT($M1089,1),B1088:I1095,8,FALSE),""))</f>
        <v/>
      </c>
      <c r="Q1089" s="371" t="s">
        <v>272</v>
      </c>
      <c r="R1089" s="146" t="str">
        <f t="shared" si="975"/>
        <v/>
      </c>
      <c r="S1089" s="927"/>
      <c r="T1089" s="927"/>
      <c r="U1089" s="354" t="str">
        <f>IF(LEN($S1089)=1,VLOOKUP(LEFT($S1089,1),B1088:I1095,5,FALSE),IF(LEN($S1089)=2,VLOOKUP(LEFT($S1089,1),B1088:I1095,7,FALSE),""))</f>
        <v/>
      </c>
      <c r="V1089" s="410" t="str">
        <f>IF(LEN($S1089)=1,VLOOKUP(LEFT($S1089,1),B1088:I1095,6,FALSE),IF(LEN($S1089)=2,VLOOKUP(LEFT($S1089,1),B1088:I1095,8,FALSE),""))</f>
        <v/>
      </c>
      <c r="W1089" s="417">
        <f>W1088-1</f>
        <v>7</v>
      </c>
      <c r="Y1089" s="16">
        <v>12</v>
      </c>
      <c r="Z1089" s="16">
        <f t="shared" si="976"/>
        <v>0</v>
      </c>
      <c r="AA1089" s="146">
        <f t="shared" si="977"/>
        <v>0</v>
      </c>
      <c r="AC1089" s="16" t="str">
        <f t="shared" si="978"/>
        <v>U</v>
      </c>
      <c r="AD1089" s="419" t="str">
        <f t="shared" si="978"/>
        <v>Kidder &amp; Stourport</v>
      </c>
      <c r="AE1089" s="419">
        <f>IF(ISNA(MATCH(AC1089,N1088:N1097,0)),0,VLOOKUP(AC1089,N1088:S1097,5,FALSE))</f>
        <v>0</v>
      </c>
      <c r="AF1089" s="419" t="str">
        <f>IF(ISNA(MATCH(AC1089,T1088:T1097,0))," ",VLOOKUP(AC1089,T1088:Y1097,5,FALSE))</f>
        <v xml:space="preserve"> </v>
      </c>
      <c r="AG1089" s="419">
        <f>IF(ISNA(MATCH(AC1089,L1088:L1095,0)),0,VLOOKUP(AC1089,L1088:N1095,3,FALSE))</f>
        <v>0</v>
      </c>
      <c r="AH1089" s="419">
        <f>IF(ISNA(MATCH(AC1089,R1088:R1095,0)),0,VLOOKUP(AC1089,R1088:T1095,3,FALSE))</f>
        <v>0</v>
      </c>
      <c r="AI1089" s="419">
        <f>IF(ISNA(MATCH(AC1089,L1088:L1095,0)),0,VLOOKUP(AC1089,L1088:P1095,4,FALSE))</f>
        <v>0</v>
      </c>
      <c r="AJ1089" s="419">
        <f>IF(ISNA(MATCH(AC1089,R1088:R1095,0)),0,VLOOKUP(AC1089,R1088:U1095,4,FALSE))</f>
        <v>0</v>
      </c>
      <c r="AK1089" s="32">
        <f t="shared" si="979"/>
        <v>0</v>
      </c>
      <c r="AL1089" s="32">
        <f t="shared" si="980"/>
        <v>0</v>
      </c>
      <c r="AM1089" s="32">
        <f>IF(ISNA(MATCH(AC1089,L1088:L1095,0)),0,VLOOKUP(AC1089,L1088:W1095,AM$1,FALSE))</f>
        <v>0</v>
      </c>
      <c r="AN1089" s="146">
        <f>IF(ISNA(MATCH(AC1089,R1088:R1095,0)),0,VLOOKUP(AC1089,R1088:W1095,AN$1,FALSE))</f>
        <v>0</v>
      </c>
      <c r="AP1089" s="927"/>
      <c r="AQ1089" s="927"/>
    </row>
    <row r="1090" spans="1:47" ht="15.6" x14ac:dyDescent="0.3">
      <c r="A1090" s="417">
        <f t="shared" ref="A1090:A1095" si="981">A1089+1</f>
        <v>983</v>
      </c>
      <c r="B1090" s="362" t="str">
        <f>'Event Details'!D$24</f>
        <v>G</v>
      </c>
      <c r="C1090" s="381" t="str">
        <f>'Event Details'!E$24</f>
        <v>Royal Sutton</v>
      </c>
      <c r="D1090" s="379"/>
      <c r="E1090" s="378"/>
      <c r="F1090" s="363">
        <f>VLOOKUP($B1087,IF($H1087="F",TeamSheetFemale,TeamSheetMale),$Y1090-1,FALSE)</f>
        <v>0</v>
      </c>
      <c r="G1090" s="380">
        <f>VLOOKUP($B1087,IF($H1087="F",TeamSheetFemale,TeamSheetMale),$Y1090,FALSE)</f>
        <v>0</v>
      </c>
      <c r="H1090" s="363">
        <f>VLOOKUP($B1087,IF($H1087="F",TeamSheetFemale,TeamSheetMale),$Y1090+1,FALSE)</f>
        <v>0</v>
      </c>
      <c r="I1090" s="364">
        <f>VLOOKUP($B1087,IF($H1087="F",TeamSheetFemale,TeamSheetMale),$Y1090+2,FALSE)</f>
        <v>0</v>
      </c>
      <c r="K1090" s="341" t="s">
        <v>273</v>
      </c>
      <c r="L1090" s="16" t="str">
        <f t="shared" si="974"/>
        <v/>
      </c>
      <c r="M1090" s="927"/>
      <c r="N1090" s="927"/>
      <c r="O1090" s="354" t="str">
        <f>IF(LEN($M1090)=1,VLOOKUP(LEFT($M1090,1),B1088:I1095,5,FALSE),IF(LEN($M1090)=2,VLOOKUP(LEFT($M1090,1),B1088:I1095,7,FALSE),""))</f>
        <v/>
      </c>
      <c r="P1090" s="410" t="str">
        <f>IF(LEN($M1090)=1,VLOOKUP(LEFT($M1090,1),B1088:I1095,6,FALSE),IF(LEN($M1090)=2,VLOOKUP(LEFT($M1090,1),B1088:I1095,8,FALSE),""))</f>
        <v/>
      </c>
      <c r="Q1090" s="371" t="s">
        <v>273</v>
      </c>
      <c r="R1090" s="146" t="str">
        <f t="shared" si="975"/>
        <v/>
      </c>
      <c r="S1090" s="927"/>
      <c r="T1090" s="927"/>
      <c r="U1090" s="354" t="str">
        <f>IF(LEN($S1090)=1,VLOOKUP(LEFT($S1090,1),B1088:I1095,5,FALSE),IF(LEN($S1090)=2,VLOOKUP(LEFT($S1090,1),B1088:I1095,7,FALSE),""))</f>
        <v/>
      </c>
      <c r="V1090" s="410" t="str">
        <f>IF(LEN($S1090)=1,VLOOKUP(LEFT($S1090,1),B1088:I1095,6,FALSE),IF(LEN($S1090)=2,VLOOKUP(LEFT($S1090,1),B1088:I1095,8,FALSE),""))</f>
        <v/>
      </c>
      <c r="W1090" s="417">
        <f t="shared" ref="W1090:W1095" si="982">W1089-1</f>
        <v>6</v>
      </c>
      <c r="Y1090" s="16">
        <v>17</v>
      </c>
      <c r="Z1090" s="16">
        <f t="shared" si="976"/>
        <v>0</v>
      </c>
      <c r="AA1090" s="146">
        <f t="shared" si="977"/>
        <v>0</v>
      </c>
      <c r="AC1090" s="16" t="str">
        <f t="shared" si="978"/>
        <v>G</v>
      </c>
      <c r="AD1090" s="419" t="str">
        <f t="shared" si="978"/>
        <v>Royal Sutton</v>
      </c>
      <c r="AE1090" s="419">
        <f>IF(ISNA(MATCH(AC1090,N1088:N1097,0)),0,VLOOKUP(AC1090,N1088:S1097,5,FALSE))</f>
        <v>0</v>
      </c>
      <c r="AF1090" s="419" t="str">
        <f>IF(ISNA(MATCH(AC1090,T1088:T1097,0))," ",VLOOKUP(AC1090,T1088:Y1097,5,FALSE))</f>
        <v xml:space="preserve"> </v>
      </c>
      <c r="AG1090" s="419">
        <f>IF(ISNA(MATCH(AC1090,L1088:L1095,0)),0,VLOOKUP(AC1090,L1088:N1095,3,FALSE))</f>
        <v>0</v>
      </c>
      <c r="AH1090" s="419">
        <f>IF(ISNA(MATCH(AC1090,R1088:R1095,0)),0,VLOOKUP(AC1090,R1088:T1095,3,FALSE))</f>
        <v>0</v>
      </c>
      <c r="AI1090" s="419">
        <f>IF(ISNA(MATCH(AC1090,L1088:L1095,0)),0,VLOOKUP(AC1090,L1088:P1095,4,FALSE))</f>
        <v>0</v>
      </c>
      <c r="AJ1090" s="419">
        <f>IF(ISNA(MATCH(AC1090,R1088:R1095,0)),0,VLOOKUP(AC1090,R1088:U1095,4,FALSE))</f>
        <v>0</v>
      </c>
      <c r="AK1090" s="32">
        <f t="shared" si="979"/>
        <v>0</v>
      </c>
      <c r="AL1090" s="32">
        <f t="shared" si="980"/>
        <v>0</v>
      </c>
      <c r="AM1090" s="32">
        <f>IF(ISNA(MATCH(AC1090,L1088:L1095,0)),0,VLOOKUP(AC1090,L1088:W1095,AM$1,FALSE))</f>
        <v>0</v>
      </c>
      <c r="AN1090" s="146">
        <f>IF(ISNA(MATCH(AC1090,R1088:R1095,0)),0,VLOOKUP(AC1090,R1088:W1095,AN$1,FALSE))</f>
        <v>0</v>
      </c>
      <c r="AP1090" s="927"/>
      <c r="AQ1090" s="927"/>
    </row>
    <row r="1091" spans="1:47" ht="15.6" x14ac:dyDescent="0.3">
      <c r="A1091" s="417">
        <f t="shared" si="981"/>
        <v>984</v>
      </c>
      <c r="B1091" s="362" t="str">
        <f>'Event Details'!D$25</f>
        <v>R</v>
      </c>
      <c r="C1091" s="381" t="str">
        <f>'Event Details'!E$25</f>
        <v>Rugby &amp; N'hampton</v>
      </c>
      <c r="D1091" s="379"/>
      <c r="E1091" s="378"/>
      <c r="F1091" s="363">
        <f>VLOOKUP($B1087,IF($H1087="F",TeamSheetFemale,TeamSheetMale),$Y1091-1,FALSE)</f>
        <v>0</v>
      </c>
      <c r="G1091" s="380">
        <f>VLOOKUP($B1087,IF($H1087="F",TeamSheetFemale,TeamSheetMale),$Y1091,FALSE)</f>
        <v>0</v>
      </c>
      <c r="H1091" s="363">
        <f>VLOOKUP($B1087,IF($H1087="F",TeamSheetFemale,TeamSheetMale),$Y1091+1,FALSE)</f>
        <v>0</v>
      </c>
      <c r="I1091" s="364">
        <f>VLOOKUP($B1087,IF($H1087="F",TeamSheetFemale,TeamSheetMale),$Y1091+2,FALSE)</f>
        <v>0</v>
      </c>
      <c r="K1091" s="341" t="s">
        <v>274</v>
      </c>
      <c r="L1091" s="16" t="str">
        <f t="shared" si="974"/>
        <v/>
      </c>
      <c r="M1091" s="927"/>
      <c r="N1091" s="927"/>
      <c r="O1091" s="354" t="str">
        <f>IF(LEN($M1091)=1,VLOOKUP(LEFT($M1091,1),B1088:I1095,5,FALSE),IF(LEN($M1091)=2,VLOOKUP(LEFT($M1091,1),B1088:I1095,7,FALSE),""))</f>
        <v/>
      </c>
      <c r="P1091" s="410" t="str">
        <f>IF(LEN($M1091)=1,VLOOKUP(LEFT($M1091,1),B1088:I1095,6,FALSE),IF(LEN($M1091)=2,VLOOKUP(LEFT($M1091,1),B1088:I1095,8,FALSE),""))</f>
        <v/>
      </c>
      <c r="Q1091" s="371" t="s">
        <v>274</v>
      </c>
      <c r="R1091" s="146" t="str">
        <f t="shared" si="975"/>
        <v/>
      </c>
      <c r="S1091" s="927"/>
      <c r="T1091" s="927"/>
      <c r="U1091" s="354" t="str">
        <f>IF(LEN($S1091)=1,VLOOKUP(LEFT($S1091,1),B1088:I1095,5,FALSE),IF(LEN($S1091)=2,VLOOKUP(LEFT($S1091,1),B1088:I1095,7,FALSE),""))</f>
        <v/>
      </c>
      <c r="V1091" s="410" t="str">
        <f>IF(LEN($S1091)=1,VLOOKUP(LEFT($S1091,1),B1088:I1095,6,FALSE),IF(LEN($S1091)=2,VLOOKUP(LEFT($S1091,1),B1088:I1095,8,FALSE),""))</f>
        <v/>
      </c>
      <c r="W1091" s="417">
        <f t="shared" si="982"/>
        <v>5</v>
      </c>
      <c r="Y1091" s="16">
        <v>22</v>
      </c>
      <c r="Z1091" s="16">
        <f t="shared" si="976"/>
        <v>0</v>
      </c>
      <c r="AA1091" s="146">
        <f t="shared" si="977"/>
        <v>0</v>
      </c>
      <c r="AC1091" s="16" t="str">
        <f t="shared" si="978"/>
        <v>R</v>
      </c>
      <c r="AD1091" s="419" t="str">
        <f t="shared" si="978"/>
        <v>Rugby &amp; N'hampton</v>
      </c>
      <c r="AE1091" s="419">
        <f>IF(ISNA(MATCH(AC1091,N1088:N1097,0)),0,VLOOKUP(AC1091,N1088:S1097,5,FALSE))</f>
        <v>0</v>
      </c>
      <c r="AF1091" s="419" t="str">
        <f>IF(ISNA(MATCH(AC1091,T1088:T1097,0))," ",VLOOKUP(AC1091,T1088:Y1097,5,FALSE))</f>
        <v xml:space="preserve"> </v>
      </c>
      <c r="AG1091" s="419">
        <f>IF(ISNA(MATCH(AC1091,L1088:L1095,0)),0,VLOOKUP(AC1091,L1088:N1095,3,FALSE))</f>
        <v>0</v>
      </c>
      <c r="AH1091" s="419">
        <f>IF(ISNA(MATCH(AC1091,R1088:R1095,0)),0,VLOOKUP(AC1091,R1088:T1095,3,FALSE))</f>
        <v>0</v>
      </c>
      <c r="AI1091" s="419">
        <f>IF(ISNA(MATCH(AC1091,L1088:L1095,0)),0,VLOOKUP(AC1091,L1088:P1095,4,FALSE))</f>
        <v>0</v>
      </c>
      <c r="AJ1091" s="419">
        <f>IF(ISNA(MATCH(AC1091,R1088:R1095,0)),0,VLOOKUP(AC1091,R1088:U1095,4,FALSE))</f>
        <v>0</v>
      </c>
      <c r="AK1091" s="32">
        <f t="shared" si="979"/>
        <v>0</v>
      </c>
      <c r="AL1091" s="32">
        <f t="shared" si="980"/>
        <v>0</v>
      </c>
      <c r="AM1091" s="32">
        <f>IF(ISNA(MATCH(AC1091,L1088:L1095,0)),0,VLOOKUP(AC1091,L1088:W1095,AM$1,FALSE))</f>
        <v>0</v>
      </c>
      <c r="AN1091" s="146">
        <f>IF(ISNA(MATCH(AC1091,R1088:R1095,0)),0,VLOOKUP(AC1091,R1088:W1095,AN$1,FALSE))</f>
        <v>0</v>
      </c>
      <c r="AP1091" s="927"/>
      <c r="AQ1091" s="927"/>
    </row>
    <row r="1092" spans="1:47" ht="15.6" x14ac:dyDescent="0.3">
      <c r="A1092" s="417">
        <f t="shared" si="981"/>
        <v>985</v>
      </c>
      <c r="B1092" s="362" t="str">
        <f>'Event Details'!D$26</f>
        <v>M</v>
      </c>
      <c r="C1092" s="381" t="str">
        <f>'Event Details'!E$26</f>
        <v>Solihull &amp; S.Heath</v>
      </c>
      <c r="D1092" s="379"/>
      <c r="E1092" s="378"/>
      <c r="F1092" s="363">
        <f>VLOOKUP($B1087,IF($H1087="F",TeamSheetFemale,TeamSheetMale),$Y1092-1,FALSE)</f>
        <v>0</v>
      </c>
      <c r="G1092" s="380">
        <f>VLOOKUP($B1087,IF($H1087="F",TeamSheetFemale,TeamSheetMale),$Y1092,FALSE)</f>
        <v>0</v>
      </c>
      <c r="H1092" s="363">
        <f>VLOOKUP($B1087,IF($H1087="F",TeamSheetFemale,TeamSheetMale),$Y1092+1,FALSE)</f>
        <v>0</v>
      </c>
      <c r="I1092" s="364">
        <f>VLOOKUP($B1087,IF($H1087="F",TeamSheetFemale,TeamSheetMale),$Y1092+2,FALSE)</f>
        <v>0</v>
      </c>
      <c r="K1092" s="341" t="s">
        <v>275</v>
      </c>
      <c r="L1092" s="16" t="str">
        <f t="shared" si="974"/>
        <v/>
      </c>
      <c r="M1092" s="927"/>
      <c r="N1092" s="927"/>
      <c r="O1092" s="354" t="str">
        <f>IF(LEN($M1092)=1,VLOOKUP(LEFT($M1092,1),B1088:I1095,5,FALSE),IF(LEN($M1092)=2,VLOOKUP(LEFT($M1092,1),B1088:I1095,7,FALSE),""))</f>
        <v/>
      </c>
      <c r="P1092" s="410" t="str">
        <f>IF(LEN($M1092)=1,VLOOKUP(LEFT($M1092,1),B1088:I1095,6,FALSE),IF(LEN($M1092)=2,VLOOKUP(LEFT($M1092,1),B1088:I1095,8,FALSE),""))</f>
        <v/>
      </c>
      <c r="Q1092" s="371" t="s">
        <v>275</v>
      </c>
      <c r="R1092" s="146" t="str">
        <f t="shared" si="975"/>
        <v/>
      </c>
      <c r="S1092" s="927"/>
      <c r="T1092" s="927"/>
      <c r="U1092" s="354" t="str">
        <f>IF(LEN($S1092)=1,VLOOKUP(LEFT($S1092,1),B1088:I1095,5,FALSE),IF(LEN($S1092)=2,VLOOKUP(LEFT($S1092,1),B1088:I1095,7,FALSE),""))</f>
        <v/>
      </c>
      <c r="V1092" s="410" t="str">
        <f>IF(LEN($S1092)=1,VLOOKUP(LEFT($S1092,1),B1088:I1095,6,FALSE),IF(LEN($S1092)=2,VLOOKUP(LEFT($S1092,1),B1088:I1095,8,FALSE),""))</f>
        <v/>
      </c>
      <c r="W1092" s="417">
        <f t="shared" si="982"/>
        <v>4</v>
      </c>
      <c r="Y1092" s="16">
        <v>27</v>
      </c>
      <c r="Z1092" s="16">
        <f t="shared" si="976"/>
        <v>0</v>
      </c>
      <c r="AA1092" s="146">
        <f t="shared" si="977"/>
        <v>0</v>
      </c>
      <c r="AC1092" s="16" t="str">
        <f t="shared" si="978"/>
        <v>M</v>
      </c>
      <c r="AD1092" s="419" t="str">
        <f t="shared" si="978"/>
        <v>Solihull &amp; S.Heath</v>
      </c>
      <c r="AE1092" s="419">
        <f>IF(ISNA(MATCH(AC1092,N1088:N1097,0)),0,VLOOKUP(AC1092,N1088:S1097,5,FALSE))</f>
        <v>0</v>
      </c>
      <c r="AF1092" s="419" t="str">
        <f>IF(ISNA(MATCH(AC1092,T1088:T1097,0))," ",VLOOKUP(AC1092,T1088:Y1097,5,FALSE))</f>
        <v xml:space="preserve"> </v>
      </c>
      <c r="AG1092" s="419">
        <f>IF(ISNA(MATCH(AC1092,L1088:L1095,0)),0,VLOOKUP(AC1092,L1088:N1095,3,FALSE))</f>
        <v>0</v>
      </c>
      <c r="AH1092" s="419">
        <f>IF(ISNA(MATCH(AC1092,R1088:R1095,0)),0,VLOOKUP(AC1092,R1088:T1095,3,FALSE))</f>
        <v>0</v>
      </c>
      <c r="AI1092" s="419">
        <f>IF(ISNA(MATCH(AC1092,L1088:L1095,0)),0,VLOOKUP(AC1092,L1088:P1095,4,FALSE))</f>
        <v>0</v>
      </c>
      <c r="AJ1092" s="419">
        <f>IF(ISNA(MATCH(AC1092,R1088:R1095,0)),0,VLOOKUP(AC1092,R1088:U1095,4,FALSE))</f>
        <v>0</v>
      </c>
      <c r="AK1092" s="32">
        <f t="shared" si="979"/>
        <v>0</v>
      </c>
      <c r="AL1092" s="32">
        <f t="shared" si="980"/>
        <v>0</v>
      </c>
      <c r="AM1092" s="32">
        <f>IF(ISNA(MATCH(AC1092,L1088:L1095,0)),0,VLOOKUP(AC1092,L1088:W1095,AM$1,FALSE))</f>
        <v>0</v>
      </c>
      <c r="AN1092" s="146">
        <f>IF(ISNA(MATCH(AC1092,R1088:R1095,0)),0,VLOOKUP(AC1092,R1088:W1095,AN$1,FALSE))</f>
        <v>0</v>
      </c>
      <c r="AP1092" s="927"/>
      <c r="AQ1092" s="927"/>
    </row>
    <row r="1093" spans="1:47" ht="15.6" x14ac:dyDescent="0.3">
      <c r="A1093" s="417">
        <f t="shared" si="981"/>
        <v>986</v>
      </c>
      <c r="B1093" s="362" t="str">
        <f>'Event Details'!D$27</f>
        <v>D</v>
      </c>
      <c r="C1093" s="381" t="str">
        <f>'Event Details'!E$27</f>
        <v>Stratford</v>
      </c>
      <c r="D1093" s="379"/>
      <c r="E1093" s="378"/>
      <c r="F1093" s="363">
        <f>VLOOKUP($B1087,IF($H1087="F",TeamSheetFemale,TeamSheetMale),$Y1093-1,FALSE)</f>
        <v>0</v>
      </c>
      <c r="G1093" s="380">
        <f>VLOOKUP($B1087,IF($H1087="F",TeamSheetFemale,TeamSheetMale),$Y1093,FALSE)</f>
        <v>0</v>
      </c>
      <c r="H1093" s="363">
        <f>VLOOKUP($B1087,IF($H1087="F",TeamSheetFemale,TeamSheetMale),$Y1093+1,FALSE)</f>
        <v>0</v>
      </c>
      <c r="I1093" s="364">
        <f>VLOOKUP($B1087,IF($H1087="F",TeamSheetFemale,TeamSheetMale),$Y1093+2,FALSE)</f>
        <v>0</v>
      </c>
      <c r="K1093" s="341" t="s">
        <v>276</v>
      </c>
      <c r="L1093" s="16" t="str">
        <f t="shared" si="974"/>
        <v/>
      </c>
      <c r="M1093" s="927"/>
      <c r="N1093" s="927"/>
      <c r="O1093" s="354" t="str">
        <f>IF(LEN($M1093)=1,VLOOKUP(LEFT($M1093,1),B1088:I1095,5,FALSE),IF(LEN($M1093)=2,VLOOKUP(LEFT($M1093,1),B1088:I1095,7,FALSE),""))</f>
        <v/>
      </c>
      <c r="P1093" s="410" t="str">
        <f>IF(LEN($M1093)=1,VLOOKUP(LEFT($M1093,1),B1088:I1095,6,FALSE),IF(LEN($M1093)=2,VLOOKUP(LEFT($M1093,1),B1088:I1095,8,FALSE),""))</f>
        <v/>
      </c>
      <c r="Q1093" s="371" t="s">
        <v>276</v>
      </c>
      <c r="R1093" s="146" t="str">
        <f t="shared" si="975"/>
        <v/>
      </c>
      <c r="S1093" s="927"/>
      <c r="T1093" s="927"/>
      <c r="U1093" s="354" t="str">
        <f>IF(LEN($S1093)=1,VLOOKUP(LEFT($S1093,1),B1088:I1095,5,FALSE),IF(LEN($S1093)=2,VLOOKUP(LEFT($S1093,1),B1088:I1095,7,FALSE),""))</f>
        <v/>
      </c>
      <c r="V1093" s="410" t="str">
        <f>IF(LEN($S1093)=1,VLOOKUP(LEFT($S1093,1),B1088:I1095,6,FALSE),IF(LEN($S1093)=2,VLOOKUP(LEFT($S1093,1),B1088:I1095,8,FALSE),""))</f>
        <v/>
      </c>
      <c r="W1093" s="417">
        <f t="shared" si="982"/>
        <v>3</v>
      </c>
      <c r="Y1093" s="16">
        <v>32</v>
      </c>
      <c r="Z1093" s="16">
        <f t="shared" si="976"/>
        <v>0</v>
      </c>
      <c r="AA1093" s="146">
        <f t="shared" si="977"/>
        <v>0</v>
      </c>
      <c r="AC1093" s="16" t="str">
        <f t="shared" si="978"/>
        <v>D</v>
      </c>
      <c r="AD1093" s="419" t="str">
        <f t="shared" si="978"/>
        <v>Stratford</v>
      </c>
      <c r="AE1093" s="419">
        <f>IF(ISNA(MATCH(AC1093,N1088:N1097,0)),0,VLOOKUP(AC1093,N1088:S1097,5,FALSE))</f>
        <v>0</v>
      </c>
      <c r="AF1093" s="419" t="str">
        <f>IF(ISNA(MATCH(AC1093,T1088:T1097,0))," ",VLOOKUP(AC1093,T1088:Y1097,5,FALSE))</f>
        <v xml:space="preserve"> </v>
      </c>
      <c r="AG1093" s="419">
        <f>IF(ISNA(MATCH(AC1093,L1088:L1095,0)),0,VLOOKUP(AC1093,L1088:N1095,3,FALSE))</f>
        <v>0</v>
      </c>
      <c r="AH1093" s="419">
        <f>IF(ISNA(MATCH(AC1093,R1088:R1095,0)),0,VLOOKUP(AC1093,R1088:T1095,3,FALSE))</f>
        <v>0</v>
      </c>
      <c r="AI1093" s="419">
        <f>IF(ISNA(MATCH(AC1093,L1088:L1095,0)),0,VLOOKUP(AC1093,L1088:P1095,4,FALSE))</f>
        <v>0</v>
      </c>
      <c r="AJ1093" s="419">
        <f>IF(ISNA(MATCH(AC1093,R1088:R1095,0)),0,VLOOKUP(AC1093,R1088:U1095,4,FALSE))</f>
        <v>0</v>
      </c>
      <c r="AK1093" s="32">
        <f t="shared" si="979"/>
        <v>0</v>
      </c>
      <c r="AL1093" s="32">
        <f t="shared" si="980"/>
        <v>0</v>
      </c>
      <c r="AM1093" s="32">
        <f>IF(ISNA(MATCH(AC1093,L1088:L1095,0)),0,VLOOKUP(AC1093,L1088:W1095,AM$1,FALSE))</f>
        <v>0</v>
      </c>
      <c r="AN1093" s="146">
        <f>IF(ISNA(MATCH(AC1093,R1088:R1095,0)),0,VLOOKUP(AC1093,R1088:W1095,AN$1,FALSE))</f>
        <v>0</v>
      </c>
      <c r="AP1093" s="927"/>
      <c r="AQ1093" s="927"/>
    </row>
    <row r="1094" spans="1:47" ht="15.6" x14ac:dyDescent="0.3">
      <c r="A1094" s="417">
        <f t="shared" si="981"/>
        <v>987</v>
      </c>
      <c r="B1094" s="362" t="str">
        <f>'Event Details'!D$28</f>
        <v>F</v>
      </c>
      <c r="C1094" s="381" t="str">
        <f>'Event Details'!E$28</f>
        <v>Tamworth</v>
      </c>
      <c r="D1094" s="379"/>
      <c r="E1094" s="378"/>
      <c r="F1094" s="363">
        <f>VLOOKUP($B1087,IF($H1087="F",TeamSheetFemale,TeamSheetMale),$Y1094-1,FALSE)</f>
        <v>0</v>
      </c>
      <c r="G1094" s="380">
        <f>VLOOKUP($B1087,IF($H1087="F",TeamSheetFemale,TeamSheetMale),$Y1094,FALSE)</f>
        <v>0</v>
      </c>
      <c r="H1094" s="363">
        <f>VLOOKUP($B1087,IF($H1087="F",TeamSheetFemale,TeamSheetMale),$Y1094+1,FALSE)</f>
        <v>0</v>
      </c>
      <c r="I1094" s="364">
        <f>VLOOKUP($B1087,IF($H1087="F",TeamSheetFemale,TeamSheetMale),$Y1094+2,FALSE)</f>
        <v>0</v>
      </c>
      <c r="K1094" s="341" t="s">
        <v>277</v>
      </c>
      <c r="L1094" s="16" t="str">
        <f t="shared" si="974"/>
        <v/>
      </c>
      <c r="M1094" s="931"/>
      <c r="N1094" s="927"/>
      <c r="O1094" s="354" t="str">
        <f>IF(LEN($M1094)=1,VLOOKUP(LEFT($M1094,1),B1088:I1095,5,FALSE),IF(LEN($M1094)=2,VLOOKUP(LEFT($M1094,1),B1088:I1095,7,FALSE),""))</f>
        <v/>
      </c>
      <c r="P1094" s="410" t="str">
        <f>IF(LEN($M1094)=1,VLOOKUP(LEFT($M1094,1),B1088:I1095,6,FALSE),IF(LEN($M1094)=2,VLOOKUP(LEFT($M1094,1),B1088:I1095,8,FALSE),""))</f>
        <v/>
      </c>
      <c r="Q1094" s="371" t="s">
        <v>277</v>
      </c>
      <c r="R1094" s="146" t="str">
        <f t="shared" si="975"/>
        <v/>
      </c>
      <c r="S1094" s="931"/>
      <c r="T1094" s="927"/>
      <c r="U1094" s="354" t="str">
        <f>IF(LEN($S1094)=1,VLOOKUP(LEFT($S1094,1),B1088:I1095,5,FALSE),IF(LEN($S1094)=2,VLOOKUP(LEFT($S1094,1),B1088:I1095,7,FALSE),""))</f>
        <v/>
      </c>
      <c r="V1094" s="410" t="str">
        <f>IF(LEN($S1094)=1,VLOOKUP(LEFT($S1094,1),B1088:I1095,6,FALSE),IF(LEN($S1094)=2,VLOOKUP(LEFT($S1094,1),B1088:I1095,8,FALSE),""))</f>
        <v/>
      </c>
      <c r="W1094" s="417">
        <f t="shared" si="982"/>
        <v>2</v>
      </c>
      <c r="Y1094" s="16">
        <v>37</v>
      </c>
      <c r="Z1094" s="16">
        <f t="shared" si="976"/>
        <v>0</v>
      </c>
      <c r="AA1094" s="146">
        <f t="shared" si="977"/>
        <v>0</v>
      </c>
      <c r="AC1094" s="16" t="str">
        <f t="shared" si="978"/>
        <v>F</v>
      </c>
      <c r="AD1094" s="419" t="str">
        <f t="shared" si="978"/>
        <v>Tamworth</v>
      </c>
      <c r="AE1094" s="419">
        <f>IF(ISNA(MATCH(AC1094,N1086:N1095,0)),0,VLOOKUP(AC1094,N1086:S1095,5,FALSE))</f>
        <v>0</v>
      </c>
      <c r="AF1094" s="419" t="str">
        <f>IF(ISNA(MATCH(AC1094,T1086:T1095,0))," ",VLOOKUP(AC1094,T1086:Y1095,5,FALSE))</f>
        <v xml:space="preserve"> </v>
      </c>
      <c r="AG1094" s="419">
        <f>IF(ISNA(MATCH(AC1094,L1088:L1095,0)),0,VLOOKUP(AC1094,L1088:N1095,3,FALSE))</f>
        <v>0</v>
      </c>
      <c r="AH1094" s="419">
        <f>IF(ISNA(MATCH(AC1094,R1088:R1095,0)),0,VLOOKUP(AC1094,R1088:T1095,3,FALSE))</f>
        <v>0</v>
      </c>
      <c r="AI1094" s="419">
        <f>IF(ISNA(MATCH(AC1094,L1088:L1095,0)),0,VLOOKUP(AC1094,L1088:P1095,4,FALSE))</f>
        <v>0</v>
      </c>
      <c r="AJ1094" s="419">
        <f>IF(ISNA(MATCH(AC1094,R1088:R1095,0)),0,VLOOKUP(AC1094,R1088:U1095,4,FALSE))</f>
        <v>0</v>
      </c>
      <c r="AK1094" s="32">
        <f t="shared" si="979"/>
        <v>0</v>
      </c>
      <c r="AL1094" s="32">
        <f t="shared" si="980"/>
        <v>0</v>
      </c>
      <c r="AM1094" s="32">
        <f>IF(ISNA(MATCH(AC1094,L1088:L1095,0)),0,VLOOKUP(AC1094,L1088:W1095,AM$1,FALSE))</f>
        <v>0</v>
      </c>
      <c r="AN1094" s="146">
        <f>IF(ISNA(MATCH(AC1094,R1088:R1095,0)),0,VLOOKUP(AC1094,R1088:W1095,AN$1,FALSE))</f>
        <v>0</v>
      </c>
      <c r="AP1094" s="931"/>
      <c r="AQ1094" s="927"/>
    </row>
    <row r="1095" spans="1:47" ht="16.2" thickBot="1" x14ac:dyDescent="0.35">
      <c r="A1095" s="418">
        <f t="shared" si="981"/>
        <v>988</v>
      </c>
      <c r="B1095" s="365" t="str">
        <f>'Event Details'!D$29</f>
        <v>Y</v>
      </c>
      <c r="C1095" s="366" t="str">
        <f>'Event Details'!E$29</f>
        <v>Worcester</v>
      </c>
      <c r="D1095" s="361"/>
      <c r="E1095" s="370"/>
      <c r="F1095" s="367">
        <f>VLOOKUP($B1087,IF($H1087="F",TeamSheetFemale,TeamSheetMale),$Y1095-1,FALSE)</f>
        <v>0</v>
      </c>
      <c r="G1095" s="368">
        <f>VLOOKUP($B1087,IF($H1087="F",TeamSheetFemale,TeamSheetMale),$Y1095,FALSE)</f>
        <v>0</v>
      </c>
      <c r="H1095" s="367">
        <f>VLOOKUP($B1087,IF($H1087="F",TeamSheetFemale,TeamSheetMale),$Y1095+1,FALSE)</f>
        <v>0</v>
      </c>
      <c r="I1095" s="369">
        <f>VLOOKUP($B1087,IF($H1087="F",TeamSheetFemale,TeamSheetMale),$Y1095+2,FALSE)</f>
        <v>0</v>
      </c>
      <c r="K1095" s="346" t="s">
        <v>278</v>
      </c>
      <c r="L1095" s="25" t="str">
        <f t="shared" si="974"/>
        <v/>
      </c>
      <c r="M1095" s="928"/>
      <c r="N1095" s="932"/>
      <c r="O1095" s="374" t="str">
        <f>IF(LEN($M1095)=1,VLOOKUP(LEFT($M1095,1),B1088:I1095,5,FALSE),IF(LEN($M1095)=2,VLOOKUP(LEFT($M1095,1),B1088:I1095,7,FALSE),""))</f>
        <v/>
      </c>
      <c r="P1095" s="411" t="str">
        <f>IF(LEN($M1095)=1,VLOOKUP(LEFT($M1095,1),B1088:I1095,6,FALSE),IF(LEN($M1095)=2,VLOOKUP(LEFT($M1095,1),B1088:I1095,8,FALSE),""))</f>
        <v/>
      </c>
      <c r="Q1095" s="407" t="s">
        <v>278</v>
      </c>
      <c r="R1095" s="523" t="str">
        <f t="shared" si="975"/>
        <v/>
      </c>
      <c r="S1095" s="928"/>
      <c r="T1095" s="932"/>
      <c r="U1095" s="374" t="str">
        <f>IF(LEN($S1095)=1,VLOOKUP(LEFT($S1095,1),B1088:I1095,5,FALSE),IF(LEN($S1095)=2,VLOOKUP(LEFT($S1095,1),B1088:I1095,7,FALSE),""))</f>
        <v/>
      </c>
      <c r="V1095" s="411" t="str">
        <f>IF(LEN($S1095)=1,VLOOKUP(LEFT($S1095,1),B1088:I1095,6,FALSE),IF(LEN($S1095)=2,VLOOKUP(LEFT($S1095,1),B1088:I1095,8,FALSE),""))</f>
        <v/>
      </c>
      <c r="W1095" s="418">
        <f t="shared" si="982"/>
        <v>1</v>
      </c>
      <c r="Y1095" s="25">
        <v>42</v>
      </c>
      <c r="Z1095" s="25">
        <f t="shared" si="976"/>
        <v>0</v>
      </c>
      <c r="AA1095" s="523">
        <f t="shared" si="977"/>
        <v>0</v>
      </c>
      <c r="AC1095" s="25" t="str">
        <f t="shared" si="978"/>
        <v>Y</v>
      </c>
      <c r="AD1095" s="624" t="str">
        <f t="shared" si="978"/>
        <v>Worcester</v>
      </c>
      <c r="AE1095" s="624">
        <f>IF(ISNA(MATCH(AC1095,N1087:N1096,0)),0,VLOOKUP(AC1095,N1087:S1096,5,FALSE))</f>
        <v>0</v>
      </c>
      <c r="AF1095" s="624" t="str">
        <f t="shared" ref="AF1095" si="983">IF(ISNA(MATCH(AC1095,T1087:T1096,0))," ",VLOOKUP(AC1095,T1087:Y1096,5,FALSE))</f>
        <v xml:space="preserve"> </v>
      </c>
      <c r="AG1095" s="624">
        <f>IF(ISNA(MATCH(AC1095,L1088:L1095,0)),0,VLOOKUP(AC1095,L1088:N1095,3,FALSE))</f>
        <v>0</v>
      </c>
      <c r="AH1095" s="624">
        <f>IF(ISNA(MATCH(AC1095,R1088:R1095,0)),0,VLOOKUP(AC1095,R1088:T1095,3,FALSE))</f>
        <v>0</v>
      </c>
      <c r="AI1095" s="624">
        <f>IF(ISNA(MATCH(AC1095,L1088:L1095,0)),0,VLOOKUP(AC1095,L1088:P1095,4,FALSE))</f>
        <v>0</v>
      </c>
      <c r="AJ1095" s="624">
        <f>IF(ISNA(MATCH(AC1095,R1088:R1095,0)),0,VLOOKUP(AC1095,R1088:U1095,4,FALSE))</f>
        <v>0</v>
      </c>
      <c r="AK1095" s="116">
        <f t="shared" si="979"/>
        <v>0</v>
      </c>
      <c r="AL1095" s="116">
        <f t="shared" si="980"/>
        <v>0</v>
      </c>
      <c r="AM1095" s="116">
        <f>IF(ISNA(MATCH(AC1095,L1088:L1095,0)),0,VLOOKUP(AC1095,L1088:W1095,AM$1,FALSE))</f>
        <v>0</v>
      </c>
      <c r="AN1095" s="523">
        <f>IF(ISNA(MATCH(AC1095,R1088:R1095,0)),0,VLOOKUP(AC1095,R1088:W1095,AN$1,FALSE))</f>
        <v>0</v>
      </c>
      <c r="AP1095" s="928"/>
      <c r="AQ1095" s="932"/>
    </row>
    <row r="1096" spans="1:47" ht="15" thickBot="1" x14ac:dyDescent="0.35">
      <c r="K1096" s="1207" t="s">
        <v>281</v>
      </c>
      <c r="M1096" s="276"/>
      <c r="N1096" s="307"/>
      <c r="S1096" s="276"/>
      <c r="T1096" s="307"/>
      <c r="AP1096" s="276"/>
      <c r="AQ1096" s="307"/>
    </row>
    <row r="1097" spans="1:47" x14ac:dyDescent="0.3">
      <c r="B1097" s="400" t="s">
        <v>258</v>
      </c>
      <c r="C1097" s="398"/>
      <c r="D1097" s="401" t="s">
        <v>165</v>
      </c>
      <c r="E1097" s="398"/>
      <c r="F1097" s="398"/>
      <c r="G1097" s="402" t="s">
        <v>259</v>
      </c>
      <c r="H1097" s="403" t="s">
        <v>249</v>
      </c>
      <c r="I1097" s="404" t="s">
        <v>168</v>
      </c>
      <c r="K1097" s="360"/>
      <c r="L1097" s="661"/>
      <c r="M1097" s="387" t="s">
        <v>260</v>
      </c>
      <c r="N1097" s="387" t="s">
        <v>261</v>
      </c>
      <c r="O1097" s="387" t="s">
        <v>262</v>
      </c>
      <c r="P1097" s="388" t="s">
        <v>75</v>
      </c>
      <c r="Q1097" s="389"/>
      <c r="R1097" s="657"/>
      <c r="S1097" s="387" t="s">
        <v>260</v>
      </c>
      <c r="T1097" s="387" t="s">
        <v>261</v>
      </c>
      <c r="U1097" s="387" t="s">
        <v>262</v>
      </c>
      <c r="V1097" s="388" t="s">
        <v>75</v>
      </c>
      <c r="W1097" s="672" t="s">
        <v>76</v>
      </c>
      <c r="Y1097" s="414" t="s">
        <v>263</v>
      </c>
      <c r="Z1097" s="656" t="s">
        <v>74</v>
      </c>
      <c r="AA1097" s="657" t="s">
        <v>75</v>
      </c>
      <c r="AC1097" s="665" t="s">
        <v>71</v>
      </c>
      <c r="AD1097" s="657" t="s">
        <v>86</v>
      </c>
      <c r="AE1097" s="661" t="s">
        <v>149</v>
      </c>
      <c r="AF1097" s="661" t="s">
        <v>94</v>
      </c>
      <c r="AG1097" s="661" t="s">
        <v>149</v>
      </c>
      <c r="AH1097" s="661" t="s">
        <v>94</v>
      </c>
      <c r="AI1097" s="661" t="s">
        <v>149</v>
      </c>
      <c r="AJ1097" s="661" t="s">
        <v>94</v>
      </c>
      <c r="AK1097" s="1332" t="s">
        <v>149</v>
      </c>
      <c r="AL1097" s="661" t="s">
        <v>94</v>
      </c>
      <c r="AM1097" s="1406" t="s">
        <v>76</v>
      </c>
      <c r="AN1097" s="1407"/>
      <c r="AP1097" s="387" t="s">
        <v>260</v>
      </c>
      <c r="AQ1097" s="387" t="s">
        <v>261</v>
      </c>
      <c r="AS1097" s="1218" t="s">
        <v>165</v>
      </c>
      <c r="AT1097" s="1219" t="s">
        <v>79</v>
      </c>
      <c r="AU1097" s="1220" t="s">
        <v>80</v>
      </c>
    </row>
    <row r="1098" spans="1:47" ht="15" thickBot="1" x14ac:dyDescent="0.35">
      <c r="B1098" s="405">
        <v>99</v>
      </c>
      <c r="C1098" s="399"/>
      <c r="D1098" s="385" t="str">
        <f>VLOOKUP($B1098,EventOrder,6,FALSE)</f>
        <v>1500m (U18/U20) Men</v>
      </c>
      <c r="E1098" s="399"/>
      <c r="F1098" s="385"/>
      <c r="G1098" s="386" t="str">
        <f>VLOOKUP($B1098,EventOrder,4,FALSE)</f>
        <v>U18 Men</v>
      </c>
      <c r="H1098" s="396" t="str">
        <f>IF(MID(G1098,5,1)="F","F","M")</f>
        <v>M</v>
      </c>
      <c r="I1098" s="397">
        <f>VLOOKUP($B1098,EventOrder,2,FALSE)</f>
        <v>3.3</v>
      </c>
      <c r="K1098" s="377"/>
      <c r="L1098" s="667" t="s">
        <v>149</v>
      </c>
      <c r="M1098" s="409" t="s">
        <v>264</v>
      </c>
      <c r="N1098" s="409" t="s">
        <v>265</v>
      </c>
      <c r="O1098" s="390" t="s">
        <v>266</v>
      </c>
      <c r="P1098" s="391"/>
      <c r="Q1098" s="392"/>
      <c r="R1098" s="659" t="s">
        <v>94</v>
      </c>
      <c r="S1098" s="409" t="s">
        <v>264</v>
      </c>
      <c r="T1098" s="409" t="s">
        <v>265</v>
      </c>
      <c r="U1098" s="390" t="s">
        <v>266</v>
      </c>
      <c r="V1098" s="391"/>
      <c r="W1098" s="671"/>
      <c r="Y1098" s="415" t="s">
        <v>167</v>
      </c>
      <c r="Z1098" s="658" t="s">
        <v>149</v>
      </c>
      <c r="AA1098" s="659" t="s">
        <v>94</v>
      </c>
      <c r="AC1098" s="666"/>
      <c r="AD1098" s="668"/>
      <c r="AE1098" s="768" t="s">
        <v>75</v>
      </c>
      <c r="AF1098" s="768" t="s">
        <v>75</v>
      </c>
      <c r="AG1098" s="768" t="s">
        <v>267</v>
      </c>
      <c r="AH1098" s="768" t="s">
        <v>267</v>
      </c>
      <c r="AI1098" s="768" t="s">
        <v>268</v>
      </c>
      <c r="AJ1098" s="768" t="s">
        <v>268</v>
      </c>
      <c r="AK1098" s="770" t="s">
        <v>269</v>
      </c>
      <c r="AL1098" s="768" t="s">
        <v>269</v>
      </c>
      <c r="AM1098" s="667" t="s">
        <v>149</v>
      </c>
      <c r="AN1098" s="659" t="s">
        <v>94</v>
      </c>
      <c r="AP1098" s="409" t="s">
        <v>264</v>
      </c>
      <c r="AQ1098" s="409" t="s">
        <v>265</v>
      </c>
      <c r="AS1098" s="1221" t="s">
        <v>270</v>
      </c>
      <c r="AT1098" s="1222" t="s">
        <v>270</v>
      </c>
      <c r="AU1098" s="1223" t="s">
        <v>270</v>
      </c>
    </row>
    <row r="1099" spans="1:47" ht="15.6" x14ac:dyDescent="0.3">
      <c r="A1099" s="416">
        <f>(B1098*10)+1</f>
        <v>991</v>
      </c>
      <c r="B1099" s="362" t="str">
        <f>'Event Details'!D$22</f>
        <v>S</v>
      </c>
      <c r="C1099" s="381" t="str">
        <f>'Event Details'!E$22</f>
        <v>BRAT</v>
      </c>
      <c r="D1099" s="379"/>
      <c r="E1099" s="378"/>
      <c r="F1099" s="363">
        <f>VLOOKUP($B1098,IF($H1098="F",TeamSheetFemale,TeamSheetMale),$Y1099-1,FALSE)</f>
        <v>0</v>
      </c>
      <c r="G1099" s="380">
        <f>VLOOKUP($B1098,IF($H1098="F",TeamSheetFemale,TeamSheetMale),$Y1099,FALSE)</f>
        <v>0</v>
      </c>
      <c r="H1099" s="363">
        <f>VLOOKUP($B1098,IF($H1098="F",TeamSheetFemale,TeamSheetMale),$Y1099+1,FALSE)</f>
        <v>0</v>
      </c>
      <c r="I1099" s="364">
        <f>VLOOKUP($B1098,IF($H1098="F",TeamSheetFemale,TeamSheetMale),$Y1099+2,FALSE)</f>
        <v>0</v>
      </c>
      <c r="K1099" s="393" t="s">
        <v>271</v>
      </c>
      <c r="L1099" s="16" t="str">
        <f t="shared" ref="L1099:L1106" si="984">LEFT(M1099,1)</f>
        <v/>
      </c>
      <c r="M1099" s="926"/>
      <c r="N1099" s="926"/>
      <c r="O1099" s="394" t="str">
        <f>IF(LEN($M1099)=1,VLOOKUP(LEFT($M1099,1),B1099:I1106,5,FALSE),IF(LEN($M1099)=2,VLOOKUP(LEFT($M1099,1),B1099:I1106,7,FALSE),""))</f>
        <v/>
      </c>
      <c r="P1099" s="395" t="str">
        <f>IF(LEN($M1099)=1,VLOOKUP(LEFT($M1099,1),B1099:I1106,6,FALSE),IF(LEN($M1099)=2,VLOOKUP(LEFT($M1099,1),B1099:I1106,8,FALSE),""))</f>
        <v/>
      </c>
      <c r="Q1099" s="393" t="s">
        <v>271</v>
      </c>
      <c r="R1099" s="146" t="str">
        <f t="shared" ref="R1099:R1106" si="985">LEFT(S1099,1)</f>
        <v/>
      </c>
      <c r="S1099" s="926"/>
      <c r="T1099" s="926"/>
      <c r="U1099" s="394" t="str">
        <f>IF(LEN($S1099)=1,VLOOKUP(LEFT($S1099,1),B1099:I1106,5,FALSE),IF(LEN($S1099)=2,VLOOKUP(LEFT($S1099,1),B1099:I1106,7,FALSE),""))</f>
        <v/>
      </c>
      <c r="V1099" s="395" t="str">
        <f>IF(LEN($S1099)=1,VLOOKUP(LEFT($S1099,1),B1099:I1106,6,FALSE),IF(LEN($S1099)=2,VLOOKUP(LEFT($S1099,1),B1099:I1106,8,FALSE),""))</f>
        <v/>
      </c>
      <c r="W1099" s="417">
        <f>AN$6</f>
        <v>8</v>
      </c>
      <c r="Y1099" s="416">
        <v>7</v>
      </c>
      <c r="Z1099" s="653">
        <f t="shared" ref="Z1099:Z1106" si="986">IF(LEN(M1099)&gt;0,VLOOKUP(LEFT(M1099,1),ShortName,5,FALSE),0)</f>
        <v>0</v>
      </c>
      <c r="AA1099" s="138">
        <f t="shared" ref="AA1099:AA1106" si="987">IF(LEN(S1099)&gt;0,VLOOKUP(LEFT(S1099,1),ShortName,5,FALSE),0)</f>
        <v>0</v>
      </c>
      <c r="AC1099" s="16" t="str">
        <f t="shared" ref="AC1099:AD1106" si="988">B1099</f>
        <v>S</v>
      </c>
      <c r="AD1099" s="419" t="str">
        <f t="shared" si="988"/>
        <v>BRAT</v>
      </c>
      <c r="AE1099" s="635">
        <f>IF(ISNA(MATCH(AC1099,N1099:N1108,0)),0,VLOOKUP(AC1099,N1099:S1108,5,FALSE))</f>
        <v>0</v>
      </c>
      <c r="AF1099" s="635" t="str">
        <f>IF(ISNA(MATCH(AC1099,T1099:T1108,0))," ",VLOOKUP(AC1099,T1099:Y1108,5,FALSE))</f>
        <v xml:space="preserve"> </v>
      </c>
      <c r="AG1099" s="635">
        <f>IF(ISNA(MATCH(AC1099,L1099:L1106,0)),0,VLOOKUP(AC1099,L1099:N1106,3,FALSE))</f>
        <v>0</v>
      </c>
      <c r="AH1099" s="635">
        <f>IF(ISNA(MATCH(AC1099,R1099:R1106,0)),0,VLOOKUP(AC1099,R1099:T1106,3,FALSE))</f>
        <v>0</v>
      </c>
      <c r="AI1099" s="635">
        <f>IF(ISNA(MATCH(AC1099,L1099:L1106,0)),0,VLOOKUP(AC1099,L1099:P1106,4,FALSE))</f>
        <v>0</v>
      </c>
      <c r="AJ1099" s="635">
        <f>IF(ISNA(MATCH(AC1099,R1099:R1106,0)),0,VLOOKUP(AC1099,R1099:U1106,4,FALSE))</f>
        <v>0</v>
      </c>
      <c r="AK1099" s="49">
        <f t="shared" ref="AK1099:AK1106" si="989">IF(AM1099=0,0,AN$6-(AM1099-1))</f>
        <v>0</v>
      </c>
      <c r="AL1099" s="49">
        <f t="shared" ref="AL1099:AL1106" si="990">IF(AN1099=0,0,AN$6-(AN1099-1))</f>
        <v>0</v>
      </c>
      <c r="AM1099" s="49">
        <f>IF(ISNA(MATCH(AC1099,L1099:L1106,0)),0,VLOOKUP(AC1099,L1099:W1106,AM$1,FALSE))</f>
        <v>0</v>
      </c>
      <c r="AN1099" s="138">
        <f>IF(ISNA(MATCH(AC1099,R1099:R1106,0)),0,VLOOKUP(AC1099,R1099:W1106,AN$1,FALSE))</f>
        <v>0</v>
      </c>
      <c r="AP1099" s="926"/>
      <c r="AQ1099" s="926"/>
      <c r="AS1099" s="32">
        <f>IF(LEN(N1099)&gt;0,1,0)</f>
        <v>0</v>
      </c>
      <c r="AT1099" s="32">
        <f>IF(AND(AS1099=1,H1098="M"),1,0)</f>
        <v>0</v>
      </c>
      <c r="AU1099" s="32">
        <f>IF(AND(AS1099=1,H1098="F"),1,0)</f>
        <v>0</v>
      </c>
    </row>
    <row r="1100" spans="1:47" ht="15.6" x14ac:dyDescent="0.3">
      <c r="A1100" s="417">
        <f>A1099+1</f>
        <v>992</v>
      </c>
      <c r="B1100" s="362" t="str">
        <f>'Event Details'!D$23</f>
        <v>U</v>
      </c>
      <c r="C1100" s="381" t="str">
        <f>'Event Details'!E$23</f>
        <v>Kidder &amp; Stourport</v>
      </c>
      <c r="D1100" s="379"/>
      <c r="E1100" s="378"/>
      <c r="F1100" s="363">
        <f>VLOOKUP($B1098,IF($H1098="F",TeamSheetFemale,TeamSheetMale),$Y1100-1,FALSE)</f>
        <v>0</v>
      </c>
      <c r="G1100" s="380">
        <f>VLOOKUP($B1098,IF($H1098="F",TeamSheetFemale,TeamSheetMale),$Y1100,FALSE)</f>
        <v>0</v>
      </c>
      <c r="H1100" s="363">
        <f>VLOOKUP($B1098,IF($H1098="F",TeamSheetFemale,TeamSheetMale),$Y1100+1,FALSE)</f>
        <v>0</v>
      </c>
      <c r="I1100" s="364">
        <f>VLOOKUP($B1098,IF($H1098="F",TeamSheetFemale,TeamSheetMale),$Y1100+2,FALSE)</f>
        <v>0</v>
      </c>
      <c r="K1100" s="341" t="s">
        <v>272</v>
      </c>
      <c r="L1100" s="16" t="str">
        <f t="shared" si="984"/>
        <v/>
      </c>
      <c r="M1100" s="927"/>
      <c r="N1100" s="927"/>
      <c r="O1100" s="353" t="str">
        <f>IF(LEN($M1100)=1,VLOOKUP(LEFT($M1100,1),B1099:I1106,5,FALSE),IF(LEN($M1100)=2,VLOOKUP(LEFT($M1100,1),B1099:I1106,7,FALSE),""))</f>
        <v/>
      </c>
      <c r="P1100" s="373" t="str">
        <f>IF(LEN($M1100)=1,VLOOKUP(LEFT($M1100,1),B1099:I1106,6,FALSE),IF(LEN($M1100)=2,VLOOKUP(LEFT($M1100,1),B1099:I1106,8,FALSE),""))</f>
        <v/>
      </c>
      <c r="Q1100" s="341" t="s">
        <v>272</v>
      </c>
      <c r="R1100" s="146" t="str">
        <f t="shared" si="985"/>
        <v/>
      </c>
      <c r="S1100" s="927"/>
      <c r="T1100" s="927"/>
      <c r="U1100" s="353" t="str">
        <f>IF(LEN($S1100)=1,VLOOKUP(LEFT($S1100,1),B1099:I1106,5,FALSE),IF(LEN($S1100)=2,VLOOKUP(LEFT($S1100,1),B1099:I1106,7,FALSE),""))</f>
        <v/>
      </c>
      <c r="V1100" s="373" t="str">
        <f>IF(LEN($S1100)=1,VLOOKUP(LEFT($S1100,1),B1099:I1106,6,FALSE),IF(LEN($S1100)=2,VLOOKUP(LEFT($S1100,1),B1099:I1106,8,FALSE),""))</f>
        <v/>
      </c>
      <c r="W1100" s="417">
        <f>W1099-1</f>
        <v>7</v>
      </c>
      <c r="Y1100" s="417">
        <v>12</v>
      </c>
      <c r="Z1100" s="16">
        <f t="shared" si="986"/>
        <v>0</v>
      </c>
      <c r="AA1100" s="146">
        <f t="shared" si="987"/>
        <v>0</v>
      </c>
      <c r="AC1100" s="16" t="str">
        <f t="shared" si="988"/>
        <v>U</v>
      </c>
      <c r="AD1100" s="419" t="str">
        <f t="shared" si="988"/>
        <v>Kidder &amp; Stourport</v>
      </c>
      <c r="AE1100" s="419">
        <f>IF(ISNA(MATCH(AC1100,N1099:N1108,0)),0,VLOOKUP(AC1100,N1099:S1108,5,FALSE))</f>
        <v>0</v>
      </c>
      <c r="AF1100" s="419" t="str">
        <f>IF(ISNA(MATCH(AC1100,T1099:T1108,0))," ",VLOOKUP(AC1100,T1099:Y1108,5,FALSE))</f>
        <v xml:space="preserve"> </v>
      </c>
      <c r="AG1100" s="419">
        <f>IF(ISNA(MATCH(AC1100,L1099:L1106,0)),0,VLOOKUP(AC1100,L1099:N1106,3,FALSE))</f>
        <v>0</v>
      </c>
      <c r="AH1100" s="419">
        <f>IF(ISNA(MATCH(AC1100,R1099:R1106,0)),0,VLOOKUP(AC1100,R1099:T1106,3,FALSE))</f>
        <v>0</v>
      </c>
      <c r="AI1100" s="419">
        <f>IF(ISNA(MATCH(AC1100,L1099:L1106,0)),0,VLOOKUP(AC1100,L1099:P1106,4,FALSE))</f>
        <v>0</v>
      </c>
      <c r="AJ1100" s="419">
        <f>IF(ISNA(MATCH(AC1100,R1099:R1106,0)),0,VLOOKUP(AC1100,R1099:U1106,4,FALSE))</f>
        <v>0</v>
      </c>
      <c r="AK1100" s="32">
        <f t="shared" si="989"/>
        <v>0</v>
      </c>
      <c r="AL1100" s="32">
        <f t="shared" si="990"/>
        <v>0</v>
      </c>
      <c r="AM1100" s="32">
        <f>IF(ISNA(MATCH(AC1100,L1099:L1106,0)),0,VLOOKUP(AC1100,L1099:W1106,AM$1,FALSE))</f>
        <v>0</v>
      </c>
      <c r="AN1100" s="146">
        <f>IF(ISNA(MATCH(AC1100,R1099:R1106,0)),0,VLOOKUP(AC1100,R1099:W1106,AN$1,FALSE))</f>
        <v>0</v>
      </c>
      <c r="AP1100" s="927"/>
      <c r="AQ1100" s="927"/>
    </row>
    <row r="1101" spans="1:47" ht="15.6" x14ac:dyDescent="0.3">
      <c r="A1101" s="417">
        <f t="shared" ref="A1101:A1106" si="991">A1100+1</f>
        <v>993</v>
      </c>
      <c r="B1101" s="362" t="str">
        <f>'Event Details'!D$24</f>
        <v>G</v>
      </c>
      <c r="C1101" s="381" t="str">
        <f>'Event Details'!E$24</f>
        <v>Royal Sutton</v>
      </c>
      <c r="D1101" s="379"/>
      <c r="E1101" s="378"/>
      <c r="F1101" s="363">
        <f>VLOOKUP($B1098,IF($H1098="F",TeamSheetFemale,TeamSheetMale),$Y1101-1,FALSE)</f>
        <v>0</v>
      </c>
      <c r="G1101" s="380">
        <f>VLOOKUP($B1098,IF($H1098="F",TeamSheetFemale,TeamSheetMale),$Y1101,FALSE)</f>
        <v>0</v>
      </c>
      <c r="H1101" s="363">
        <f>VLOOKUP($B1098,IF($H1098="F",TeamSheetFemale,TeamSheetMale),$Y1101+1,FALSE)</f>
        <v>0</v>
      </c>
      <c r="I1101" s="364">
        <f>VLOOKUP($B1098,IF($H1098="F",TeamSheetFemale,TeamSheetMale),$Y1101+2,FALSE)</f>
        <v>0</v>
      </c>
      <c r="K1101" s="341" t="s">
        <v>273</v>
      </c>
      <c r="L1101" s="16" t="str">
        <f t="shared" si="984"/>
        <v/>
      </c>
      <c r="M1101" s="927"/>
      <c r="N1101" s="927"/>
      <c r="O1101" s="353" t="str">
        <f>IF(LEN($M1101)=1,VLOOKUP(LEFT($M1101,1),B1099:I1106,5,FALSE),IF(LEN($M1101)=2,VLOOKUP(LEFT($M1101,1),B1099:I1106,7,FALSE),""))</f>
        <v/>
      </c>
      <c r="P1101" s="373" t="str">
        <f>IF(LEN($M1101)=1,VLOOKUP(LEFT($M1101,1),B1099:I1106,6,FALSE),IF(LEN($M1101)=2,VLOOKUP(LEFT($M1101,1),B1099:I1106,8,FALSE),""))</f>
        <v/>
      </c>
      <c r="Q1101" s="341" t="s">
        <v>273</v>
      </c>
      <c r="R1101" s="146" t="str">
        <f t="shared" si="985"/>
        <v/>
      </c>
      <c r="S1101" s="927"/>
      <c r="T1101" s="927"/>
      <c r="U1101" s="353" t="str">
        <f>IF(LEN($S1101)=1,VLOOKUP(LEFT($S1101,1),B1099:I1106,5,FALSE),IF(LEN($S1101)=2,VLOOKUP(LEFT($S1101,1),B1099:I1106,7,FALSE),""))</f>
        <v/>
      </c>
      <c r="V1101" s="373" t="str">
        <f>IF(LEN($S1101)=1,VLOOKUP(LEFT($S1101,1),B1099:I1106,6,FALSE),IF(LEN($S1101)=2,VLOOKUP(LEFT($S1101,1),B1099:I1106,8,FALSE),""))</f>
        <v/>
      </c>
      <c r="W1101" s="417">
        <f t="shared" ref="W1101:W1106" si="992">W1100-1</f>
        <v>6</v>
      </c>
      <c r="Y1101" s="417">
        <v>17</v>
      </c>
      <c r="Z1101" s="16">
        <f t="shared" si="986"/>
        <v>0</v>
      </c>
      <c r="AA1101" s="146">
        <f t="shared" si="987"/>
        <v>0</v>
      </c>
      <c r="AB1101" s="32"/>
      <c r="AC1101" s="16" t="str">
        <f t="shared" si="988"/>
        <v>G</v>
      </c>
      <c r="AD1101" s="419" t="str">
        <f t="shared" si="988"/>
        <v>Royal Sutton</v>
      </c>
      <c r="AE1101" s="419">
        <f>IF(ISNA(MATCH(AC1101,N1099:N1108,0)),0,VLOOKUP(AC1101,N1099:S1108,5,FALSE))</f>
        <v>0</v>
      </c>
      <c r="AF1101" s="419" t="str">
        <f>IF(ISNA(MATCH(AC1101,T1099:T1108,0))," ",VLOOKUP(AC1101,T1099:Y1108,5,FALSE))</f>
        <v xml:space="preserve"> </v>
      </c>
      <c r="AG1101" s="419">
        <f>IF(ISNA(MATCH(AC1101,L1099:L1106,0)),0,VLOOKUP(AC1101,L1099:N1106,3,FALSE))</f>
        <v>0</v>
      </c>
      <c r="AH1101" s="419">
        <f>IF(ISNA(MATCH(AC1101,R1099:R1106,0)),0,VLOOKUP(AC1101,R1099:T1106,3,FALSE))</f>
        <v>0</v>
      </c>
      <c r="AI1101" s="419">
        <f>IF(ISNA(MATCH(AC1101,L1099:L1106,0)),0,VLOOKUP(AC1101,L1099:P1106,4,FALSE))</f>
        <v>0</v>
      </c>
      <c r="AJ1101" s="419">
        <f>IF(ISNA(MATCH(AC1101,R1099:R1106,0)),0,VLOOKUP(AC1101,R1099:U1106,4,FALSE))</f>
        <v>0</v>
      </c>
      <c r="AK1101" s="32">
        <f t="shared" si="989"/>
        <v>0</v>
      </c>
      <c r="AL1101" s="32">
        <f t="shared" si="990"/>
        <v>0</v>
      </c>
      <c r="AM1101" s="32">
        <f>IF(ISNA(MATCH(AC1101,L1099:L1106,0)),0,VLOOKUP(AC1101,L1099:W1106,AM$1,FALSE))</f>
        <v>0</v>
      </c>
      <c r="AN1101" s="146">
        <f>IF(ISNA(MATCH(AC1101,R1099:R1106,0)),0,VLOOKUP(AC1101,R1099:W1106,AN$1,FALSE))</f>
        <v>0</v>
      </c>
      <c r="AP1101" s="927"/>
      <c r="AQ1101" s="927"/>
    </row>
    <row r="1102" spans="1:47" ht="15.6" x14ac:dyDescent="0.3">
      <c r="A1102" s="417">
        <f t="shared" si="991"/>
        <v>994</v>
      </c>
      <c r="B1102" s="362" t="str">
        <f>'Event Details'!D$25</f>
        <v>R</v>
      </c>
      <c r="C1102" s="381" t="str">
        <f>'Event Details'!E$25</f>
        <v>Rugby &amp; N'hampton</v>
      </c>
      <c r="D1102" s="379"/>
      <c r="E1102" s="378"/>
      <c r="F1102" s="363">
        <f>VLOOKUP($B1098,IF($H1098="F",TeamSheetFemale,TeamSheetMale),$Y1102-1,FALSE)</f>
        <v>0</v>
      </c>
      <c r="G1102" s="380">
        <f>VLOOKUP($B1098,IF($H1098="F",TeamSheetFemale,TeamSheetMale),$Y1102,FALSE)</f>
        <v>0</v>
      </c>
      <c r="H1102" s="363">
        <f>VLOOKUP($B1098,IF($H1098="F",TeamSheetFemale,TeamSheetMale),$Y1102+1,FALSE)</f>
        <v>0</v>
      </c>
      <c r="I1102" s="364">
        <f>VLOOKUP($B1098,IF($H1098="F",TeamSheetFemale,TeamSheetMale),$Y1102+2,FALSE)</f>
        <v>0</v>
      </c>
      <c r="K1102" s="341" t="s">
        <v>274</v>
      </c>
      <c r="L1102" s="16" t="str">
        <f t="shared" si="984"/>
        <v/>
      </c>
      <c r="M1102" s="927"/>
      <c r="N1102" s="927"/>
      <c r="O1102" s="353" t="str">
        <f>IF(LEN($M1102)=1,VLOOKUP(LEFT($M1102,1),B1099:I1106,5,FALSE),IF(LEN($M1102)=2,VLOOKUP(LEFT($M1102,1),B1099:I1106,7,FALSE),""))</f>
        <v/>
      </c>
      <c r="P1102" s="373" t="str">
        <f>IF(LEN($M1102)=1,VLOOKUP(LEFT($M1102,1),B1099:I1106,6,FALSE),IF(LEN($M1102)=2,VLOOKUP(LEFT($M1102,1),B1099:I1106,8,FALSE),""))</f>
        <v/>
      </c>
      <c r="Q1102" s="341" t="s">
        <v>274</v>
      </c>
      <c r="R1102" s="146" t="str">
        <f t="shared" si="985"/>
        <v/>
      </c>
      <c r="S1102" s="927"/>
      <c r="T1102" s="927"/>
      <c r="U1102" s="353" t="str">
        <f>IF(LEN($S1102)=1,VLOOKUP(LEFT($S1102,1),B1099:I1106,5,FALSE),IF(LEN($S1102)=2,VLOOKUP(LEFT($S1102,1),B1099:I1106,7,FALSE),""))</f>
        <v/>
      </c>
      <c r="V1102" s="373" t="str">
        <f>IF(LEN($S1102)=1,VLOOKUP(LEFT($S1102,1),B1099:I1106,6,FALSE),IF(LEN($S1102)=2,VLOOKUP(LEFT($S1102,1),B1099:I1106,8,FALSE),""))</f>
        <v/>
      </c>
      <c r="W1102" s="417">
        <f t="shared" si="992"/>
        <v>5</v>
      </c>
      <c r="Y1102" s="417">
        <v>22</v>
      </c>
      <c r="Z1102" s="16">
        <f t="shared" si="986"/>
        <v>0</v>
      </c>
      <c r="AA1102" s="146">
        <f t="shared" si="987"/>
        <v>0</v>
      </c>
      <c r="AB1102" s="32"/>
      <c r="AC1102" s="16" t="str">
        <f t="shared" si="988"/>
        <v>R</v>
      </c>
      <c r="AD1102" s="419" t="str">
        <f t="shared" si="988"/>
        <v>Rugby &amp; N'hampton</v>
      </c>
      <c r="AE1102" s="419">
        <f>IF(ISNA(MATCH(AC1102,N1099:N1108,0)),0,VLOOKUP(AC1102,N1099:S1108,5,FALSE))</f>
        <v>0</v>
      </c>
      <c r="AF1102" s="419" t="str">
        <f>IF(ISNA(MATCH(AC1102,T1099:T1108,0))," ",VLOOKUP(AC1102,T1099:Y1108,5,FALSE))</f>
        <v xml:space="preserve"> </v>
      </c>
      <c r="AG1102" s="419">
        <f>IF(ISNA(MATCH(AC1102,L1099:L1106,0)),0,VLOOKUP(AC1102,L1099:N1106,3,FALSE))</f>
        <v>0</v>
      </c>
      <c r="AH1102" s="419">
        <f>IF(ISNA(MATCH(AC1102,R1099:R1106,0)),0,VLOOKUP(AC1102,R1099:T1106,3,FALSE))</f>
        <v>0</v>
      </c>
      <c r="AI1102" s="419">
        <f>IF(ISNA(MATCH(AC1102,L1099:L1106,0)),0,VLOOKUP(AC1102,L1099:P1106,4,FALSE))</f>
        <v>0</v>
      </c>
      <c r="AJ1102" s="419">
        <f>IF(ISNA(MATCH(AC1102,R1099:R1106,0)),0,VLOOKUP(AC1102,R1099:U1106,4,FALSE))</f>
        <v>0</v>
      </c>
      <c r="AK1102" s="32">
        <f t="shared" si="989"/>
        <v>0</v>
      </c>
      <c r="AL1102" s="32">
        <f t="shared" si="990"/>
        <v>0</v>
      </c>
      <c r="AM1102" s="32">
        <f>IF(ISNA(MATCH(AC1102,L1099:L1106,0)),0,VLOOKUP(AC1102,L1099:W1106,AM$1,FALSE))</f>
        <v>0</v>
      </c>
      <c r="AN1102" s="146">
        <f>IF(ISNA(MATCH(AC1102,R1099:R1106,0)),0,VLOOKUP(AC1102,R1099:W1106,AN$1,FALSE))</f>
        <v>0</v>
      </c>
      <c r="AP1102" s="927"/>
      <c r="AQ1102" s="927"/>
    </row>
    <row r="1103" spans="1:47" ht="15.6" x14ac:dyDescent="0.3">
      <c r="A1103" s="417">
        <f t="shared" si="991"/>
        <v>995</v>
      </c>
      <c r="B1103" s="362" t="str">
        <f>'Event Details'!D$26</f>
        <v>M</v>
      </c>
      <c r="C1103" s="381" t="str">
        <f>'Event Details'!E$26</f>
        <v>Solihull &amp; S.Heath</v>
      </c>
      <c r="D1103" s="379"/>
      <c r="E1103" s="378"/>
      <c r="F1103" s="363">
        <f>VLOOKUP($B1098,IF($H1098="F",TeamSheetFemale,TeamSheetMale),$Y1103-1,FALSE)</f>
        <v>0</v>
      </c>
      <c r="G1103" s="380">
        <f>VLOOKUP($B1098,IF($H1098="F",TeamSheetFemale,TeamSheetMale),$Y1103,FALSE)</f>
        <v>0</v>
      </c>
      <c r="H1103" s="363">
        <f>VLOOKUP($B1098,IF($H1098="F",TeamSheetFemale,TeamSheetMale),$Y1103+1,FALSE)</f>
        <v>0</v>
      </c>
      <c r="I1103" s="364">
        <f>VLOOKUP($B1098,IF($H1098="F",TeamSheetFemale,TeamSheetMale),$Y1103+2,FALSE)</f>
        <v>0</v>
      </c>
      <c r="K1103" s="341" t="s">
        <v>275</v>
      </c>
      <c r="L1103" s="16" t="str">
        <f t="shared" si="984"/>
        <v/>
      </c>
      <c r="M1103" s="927"/>
      <c r="N1103" s="927"/>
      <c r="O1103" s="353" t="str">
        <f>IF(LEN($M1103)=1,VLOOKUP(LEFT($M1103,1),B1099:I1106,5,FALSE),IF(LEN($M1103)=2,VLOOKUP(LEFT($M1103,1),B1099:I1106,7,FALSE),""))</f>
        <v/>
      </c>
      <c r="P1103" s="373" t="str">
        <f>IF(LEN($M1103)=1,VLOOKUP(LEFT($M1103,1),B1099:I1106,6,FALSE),IF(LEN($M1103)=2,VLOOKUP(LEFT($M1103,1),B1099:I1106,8,FALSE),""))</f>
        <v/>
      </c>
      <c r="Q1103" s="341" t="s">
        <v>275</v>
      </c>
      <c r="R1103" s="146" t="str">
        <f t="shared" si="985"/>
        <v/>
      </c>
      <c r="S1103" s="927"/>
      <c r="T1103" s="927"/>
      <c r="U1103" s="353" t="str">
        <f>IF(LEN($S1103)=1,VLOOKUP(LEFT($S1103,1),B1099:I1106,5,FALSE),IF(LEN($S1103)=2,VLOOKUP(LEFT($S1103,1),B1099:I1106,7,FALSE),""))</f>
        <v/>
      </c>
      <c r="V1103" s="373" t="str">
        <f>IF(LEN($S1103)=1,VLOOKUP(LEFT($S1103,1),B1099:I1106,6,FALSE),IF(LEN($S1103)=2,VLOOKUP(LEFT($S1103,1),B1099:I1106,8,FALSE),""))</f>
        <v/>
      </c>
      <c r="W1103" s="417">
        <f t="shared" si="992"/>
        <v>4</v>
      </c>
      <c r="Y1103" s="417">
        <v>27</v>
      </c>
      <c r="Z1103" s="16">
        <f t="shared" si="986"/>
        <v>0</v>
      </c>
      <c r="AA1103" s="146">
        <f t="shared" si="987"/>
        <v>0</v>
      </c>
      <c r="AB1103" s="32"/>
      <c r="AC1103" s="16" t="str">
        <f t="shared" si="988"/>
        <v>M</v>
      </c>
      <c r="AD1103" s="419" t="str">
        <f t="shared" si="988"/>
        <v>Solihull &amp; S.Heath</v>
      </c>
      <c r="AE1103" s="419">
        <f>IF(ISNA(MATCH(AC1103,N1099:N1108,0)),0,VLOOKUP(AC1103,N1099:S1108,5,FALSE))</f>
        <v>0</v>
      </c>
      <c r="AF1103" s="419" t="str">
        <f>IF(ISNA(MATCH(AC1103,T1099:T1108,0))," ",VLOOKUP(AC1103,T1099:Y1108,5,FALSE))</f>
        <v xml:space="preserve"> </v>
      </c>
      <c r="AG1103" s="419">
        <f>IF(ISNA(MATCH(AC1103,L1099:L1106,0)),0,VLOOKUP(AC1103,L1099:N1106,3,FALSE))</f>
        <v>0</v>
      </c>
      <c r="AH1103" s="419">
        <f>IF(ISNA(MATCH(AC1103,R1099:R1106,0)),0,VLOOKUP(AC1103,R1099:T1106,3,FALSE))</f>
        <v>0</v>
      </c>
      <c r="AI1103" s="419">
        <f>IF(ISNA(MATCH(AC1103,L1099:L1106,0)),0,VLOOKUP(AC1103,L1099:P1106,4,FALSE))</f>
        <v>0</v>
      </c>
      <c r="AJ1103" s="419">
        <f>IF(ISNA(MATCH(AC1103,R1099:R1106,0)),0,VLOOKUP(AC1103,R1099:U1106,4,FALSE))</f>
        <v>0</v>
      </c>
      <c r="AK1103" s="32">
        <f t="shared" si="989"/>
        <v>0</v>
      </c>
      <c r="AL1103" s="32">
        <f t="shared" si="990"/>
        <v>0</v>
      </c>
      <c r="AM1103" s="32">
        <f>IF(ISNA(MATCH(AC1103,L1099:L1106,0)),0,VLOOKUP(AC1103,L1099:W1106,AM$1,FALSE))</f>
        <v>0</v>
      </c>
      <c r="AN1103" s="146">
        <f>IF(ISNA(MATCH(AC1103,R1099:R1106,0)),0,VLOOKUP(AC1103,R1099:W1106,AN$1,FALSE))</f>
        <v>0</v>
      </c>
      <c r="AP1103" s="927"/>
      <c r="AQ1103" s="927"/>
    </row>
    <row r="1104" spans="1:47" ht="15.6" x14ac:dyDescent="0.3">
      <c r="A1104" s="417">
        <f t="shared" si="991"/>
        <v>996</v>
      </c>
      <c r="B1104" s="362" t="str">
        <f>'Event Details'!D$27</f>
        <v>D</v>
      </c>
      <c r="C1104" s="381" t="str">
        <f>'Event Details'!E$27</f>
        <v>Stratford</v>
      </c>
      <c r="D1104" s="379"/>
      <c r="E1104" s="378"/>
      <c r="F1104" s="363">
        <f>VLOOKUP($B1098,IF($H1098="F",TeamSheetFemale,TeamSheetMale),$Y1104-1,FALSE)</f>
        <v>0</v>
      </c>
      <c r="G1104" s="380">
        <f>VLOOKUP($B1098,IF($H1098="F",TeamSheetFemale,TeamSheetMale),$Y1104,FALSE)</f>
        <v>0</v>
      </c>
      <c r="H1104" s="363">
        <f>VLOOKUP($B1098,IF($H1098="F",TeamSheetFemale,TeamSheetMale),$Y1104+1,FALSE)</f>
        <v>0</v>
      </c>
      <c r="I1104" s="364">
        <f>VLOOKUP($B1098,IF($H1098="F",TeamSheetFemale,TeamSheetMale),$Y1104+2,FALSE)</f>
        <v>0</v>
      </c>
      <c r="K1104" s="341" t="s">
        <v>276</v>
      </c>
      <c r="L1104" s="16" t="str">
        <f t="shared" si="984"/>
        <v/>
      </c>
      <c r="M1104" s="927"/>
      <c r="N1104" s="927"/>
      <c r="O1104" s="353" t="str">
        <f>IF(LEN($M1104)=1,VLOOKUP(LEFT($M1104,1),B1099:I1106,5,FALSE),IF(LEN($M1104)=2,VLOOKUP(LEFT($M1104,1),B1099:I1106,7,FALSE),""))</f>
        <v/>
      </c>
      <c r="P1104" s="373" t="str">
        <f>IF(LEN($M1104)=1,VLOOKUP(LEFT($M1104,1),B1099:I1106,6,FALSE),IF(LEN($M1104)=2,VLOOKUP(LEFT($M1104,1),B1099:I1106,8,FALSE),""))</f>
        <v/>
      </c>
      <c r="Q1104" s="341" t="s">
        <v>276</v>
      </c>
      <c r="R1104" s="146" t="str">
        <f t="shared" si="985"/>
        <v/>
      </c>
      <c r="S1104" s="927"/>
      <c r="T1104" s="927"/>
      <c r="U1104" s="353" t="str">
        <f>IF(LEN($S1104)=1,VLOOKUP(LEFT($S1104,1),B1099:I1106,5,FALSE),IF(LEN($S1104)=2,VLOOKUP(LEFT($S1104,1),B1099:I1106,7,FALSE),""))</f>
        <v/>
      </c>
      <c r="V1104" s="373" t="str">
        <f>IF(LEN($S1104)=1,VLOOKUP(LEFT($S1104,1),B1099:I1106,6,FALSE),IF(LEN($S1104)=2,VLOOKUP(LEFT($S1104,1),B1099:I1106,8,FALSE),""))</f>
        <v/>
      </c>
      <c r="W1104" s="417">
        <f t="shared" si="992"/>
        <v>3</v>
      </c>
      <c r="Y1104" s="417">
        <v>32</v>
      </c>
      <c r="Z1104" s="16">
        <f t="shared" si="986"/>
        <v>0</v>
      </c>
      <c r="AA1104" s="146">
        <f t="shared" si="987"/>
        <v>0</v>
      </c>
      <c r="AB1104" s="32"/>
      <c r="AC1104" s="16" t="str">
        <f t="shared" si="988"/>
        <v>D</v>
      </c>
      <c r="AD1104" s="419" t="str">
        <f t="shared" si="988"/>
        <v>Stratford</v>
      </c>
      <c r="AE1104" s="419">
        <f>IF(ISNA(MATCH(AC1104,N1099:N1108,0)),0,VLOOKUP(AC1104,N1099:S1108,5,FALSE))</f>
        <v>0</v>
      </c>
      <c r="AF1104" s="419" t="str">
        <f>IF(ISNA(MATCH(AC1104,T1099:T1108,0))," ",VLOOKUP(AC1104,T1099:Y1108,5,FALSE))</f>
        <v xml:space="preserve"> </v>
      </c>
      <c r="AG1104" s="419">
        <f>IF(ISNA(MATCH(AC1104,L1099:L1106,0)),0,VLOOKUP(AC1104,L1099:N1106,3,FALSE))</f>
        <v>0</v>
      </c>
      <c r="AH1104" s="419">
        <f>IF(ISNA(MATCH(AC1104,R1099:R1106,0)),0,VLOOKUP(AC1104,R1099:T1106,3,FALSE))</f>
        <v>0</v>
      </c>
      <c r="AI1104" s="419">
        <f>IF(ISNA(MATCH(AC1104,L1099:L1106,0)),0,VLOOKUP(AC1104,L1099:P1106,4,FALSE))</f>
        <v>0</v>
      </c>
      <c r="AJ1104" s="419">
        <f>IF(ISNA(MATCH(AC1104,R1099:R1106,0)),0,VLOOKUP(AC1104,R1099:U1106,4,FALSE))</f>
        <v>0</v>
      </c>
      <c r="AK1104" s="32">
        <f t="shared" si="989"/>
        <v>0</v>
      </c>
      <c r="AL1104" s="32">
        <f t="shared" si="990"/>
        <v>0</v>
      </c>
      <c r="AM1104" s="32">
        <f>IF(ISNA(MATCH(AC1104,L1099:L1106,0)),0,VLOOKUP(AC1104,L1099:W1106,AM$1,FALSE))</f>
        <v>0</v>
      </c>
      <c r="AN1104" s="146">
        <f>IF(ISNA(MATCH(AC1104,R1099:R1106,0)),0,VLOOKUP(AC1104,R1099:W1106,AN$1,FALSE))</f>
        <v>0</v>
      </c>
      <c r="AP1104" s="927"/>
      <c r="AQ1104" s="927"/>
    </row>
    <row r="1105" spans="1:47" ht="15.6" x14ac:dyDescent="0.3">
      <c r="A1105" s="417">
        <f t="shared" si="991"/>
        <v>997</v>
      </c>
      <c r="B1105" s="362" t="str">
        <f>'Event Details'!D$28</f>
        <v>F</v>
      </c>
      <c r="C1105" s="381" t="str">
        <f>'Event Details'!E$28</f>
        <v>Tamworth</v>
      </c>
      <c r="D1105" s="379"/>
      <c r="E1105" s="378"/>
      <c r="F1105" s="363">
        <f>VLOOKUP($B1098,IF($H1098="F",TeamSheetFemale,TeamSheetMale),$Y1105-1,FALSE)</f>
        <v>0</v>
      </c>
      <c r="G1105" s="380">
        <f>VLOOKUP($B1098,IF($H1098="F",TeamSheetFemale,TeamSheetMale),$Y1105,FALSE)</f>
        <v>0</v>
      </c>
      <c r="H1105" s="363">
        <f>VLOOKUP($B1098,IF($H1098="F",TeamSheetFemale,TeamSheetMale),$Y1105+1,FALSE)</f>
        <v>0</v>
      </c>
      <c r="I1105" s="364">
        <f>VLOOKUP($B1098,IF($H1098="F",TeamSheetFemale,TeamSheetMale),$Y1105+2,FALSE)</f>
        <v>0</v>
      </c>
      <c r="K1105" s="341" t="s">
        <v>277</v>
      </c>
      <c r="L1105" s="16" t="str">
        <f t="shared" si="984"/>
        <v/>
      </c>
      <c r="M1105" s="927"/>
      <c r="N1105" s="927"/>
      <c r="O1105" s="353" t="str">
        <f>IF(LEN($M1105)=1,VLOOKUP(LEFT($M1105,1),B1099:I1106,5,FALSE),IF(LEN($M1105)=2,VLOOKUP(LEFT($M1105,1),B1099:I1106,7,FALSE),""))</f>
        <v/>
      </c>
      <c r="P1105" s="373" t="str">
        <f>IF(LEN($M1105)=1,VLOOKUP(LEFT($M1105,1),B1099:I1106,6,FALSE),IF(LEN($M1105)=2,VLOOKUP(LEFT($M1105,1),B1099:I1106,8,FALSE),""))</f>
        <v/>
      </c>
      <c r="Q1105" s="341" t="s">
        <v>277</v>
      </c>
      <c r="R1105" s="146" t="str">
        <f t="shared" si="985"/>
        <v/>
      </c>
      <c r="S1105" s="927"/>
      <c r="T1105" s="927"/>
      <c r="U1105" s="353" t="str">
        <f>IF(LEN($S1105)=1,VLOOKUP(LEFT($S1105,1),B1099:I1106,5,FALSE),IF(LEN($S1105)=2,VLOOKUP(LEFT($S1105,1),B1099:I1106,7,FALSE),""))</f>
        <v/>
      </c>
      <c r="V1105" s="373" t="str">
        <f>IF(LEN($S1105)=1,VLOOKUP(LEFT($S1105,1),B1099:I1106,6,FALSE),IF(LEN($S1105)=2,VLOOKUP(LEFT($S1105,1),B1099:I1106,8,FALSE),""))</f>
        <v/>
      </c>
      <c r="W1105" s="417">
        <f t="shared" si="992"/>
        <v>2</v>
      </c>
      <c r="Y1105" s="417">
        <v>37</v>
      </c>
      <c r="Z1105" s="16">
        <f t="shared" si="986"/>
        <v>0</v>
      </c>
      <c r="AA1105" s="146">
        <f t="shared" si="987"/>
        <v>0</v>
      </c>
      <c r="AB1105" s="32"/>
      <c r="AC1105" s="16" t="str">
        <f t="shared" si="988"/>
        <v>F</v>
      </c>
      <c r="AD1105" s="419" t="str">
        <f t="shared" si="988"/>
        <v>Tamworth</v>
      </c>
      <c r="AE1105" s="419">
        <f>IF(ISNA(MATCH(AC1105,N1097:N1106,0)),0,VLOOKUP(AC1105,N1097:S1106,5,FALSE))</f>
        <v>0</v>
      </c>
      <c r="AF1105" s="419" t="str">
        <f>IF(ISNA(MATCH(AC1105,T1097:T1106,0))," ",VLOOKUP(AC1105,T1097:Y1106,5,FALSE))</f>
        <v xml:space="preserve"> </v>
      </c>
      <c r="AG1105" s="419">
        <f>IF(ISNA(MATCH(AC1105,L1099:L1106,0)),0,VLOOKUP(AC1105,L1099:N1106,3,FALSE))</f>
        <v>0</v>
      </c>
      <c r="AH1105" s="419">
        <f>IF(ISNA(MATCH(AC1105,R1099:R1106,0)),0,VLOOKUP(AC1105,R1099:T1106,3,FALSE))</f>
        <v>0</v>
      </c>
      <c r="AI1105" s="419">
        <f>IF(ISNA(MATCH(AC1105,L1099:L1106,0)),0,VLOOKUP(AC1105,L1099:P1106,4,FALSE))</f>
        <v>0</v>
      </c>
      <c r="AJ1105" s="419">
        <f>IF(ISNA(MATCH(AC1105,R1099:R1106,0)),0,VLOOKUP(AC1105,R1099:U1106,4,FALSE))</f>
        <v>0</v>
      </c>
      <c r="AK1105" s="32">
        <f t="shared" si="989"/>
        <v>0</v>
      </c>
      <c r="AL1105" s="32">
        <f t="shared" si="990"/>
        <v>0</v>
      </c>
      <c r="AM1105" s="32">
        <f>IF(ISNA(MATCH(AC1105,L1099:L1106,0)),0,VLOOKUP(AC1105,L1099:W1106,AM$1,FALSE))</f>
        <v>0</v>
      </c>
      <c r="AN1105" s="146">
        <f>IF(ISNA(MATCH(AC1105,R1099:R1106,0)),0,VLOOKUP(AC1105,R1099:W1106,AN$1,FALSE))</f>
        <v>0</v>
      </c>
      <c r="AP1105" s="927"/>
      <c r="AQ1105" s="927"/>
    </row>
    <row r="1106" spans="1:47" ht="16.2" thickBot="1" x14ac:dyDescent="0.35">
      <c r="A1106" s="418">
        <f t="shared" si="991"/>
        <v>998</v>
      </c>
      <c r="B1106" s="365" t="str">
        <f>'Event Details'!D$29</f>
        <v>Y</v>
      </c>
      <c r="C1106" s="366" t="str">
        <f>'Event Details'!E$29</f>
        <v>Worcester</v>
      </c>
      <c r="D1106" s="361"/>
      <c r="E1106" s="370"/>
      <c r="F1106" s="367">
        <f>VLOOKUP($B1098,IF($H1098="F",TeamSheetFemale,TeamSheetMale),$Y1106-1,FALSE)</f>
        <v>0</v>
      </c>
      <c r="G1106" s="368">
        <f>VLOOKUP($B1098,IF($H1098="F",TeamSheetFemale,TeamSheetMale),$Y1106,FALSE)</f>
        <v>0</v>
      </c>
      <c r="H1106" s="367">
        <f>VLOOKUP($B1098,IF($H1098="F",TeamSheetFemale,TeamSheetMale),$Y1106+1,FALSE)</f>
        <v>0</v>
      </c>
      <c r="I1106" s="369">
        <f>VLOOKUP($B1098,IF($H1098="F",TeamSheetFemale,TeamSheetMale),$Y1106+2,FALSE)</f>
        <v>0</v>
      </c>
      <c r="K1106" s="346" t="s">
        <v>278</v>
      </c>
      <c r="L1106" s="25" t="str">
        <f t="shared" si="984"/>
        <v/>
      </c>
      <c r="M1106" s="932"/>
      <c r="N1106" s="932"/>
      <c r="O1106" s="375" t="str">
        <f>IF(LEN($M1106)=1,VLOOKUP(LEFT($M1106,1),B1099:I1106,5,FALSE),IF(LEN($M1106)=2,VLOOKUP(LEFT($M1106,1),B1099:I1106,7,FALSE),""))</f>
        <v/>
      </c>
      <c r="P1106" s="376" t="str">
        <f>IF(LEN($M1106)=1,VLOOKUP(LEFT($M1106,1),B1099:I1106,6,FALSE),IF(LEN($M1106)=2,VLOOKUP(LEFT($M1106,1),B1099:I1106,8,FALSE),""))</f>
        <v/>
      </c>
      <c r="Q1106" s="346" t="s">
        <v>278</v>
      </c>
      <c r="R1106" s="523" t="str">
        <f t="shared" si="985"/>
        <v/>
      </c>
      <c r="S1106" s="932"/>
      <c r="T1106" s="932"/>
      <c r="U1106" s="375" t="str">
        <f>IF(LEN($S1106)=1,VLOOKUP(LEFT($S1106,1),B1099:I1106,5,FALSE),IF(LEN($S1106)=2,VLOOKUP(LEFT($S1106,1),B1099:I1106,7,FALSE),""))</f>
        <v/>
      </c>
      <c r="V1106" s="376" t="str">
        <f>IF(LEN($S1106)=1,VLOOKUP(LEFT($S1106,1),B1099:I1106,6,FALSE),IF(LEN($S1106)=2,VLOOKUP(LEFT($S1106,1),B1099:I1106,8,FALSE),""))</f>
        <v/>
      </c>
      <c r="W1106" s="418">
        <f t="shared" si="992"/>
        <v>1</v>
      </c>
      <c r="Y1106" s="418">
        <v>42</v>
      </c>
      <c r="Z1106" s="25">
        <f t="shared" si="986"/>
        <v>0</v>
      </c>
      <c r="AA1106" s="523">
        <f t="shared" si="987"/>
        <v>0</v>
      </c>
      <c r="AB1106" s="32"/>
      <c r="AC1106" s="25" t="str">
        <f t="shared" si="988"/>
        <v>Y</v>
      </c>
      <c r="AD1106" s="624" t="str">
        <f t="shared" si="988"/>
        <v>Worcester</v>
      </c>
      <c r="AE1106" s="624">
        <f>IF(ISNA(MATCH(AC1106,N1098:N1107,0)),0,VLOOKUP(AC1106,N1098:S1107,5,FALSE))</f>
        <v>0</v>
      </c>
      <c r="AF1106" s="624" t="str">
        <f t="shared" ref="AF1106" si="993">IF(ISNA(MATCH(AC1106,T1098:T1107,0))," ",VLOOKUP(AC1106,T1098:Y1107,5,FALSE))</f>
        <v xml:space="preserve"> </v>
      </c>
      <c r="AG1106" s="624">
        <f>IF(ISNA(MATCH(AC1106,L1099:L1106,0)),0,VLOOKUP(AC1106,L1099:N1106,3,FALSE))</f>
        <v>0</v>
      </c>
      <c r="AH1106" s="624">
        <f>IF(ISNA(MATCH(AC1106,R1099:R1106,0)),0,VLOOKUP(AC1106,R1099:T1106,3,FALSE))</f>
        <v>0</v>
      </c>
      <c r="AI1106" s="624">
        <f>IF(ISNA(MATCH(AC1106,L1099:L1106,0)),0,VLOOKUP(AC1106,L1099:P1106,4,FALSE))</f>
        <v>0</v>
      </c>
      <c r="AJ1106" s="624">
        <f>IF(ISNA(MATCH(AC1106,R1099:R1106,0)),0,VLOOKUP(AC1106,R1099:U1106,4,FALSE))</f>
        <v>0</v>
      </c>
      <c r="AK1106" s="116">
        <f t="shared" si="989"/>
        <v>0</v>
      </c>
      <c r="AL1106" s="116">
        <f t="shared" si="990"/>
        <v>0</v>
      </c>
      <c r="AM1106" s="116">
        <f>IF(ISNA(MATCH(AC1106,L1099:L1106,0)),0,VLOOKUP(AC1106,L1099:W1106,AM$1,FALSE))</f>
        <v>0</v>
      </c>
      <c r="AN1106" s="523">
        <f>IF(ISNA(MATCH(AC1106,R1099:R1106,0)),0,VLOOKUP(AC1106,R1099:W1106,AN$1,FALSE))</f>
        <v>0</v>
      </c>
      <c r="AP1106" s="932"/>
      <c r="AQ1106" s="932"/>
    </row>
    <row r="1107" spans="1:47" ht="15" thickBot="1" x14ac:dyDescent="0.35">
      <c r="AP1107" s="276"/>
      <c r="AQ1107" s="307"/>
      <c r="AS1107" s="1218" t="s">
        <v>78</v>
      </c>
      <c r="AT1107" s="1219" t="s">
        <v>79</v>
      </c>
      <c r="AU1107" s="1220" t="s">
        <v>80</v>
      </c>
    </row>
    <row r="1108" spans="1:47" ht="15" thickBot="1" x14ac:dyDescent="0.35">
      <c r="AE1108" s="661" t="s">
        <v>149</v>
      </c>
      <c r="AF1108" s="661" t="s">
        <v>94</v>
      </c>
      <c r="AG1108" s="661" t="s">
        <v>149</v>
      </c>
      <c r="AH1108" s="661" t="s">
        <v>94</v>
      </c>
      <c r="AI1108" s="661" t="s">
        <v>149</v>
      </c>
      <c r="AJ1108" s="661" t="s">
        <v>94</v>
      </c>
      <c r="AK1108" s="1332" t="s">
        <v>149</v>
      </c>
      <c r="AL1108" s="661" t="s">
        <v>94</v>
      </c>
      <c r="AM1108" s="1406" t="s">
        <v>76</v>
      </c>
      <c r="AN1108" s="1407"/>
      <c r="AP1108" s="387" t="s">
        <v>260</v>
      </c>
      <c r="AQ1108" s="387" t="s">
        <v>261</v>
      </c>
      <c r="AS1108" s="1224">
        <f>SUM(AS9:AS1107)</f>
        <v>79</v>
      </c>
      <c r="AT1108" s="1217" t="e">
        <f t="shared" ref="AT1108:AU1108" si="994">SUM(AT9:AT1107)</f>
        <v>#N/A</v>
      </c>
      <c r="AU1108" s="1225" t="e">
        <f t="shared" si="994"/>
        <v>#N/A</v>
      </c>
    </row>
    <row r="1109" spans="1:47" ht="15" thickBot="1" x14ac:dyDescent="0.35">
      <c r="AE1109" s="768" t="s">
        <v>75</v>
      </c>
      <c r="AF1109" s="768" t="s">
        <v>75</v>
      </c>
      <c r="AG1109" s="768" t="s">
        <v>267</v>
      </c>
      <c r="AH1109" s="768" t="s">
        <v>267</v>
      </c>
      <c r="AI1109" s="768" t="s">
        <v>268</v>
      </c>
      <c r="AJ1109" s="768" t="s">
        <v>268</v>
      </c>
      <c r="AK1109" s="770" t="s">
        <v>269</v>
      </c>
      <c r="AL1109" s="768" t="s">
        <v>269</v>
      </c>
      <c r="AM1109" s="667" t="s">
        <v>149</v>
      </c>
      <c r="AN1109" s="659" t="s">
        <v>94</v>
      </c>
      <c r="AP1109" s="409" t="s">
        <v>264</v>
      </c>
      <c r="AQ1109" s="409" t="s">
        <v>265</v>
      </c>
    </row>
    <row r="1110" spans="1:47" x14ac:dyDescent="0.3">
      <c r="AE1110"/>
      <c r="AF1110"/>
      <c r="AG1110"/>
      <c r="AH1110"/>
      <c r="AI1110"/>
      <c r="AJ1110"/>
      <c r="AK1110"/>
      <c r="AL1110"/>
      <c r="AP1110" s="926"/>
      <c r="AQ1110" s="926"/>
    </row>
    <row r="1111" spans="1:47" x14ac:dyDescent="0.3">
      <c r="AE1111"/>
      <c r="AF1111"/>
      <c r="AG1111"/>
      <c r="AH1111"/>
      <c r="AI1111"/>
      <c r="AJ1111"/>
      <c r="AK1111"/>
      <c r="AL1111"/>
      <c r="AP1111" s="927"/>
      <c r="AQ1111" s="927"/>
    </row>
    <row r="1112" spans="1:47" x14ac:dyDescent="0.3">
      <c r="AE1112"/>
      <c r="AF1112"/>
      <c r="AG1112"/>
      <c r="AH1112"/>
      <c r="AI1112"/>
      <c r="AJ1112"/>
      <c r="AK1112"/>
      <c r="AL1112"/>
      <c r="AP1112" s="927"/>
      <c r="AQ1112" s="927"/>
    </row>
    <row r="1113" spans="1:47" x14ac:dyDescent="0.3">
      <c r="AE1113"/>
      <c r="AF1113"/>
      <c r="AG1113"/>
      <c r="AH1113"/>
      <c r="AI1113"/>
      <c r="AJ1113"/>
      <c r="AK1113"/>
      <c r="AL1113"/>
      <c r="AP1113" s="927"/>
      <c r="AQ1113" s="927"/>
    </row>
    <row r="1114" spans="1:47" x14ac:dyDescent="0.3">
      <c r="AE1114"/>
      <c r="AF1114"/>
      <c r="AG1114"/>
      <c r="AH1114"/>
      <c r="AI1114"/>
      <c r="AJ1114"/>
      <c r="AK1114"/>
      <c r="AL1114"/>
      <c r="AP1114" s="927"/>
      <c r="AQ1114" s="927"/>
    </row>
    <row r="1115" spans="1:47" x14ac:dyDescent="0.3">
      <c r="AE1115"/>
      <c r="AF1115"/>
      <c r="AG1115"/>
      <c r="AH1115"/>
      <c r="AI1115"/>
      <c r="AJ1115"/>
      <c r="AK1115"/>
      <c r="AL1115"/>
      <c r="AP1115" s="927"/>
      <c r="AQ1115" s="927"/>
    </row>
    <row r="1116" spans="1:47" x14ac:dyDescent="0.3">
      <c r="AE1116"/>
      <c r="AF1116"/>
      <c r="AG1116"/>
      <c r="AH1116"/>
      <c r="AI1116"/>
      <c r="AJ1116"/>
      <c r="AK1116"/>
      <c r="AL1116"/>
      <c r="AP1116" s="927"/>
      <c r="AQ1116" s="927"/>
    </row>
    <row r="1117" spans="1:47" ht="15" thickBot="1" x14ac:dyDescent="0.35">
      <c r="AE1117"/>
      <c r="AF1117"/>
      <c r="AG1117"/>
      <c r="AH1117"/>
      <c r="AI1117"/>
      <c r="AJ1117"/>
      <c r="AK1117"/>
      <c r="AL1117"/>
      <c r="AP1117" s="932"/>
      <c r="AQ1117" s="932"/>
    </row>
  </sheetData>
  <sortState xmlns:xlrd2="http://schemas.microsoft.com/office/spreadsheetml/2017/richdata2" ref="T22:T27">
    <sortCondition descending="1" ref="T21:T27"/>
  </sortState>
  <mergeCells count="100">
    <mergeCell ref="AM1108:AN1108"/>
    <mergeCell ref="AM74:AN74"/>
    <mergeCell ref="AM19:AN19"/>
    <mergeCell ref="AM30:AN30"/>
    <mergeCell ref="AM41:AN41"/>
    <mergeCell ref="AM52:AN52"/>
    <mergeCell ref="AM63:AN63"/>
    <mergeCell ref="AM206:AN206"/>
    <mergeCell ref="AM85:AN85"/>
    <mergeCell ref="AM96:AN96"/>
    <mergeCell ref="AM107:AN107"/>
    <mergeCell ref="AM118:AN118"/>
    <mergeCell ref="AM129:AN129"/>
    <mergeCell ref="AM140:AN140"/>
    <mergeCell ref="AM151:AN151"/>
    <mergeCell ref="AM162:AN162"/>
    <mergeCell ref="AM173:AN173"/>
    <mergeCell ref="AM184:AN184"/>
    <mergeCell ref="AM195:AN195"/>
    <mergeCell ref="AM338:AN338"/>
    <mergeCell ref="AM217:AN217"/>
    <mergeCell ref="AM228:AN228"/>
    <mergeCell ref="AM239:AN239"/>
    <mergeCell ref="AM250:AN250"/>
    <mergeCell ref="AM261:AN261"/>
    <mergeCell ref="AM272:AN272"/>
    <mergeCell ref="AM283:AN283"/>
    <mergeCell ref="AM294:AN294"/>
    <mergeCell ref="AM305:AN305"/>
    <mergeCell ref="AM316:AN316"/>
    <mergeCell ref="AM327:AN327"/>
    <mergeCell ref="AM470:AN470"/>
    <mergeCell ref="AM349:AN349"/>
    <mergeCell ref="AM360:AN360"/>
    <mergeCell ref="AM371:AN371"/>
    <mergeCell ref="AM382:AN382"/>
    <mergeCell ref="AM393:AN393"/>
    <mergeCell ref="AM404:AN404"/>
    <mergeCell ref="AM415:AN415"/>
    <mergeCell ref="AM426:AN426"/>
    <mergeCell ref="AM437:AN437"/>
    <mergeCell ref="AM448:AN448"/>
    <mergeCell ref="AM459:AN459"/>
    <mergeCell ref="AM646:AN646"/>
    <mergeCell ref="AM481:AN481"/>
    <mergeCell ref="AM492:AN492"/>
    <mergeCell ref="AM503:AN503"/>
    <mergeCell ref="AM558:AN558"/>
    <mergeCell ref="AM569:AN569"/>
    <mergeCell ref="AM580:AN580"/>
    <mergeCell ref="AM591:AN591"/>
    <mergeCell ref="AM602:AN602"/>
    <mergeCell ref="AM613:AN613"/>
    <mergeCell ref="AM624:AN624"/>
    <mergeCell ref="AM635:AN635"/>
    <mergeCell ref="AM514:AN514"/>
    <mergeCell ref="AM525:AN525"/>
    <mergeCell ref="AM536:AN536"/>
    <mergeCell ref="AM547:AN547"/>
    <mergeCell ref="AM778:AN778"/>
    <mergeCell ref="AM657:AN657"/>
    <mergeCell ref="AM668:AN668"/>
    <mergeCell ref="AM679:AN679"/>
    <mergeCell ref="AM690:AN690"/>
    <mergeCell ref="AM701:AN701"/>
    <mergeCell ref="AM712:AN712"/>
    <mergeCell ref="AM723:AN723"/>
    <mergeCell ref="AM734:AN734"/>
    <mergeCell ref="AM745:AN745"/>
    <mergeCell ref="AM756:AN756"/>
    <mergeCell ref="AM767:AN767"/>
    <mergeCell ref="AM910:AN910"/>
    <mergeCell ref="AM789:AN789"/>
    <mergeCell ref="AM800:AN800"/>
    <mergeCell ref="AM811:AN811"/>
    <mergeCell ref="AM822:AN822"/>
    <mergeCell ref="AM833:AN833"/>
    <mergeCell ref="AM844:AN844"/>
    <mergeCell ref="AM855:AN855"/>
    <mergeCell ref="AM866:AN866"/>
    <mergeCell ref="AM877:AN877"/>
    <mergeCell ref="AM888:AN888"/>
    <mergeCell ref="AM899:AN899"/>
    <mergeCell ref="AM1042:AN1042"/>
    <mergeCell ref="AM921:AN921"/>
    <mergeCell ref="AM932:AN932"/>
    <mergeCell ref="AM943:AN943"/>
    <mergeCell ref="AM954:AN954"/>
    <mergeCell ref="AM965:AN965"/>
    <mergeCell ref="AM976:AN976"/>
    <mergeCell ref="AM987:AN987"/>
    <mergeCell ref="AM998:AN998"/>
    <mergeCell ref="AM1009:AN1009"/>
    <mergeCell ref="AM1020:AN1020"/>
    <mergeCell ref="AM1031:AN1031"/>
    <mergeCell ref="AM1053:AN1053"/>
    <mergeCell ref="AM1064:AN1064"/>
    <mergeCell ref="AM1075:AN1075"/>
    <mergeCell ref="AM1086:AN1086"/>
    <mergeCell ref="AM1097:AN1097"/>
  </mergeCells>
  <phoneticPr fontId="38" type="noConversion"/>
  <conditionalFormatting sqref="H4:I4 D4 F4">
    <cfRule type="cellIs" dxfId="77" priority="1" stopIfTrue="1" operator="equal">
      <formula>"""U17M"""</formula>
    </cfRule>
    <cfRule type="cellIs" dxfId="76" priority="2" stopIfTrue="1" operator="equal">
      <formula>"""U15B"""</formula>
    </cfRule>
    <cfRule type="cellIs" dxfId="75" priority="3" stopIfTrue="1" operator="equal">
      <formula>"""U13B"""</formula>
    </cfRule>
  </conditionalFormatting>
  <pageMargins left="0.7" right="0.7" top="0.75" bottom="0.75" header="0.3" footer="0.3"/>
  <pageSetup paperSize="9" orientation="portrait" horizontalDpi="360"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Go_To_Event">
                <anchor moveWithCells="1">
                  <from>
                    <xdr:col>10</xdr:col>
                    <xdr:colOff>45720</xdr:colOff>
                    <xdr:row>1</xdr:row>
                    <xdr:rowOff>83820</xdr:rowOff>
                  </from>
                  <to>
                    <xdr:col>12</xdr:col>
                    <xdr:colOff>365760</xdr:colOff>
                    <xdr:row>3</xdr:row>
                    <xdr:rowOff>190500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E7A9C-4238-44F2-9FD3-E83B1E61A4FB}">
  <sheetPr codeName="Sheet9"/>
  <dimension ref="A1:AD516"/>
  <sheetViews>
    <sheetView showZeros="0" topLeftCell="B5" workbookViewId="0">
      <pane xSplit="4" ySplit="3" topLeftCell="J109" activePane="bottomRight" state="frozen"/>
      <selection pane="topRight" activeCell="F5" sqref="F5"/>
      <selection pane="bottomLeft" activeCell="B8" sqref="B8"/>
      <selection pane="bottomRight" activeCell="L414" sqref="L414"/>
    </sheetView>
  </sheetViews>
  <sheetFormatPr defaultRowHeight="14.4" x14ac:dyDescent="0.3"/>
  <cols>
    <col min="1" max="1" width="7.5546875" style="419" customWidth="1"/>
    <col min="2" max="2" width="5.5546875" style="32" customWidth="1"/>
    <col min="3" max="3" width="7.109375" style="221" customWidth="1"/>
    <col min="4" max="4" width="15" style="419" customWidth="1"/>
    <col min="5" max="5" width="5" style="32" customWidth="1"/>
    <col min="6" max="6" width="5.5546875" customWidth="1"/>
    <col min="7" max="7" width="8.5546875" customWidth="1"/>
    <col min="8" max="8" width="8.5546875" style="632" customWidth="1"/>
    <col min="9" max="9" width="8.5546875" style="631" customWidth="1"/>
    <col min="10" max="10" width="8.5546875" style="632" customWidth="1"/>
    <col min="11" max="11" width="8.5546875" style="631" customWidth="1"/>
    <col min="12" max="12" width="8.5546875" style="632" customWidth="1"/>
    <col min="13" max="13" width="8.5546875" style="631" customWidth="1"/>
    <col min="14" max="14" width="8.5546875" style="632" customWidth="1"/>
    <col min="15" max="15" width="8.5546875" style="631" customWidth="1"/>
    <col min="16" max="16" width="8.5546875" style="632" customWidth="1"/>
    <col min="17" max="17" width="8.5546875" style="631" customWidth="1"/>
    <col min="18" max="18" width="8.5546875" style="632" customWidth="1"/>
    <col min="19" max="19" width="8.5546875" style="631" customWidth="1"/>
    <col min="20" max="20" width="8.5546875" style="632" customWidth="1"/>
    <col min="21" max="21" width="8.5546875" style="631" customWidth="1"/>
    <col min="22" max="22" width="8.5546875" style="632" customWidth="1"/>
    <col min="23" max="23" width="6" style="632" customWidth="1"/>
    <col min="24" max="30" width="5.44140625" style="632" customWidth="1"/>
  </cols>
  <sheetData>
    <row r="1" spans="1:30" x14ac:dyDescent="0.3">
      <c r="D1" s="420"/>
      <c r="E1" s="421"/>
      <c r="F1" s="422"/>
      <c r="G1" s="422"/>
      <c r="H1" s="422"/>
      <c r="I1" s="422"/>
      <c r="J1" s="422"/>
      <c r="K1" s="422"/>
      <c r="L1" s="422"/>
      <c r="M1" s="422"/>
      <c r="N1" s="422"/>
      <c r="O1" s="422"/>
      <c r="P1" s="422"/>
      <c r="Q1" s="422"/>
      <c r="R1" s="422"/>
      <c r="S1" s="422"/>
      <c r="T1" s="422"/>
      <c r="U1" s="422"/>
      <c r="V1" s="422"/>
      <c r="W1" s="423"/>
      <c r="X1" s="423"/>
      <c r="Y1" s="423"/>
      <c r="Z1" s="423"/>
      <c r="AA1" s="423"/>
      <c r="AB1" s="423"/>
      <c r="AC1" s="423"/>
      <c r="AD1" s="423"/>
    </row>
    <row r="2" spans="1:30" x14ac:dyDescent="0.3">
      <c r="A2" s="424"/>
      <c r="B2" s="425"/>
      <c r="C2" s="426"/>
      <c r="D2" s="427"/>
      <c r="E2" s="428"/>
      <c r="F2" s="1422" t="s">
        <v>282</v>
      </c>
      <c r="G2" s="1423"/>
      <c r="H2" s="1423"/>
      <c r="I2" s="1424"/>
      <c r="J2" s="429"/>
      <c r="K2" s="430"/>
      <c r="L2" s="431"/>
      <c r="M2" s="432"/>
      <c r="N2" s="432"/>
      <c r="O2" s="432"/>
      <c r="P2" s="432"/>
      <c r="Q2" s="432"/>
      <c r="R2" s="432"/>
      <c r="S2" s="432"/>
      <c r="T2" s="432"/>
      <c r="U2" s="432"/>
      <c r="V2" s="432"/>
      <c r="W2" s="433"/>
      <c r="X2" s="433"/>
      <c r="Y2" s="433"/>
      <c r="Z2" s="433"/>
      <c r="AA2" s="433"/>
      <c r="AB2" s="433"/>
      <c r="AC2" s="433"/>
      <c r="AD2" s="433"/>
    </row>
    <row r="3" spans="1:30" x14ac:dyDescent="0.3">
      <c r="D3" s="434" t="s">
        <v>170</v>
      </c>
      <c r="E3" s="435" t="s">
        <v>149</v>
      </c>
      <c r="F3" s="436">
        <v>16</v>
      </c>
      <c r="G3" s="437">
        <v>26</v>
      </c>
      <c r="H3" s="437">
        <v>14</v>
      </c>
      <c r="I3" s="438">
        <v>39</v>
      </c>
      <c r="J3" s="439" t="s">
        <v>283</v>
      </c>
      <c r="K3" s="422"/>
      <c r="L3" s="440">
        <v>15</v>
      </c>
      <c r="M3" s="422"/>
      <c r="N3" s="422"/>
      <c r="O3" s="422"/>
      <c r="P3" s="422"/>
      <c r="Q3" s="422"/>
      <c r="R3" s="422"/>
      <c r="S3" s="422"/>
      <c r="T3" s="422"/>
      <c r="U3" s="422"/>
      <c r="V3" s="438"/>
      <c r="W3" s="423"/>
      <c r="X3" s="423"/>
      <c r="Y3" s="423"/>
      <c r="Z3" s="423"/>
      <c r="AA3" s="423"/>
      <c r="AB3" s="423"/>
      <c r="AC3" s="423"/>
      <c r="AD3" s="423"/>
    </row>
    <row r="4" spans="1:30" ht="15" thickBot="1" x14ac:dyDescent="0.35">
      <c r="A4" s="424"/>
      <c r="B4" s="425"/>
      <c r="C4" s="426"/>
      <c r="D4" s="427"/>
      <c r="E4" s="441" t="s">
        <v>94</v>
      </c>
      <c r="F4" s="442">
        <v>22</v>
      </c>
      <c r="G4" s="432">
        <v>27</v>
      </c>
      <c r="H4" s="432">
        <v>20</v>
      </c>
      <c r="I4" s="443">
        <v>40</v>
      </c>
      <c r="J4" s="442"/>
      <c r="K4" s="432"/>
      <c r="L4" s="444" t="s">
        <v>284</v>
      </c>
      <c r="M4" s="445"/>
      <c r="N4" s="432"/>
      <c r="O4" s="432"/>
      <c r="P4" s="446"/>
      <c r="Q4" s="445"/>
      <c r="R4" s="445"/>
      <c r="S4" s="445"/>
      <c r="T4" s="445"/>
      <c r="U4" s="445"/>
      <c r="V4" s="447"/>
      <c r="W4" s="433"/>
      <c r="X4" s="433"/>
      <c r="Y4" s="433"/>
      <c r="Z4" s="433"/>
      <c r="AA4" s="433"/>
      <c r="AB4" s="433"/>
      <c r="AC4" s="433"/>
      <c r="AD4" s="433"/>
    </row>
    <row r="5" spans="1:30" ht="40.5" customHeight="1" x14ac:dyDescent="0.3">
      <c r="A5" s="424"/>
      <c r="B5" s="1411" t="s">
        <v>258</v>
      </c>
      <c r="C5" s="448"/>
      <c r="D5" s="449" t="s">
        <v>285</v>
      </c>
      <c r="E5" s="450"/>
      <c r="F5" s="451"/>
      <c r="G5" s="433"/>
      <c r="H5" s="1257" t="s">
        <v>148</v>
      </c>
      <c r="I5" s="52" t="str">
        <f>IF(H5="","n/a",VLOOKUP(H5,ShortName,5,FALSE))</f>
        <v>n/a</v>
      </c>
      <c r="J5" s="433"/>
      <c r="K5" s="121" t="str">
        <f>CONCATENATE('Event Details'!E$5," ","Results")</f>
        <v>Heart of England League Results</v>
      </c>
      <c r="L5" s="452"/>
      <c r="M5" s="453"/>
      <c r="N5" s="433"/>
      <c r="O5" s="433"/>
      <c r="P5" s="452"/>
      <c r="Q5" s="453"/>
      <c r="R5" s="452"/>
      <c r="S5" s="454"/>
      <c r="T5" s="452"/>
      <c r="U5" s="453"/>
      <c r="V5" s="452"/>
      <c r="W5" s="1418" t="str">
        <f>W8</f>
        <v>BRAT</v>
      </c>
      <c r="X5" s="1418" t="str">
        <f t="shared" ref="X5:AD5" si="0">X8</f>
        <v>Kidder &amp; Stourport</v>
      </c>
      <c r="Y5" s="1418" t="str">
        <f t="shared" si="0"/>
        <v>Royal Sutton</v>
      </c>
      <c r="Z5" s="1418" t="str">
        <f t="shared" si="0"/>
        <v>Rugby &amp; N'hampton</v>
      </c>
      <c r="AA5" s="1418" t="str">
        <f t="shared" si="0"/>
        <v>Solihull &amp; S.Heath</v>
      </c>
      <c r="AB5" s="1418" t="str">
        <f t="shared" si="0"/>
        <v>Stratford</v>
      </c>
      <c r="AC5" s="1418" t="str">
        <f t="shared" si="0"/>
        <v>Tamworth</v>
      </c>
      <c r="AD5" s="1418" t="str">
        <f t="shared" si="0"/>
        <v>Worcester</v>
      </c>
    </row>
    <row r="6" spans="1:30" ht="40.5" customHeight="1" thickBot="1" x14ac:dyDescent="0.35">
      <c r="A6" s="424"/>
      <c r="B6" s="1412"/>
      <c r="C6" s="455"/>
      <c r="D6" s="456" t="s">
        <v>64</v>
      </c>
      <c r="E6" s="457">
        <f>'Event Details'!E$9</f>
        <v>1</v>
      </c>
      <c r="F6" s="457"/>
      <c r="G6" s="56"/>
      <c r="H6" s="458"/>
      <c r="I6" s="459"/>
      <c r="J6" s="433"/>
      <c r="K6" s="460" t="s">
        <v>67</v>
      </c>
      <c r="L6" s="461" t="str">
        <f>'Event Details'!G$17</f>
        <v>Rugby &amp; N'hampton</v>
      </c>
      <c r="M6" s="459"/>
      <c r="N6" s="459"/>
      <c r="O6" s="459"/>
      <c r="P6" s="462"/>
      <c r="Q6" s="460" t="s">
        <v>66</v>
      </c>
      <c r="R6" s="463" t="str">
        <f>'Event Details'!C$17</f>
        <v>17th May 2026</v>
      </c>
      <c r="S6" s="459"/>
      <c r="T6" s="459"/>
      <c r="U6" s="459"/>
      <c r="V6" s="459"/>
      <c r="W6" s="1419"/>
      <c r="X6" s="1419"/>
      <c r="Y6" s="1419"/>
      <c r="Z6" s="1419"/>
      <c r="AA6" s="1419"/>
      <c r="AB6" s="1419"/>
      <c r="AC6" s="1419"/>
      <c r="AD6" s="1419"/>
    </row>
    <row r="7" spans="1:30" ht="15" thickBot="1" x14ac:dyDescent="0.35">
      <c r="B7" s="417"/>
      <c r="C7" s="464" t="s">
        <v>168</v>
      </c>
      <c r="D7" s="61" t="s">
        <v>165</v>
      </c>
      <c r="E7" s="465"/>
      <c r="F7" s="1330" t="s">
        <v>177</v>
      </c>
      <c r="G7" s="1420" t="s">
        <v>286</v>
      </c>
      <c r="H7" s="1420"/>
      <c r="I7" s="1421" t="s">
        <v>287</v>
      </c>
      <c r="J7" s="1421"/>
      <c r="K7" s="1421" t="s">
        <v>288</v>
      </c>
      <c r="L7" s="1421"/>
      <c r="M7" s="1421" t="s">
        <v>289</v>
      </c>
      <c r="N7" s="1421"/>
      <c r="O7" s="1421" t="s">
        <v>290</v>
      </c>
      <c r="P7" s="1421"/>
      <c r="Q7" s="1421" t="s">
        <v>291</v>
      </c>
      <c r="R7" s="1421"/>
      <c r="S7" s="1421" t="s">
        <v>292</v>
      </c>
      <c r="T7" s="1421"/>
      <c r="U7" s="1421" t="s">
        <v>293</v>
      </c>
      <c r="V7" s="1421"/>
      <c r="W7" s="466" t="str">
        <f>W10</f>
        <v>S</v>
      </c>
      <c r="X7" s="466" t="str">
        <f t="shared" ref="X7:AD7" si="1">X10</f>
        <v>U</v>
      </c>
      <c r="Y7" s="466" t="str">
        <f t="shared" si="1"/>
        <v>G</v>
      </c>
      <c r="Z7" s="466" t="str">
        <f t="shared" si="1"/>
        <v>R</v>
      </c>
      <c r="AA7" s="466" t="str">
        <f t="shared" si="1"/>
        <v>M</v>
      </c>
      <c r="AB7" s="466" t="str">
        <f t="shared" si="1"/>
        <v>D</v>
      </c>
      <c r="AC7" s="466" t="str">
        <f t="shared" si="1"/>
        <v>F</v>
      </c>
      <c r="AD7" s="466" t="str">
        <f t="shared" si="1"/>
        <v>Y</v>
      </c>
    </row>
    <row r="8" spans="1:30" ht="40.5" customHeight="1" x14ac:dyDescent="0.3">
      <c r="A8" s="424"/>
      <c r="B8" s="1411" t="s">
        <v>258</v>
      </c>
      <c r="C8" s="467"/>
      <c r="D8" s="468"/>
      <c r="E8" s="469"/>
      <c r="F8" s="467"/>
      <c r="G8" s="467"/>
      <c r="H8" s="467"/>
      <c r="I8" s="470"/>
      <c r="J8" s="467"/>
      <c r="K8" s="689" t="s">
        <v>294</v>
      </c>
      <c r="L8" s="472"/>
      <c r="M8" s="470"/>
      <c r="N8" s="467"/>
      <c r="O8" s="467"/>
      <c r="P8" s="472"/>
      <c r="Q8" s="470"/>
      <c r="R8" s="472"/>
      <c r="S8" s="473"/>
      <c r="T8" s="472"/>
      <c r="U8" s="470"/>
      <c r="V8" s="472"/>
      <c r="W8" s="1411" t="str">
        <f>'Event Details'!$E22</f>
        <v>BRAT</v>
      </c>
      <c r="X8" s="1411" t="str">
        <f>'Event Details'!$E23</f>
        <v>Kidder &amp; Stourport</v>
      </c>
      <c r="Y8" s="1411" t="str">
        <f>'Event Details'!$E24</f>
        <v>Royal Sutton</v>
      </c>
      <c r="Z8" s="1411" t="str">
        <f>'Event Details'!$E25</f>
        <v>Rugby &amp; N'hampton</v>
      </c>
      <c r="AA8" s="1411" t="str">
        <f>'Event Details'!$E26</f>
        <v>Solihull &amp; S.Heath</v>
      </c>
      <c r="AB8" s="1411" t="str">
        <f>'Event Details'!$E27</f>
        <v>Stratford</v>
      </c>
      <c r="AC8" s="1411" t="str">
        <f>'Event Details'!$E28</f>
        <v>Tamworth</v>
      </c>
      <c r="AD8" s="1411" t="str">
        <f>'Event Details'!$E29</f>
        <v>Worcester</v>
      </c>
    </row>
    <row r="9" spans="1:30" ht="40.5" customHeight="1" thickBot="1" x14ac:dyDescent="0.35">
      <c r="A9" s="424"/>
      <c r="B9" s="1412"/>
      <c r="C9" s="433"/>
      <c r="D9" s="456" t="s">
        <v>64</v>
      </c>
      <c r="E9" s="457">
        <f>'Event Details'!E$9</f>
        <v>1</v>
      </c>
      <c r="F9" s="457"/>
      <c r="G9" s="56"/>
      <c r="H9" s="474" t="s">
        <v>466</v>
      </c>
      <c r="I9" s="459"/>
      <c r="J9" s="433"/>
      <c r="K9" s="460" t="s">
        <v>67</v>
      </c>
      <c r="L9" s="461" t="str">
        <f>'Event Details'!G$17</f>
        <v>Rugby &amp; N'hampton</v>
      </c>
      <c r="M9" s="459"/>
      <c r="N9" s="459"/>
      <c r="O9" s="459"/>
      <c r="P9" s="462"/>
      <c r="Q9" s="460" t="s">
        <v>66</v>
      </c>
      <c r="R9" s="463" t="str">
        <f>'Event Details'!C$17</f>
        <v>17th May 2026</v>
      </c>
      <c r="S9" s="459"/>
      <c r="T9" s="459"/>
      <c r="U9" s="459"/>
      <c r="V9" s="459"/>
      <c r="W9" s="1412"/>
      <c r="X9" s="1412"/>
      <c r="Y9" s="1412"/>
      <c r="Z9" s="1412"/>
      <c r="AA9" s="1412"/>
      <c r="AB9" s="1412"/>
      <c r="AC9" s="1412"/>
      <c r="AD9" s="1412"/>
    </row>
    <row r="10" spans="1:30" ht="15" thickBot="1" x14ac:dyDescent="0.35">
      <c r="B10" s="417"/>
      <c r="C10" s="475" t="s">
        <v>168</v>
      </c>
      <c r="D10" s="33" t="s">
        <v>165</v>
      </c>
      <c r="E10" s="476"/>
      <c r="F10" s="1342" t="s">
        <v>177</v>
      </c>
      <c r="G10" s="1413" t="s">
        <v>286</v>
      </c>
      <c r="H10" s="1413"/>
      <c r="I10" s="1414" t="s">
        <v>287</v>
      </c>
      <c r="J10" s="1414"/>
      <c r="K10" s="1414" t="s">
        <v>288</v>
      </c>
      <c r="L10" s="1414"/>
      <c r="M10" s="1414" t="s">
        <v>289</v>
      </c>
      <c r="N10" s="1414"/>
      <c r="O10" s="1414" t="s">
        <v>290</v>
      </c>
      <c r="P10" s="1414"/>
      <c r="Q10" s="1414" t="s">
        <v>291</v>
      </c>
      <c r="R10" s="1414"/>
      <c r="S10" s="1414" t="s">
        <v>292</v>
      </c>
      <c r="T10" s="1414"/>
      <c r="U10" s="1414" t="s">
        <v>293</v>
      </c>
      <c r="V10" s="1414"/>
      <c r="W10" s="477" t="str">
        <f>'Event Details'!D22</f>
        <v>S</v>
      </c>
      <c r="X10" s="477" t="str">
        <f>'Event Details'!D23</f>
        <v>U</v>
      </c>
      <c r="Y10" s="477" t="str">
        <f>'Event Details'!D24</f>
        <v>G</v>
      </c>
      <c r="Z10" s="477" t="str">
        <f>'Event Details'!D25</f>
        <v>R</v>
      </c>
      <c r="AA10" s="477" t="str">
        <f>'Event Details'!D26</f>
        <v>M</v>
      </c>
      <c r="AB10" s="477" t="str">
        <f>'Event Details'!D27</f>
        <v>D</v>
      </c>
      <c r="AC10" s="477" t="str">
        <f>'Event Details'!D28</f>
        <v>F</v>
      </c>
      <c r="AD10" s="477" t="str">
        <f>'Event Details'!D29</f>
        <v>Y</v>
      </c>
    </row>
    <row r="11" spans="1:30" x14ac:dyDescent="0.3">
      <c r="A11" s="118" t="str">
        <f>B12&amp;"A"</f>
        <v>5A</v>
      </c>
      <c r="B11" s="417"/>
      <c r="C11" s="478"/>
      <c r="D11" s="479" t="str">
        <f>VLOOKUP(B12,EventsOrder,4,FALSE)</f>
        <v>U12 Male</v>
      </c>
      <c r="E11" s="56" t="s">
        <v>149</v>
      </c>
      <c r="F11" s="480"/>
      <c r="G11" s="481" t="str">
        <f>VLOOKUP(($B12*10)+1,Results,$F$3,FALSE)</f>
        <v>Sami Mir</v>
      </c>
      <c r="H11" s="482"/>
      <c r="I11" s="483" t="str">
        <f>VLOOKUP(($B12*10)+2,Results,$F$3,FALSE)</f>
        <v>Thomas Jenkinson</v>
      </c>
      <c r="J11" s="482"/>
      <c r="K11" s="483" t="str">
        <f>VLOOKUP(($B12*10)+3,Results,$F$3,FALSE)</f>
        <v>Jasper Allen</v>
      </c>
      <c r="L11" s="482"/>
      <c r="M11" s="483" t="str">
        <f>VLOOKUP(($B12*10)+4,Results,$F$3,FALSE)</f>
        <v>Troy Hall</v>
      </c>
      <c r="N11" s="482"/>
      <c r="O11" s="483" t="str">
        <f>VLOOKUP(($B12*10)+5,Results,$F$3,FALSE)</f>
        <v>Ted Bates</v>
      </c>
      <c r="P11" s="482"/>
      <c r="Q11" s="483" t="str">
        <f>VLOOKUP(($B12*10)+6,Results,$F$3,FALSE)</f>
        <v>Feranmi Remi-Omosowon</v>
      </c>
      <c r="R11" s="484"/>
      <c r="S11" s="485" t="str">
        <f>VLOOKUP(($B12*10)+7,Results,$F$3,FALSE)</f>
        <v xml:space="preserve">Leo Parekh </v>
      </c>
      <c r="T11" s="482"/>
      <c r="U11" s="483" t="str">
        <f>VLOOKUP(($B12*10)+8,Results,$F$3,FALSE)</f>
        <v>Evan Darby</v>
      </c>
      <c r="V11" s="486"/>
      <c r="W11" s="487"/>
      <c r="X11" s="488"/>
      <c r="Y11" s="488"/>
      <c r="Z11" s="488"/>
      <c r="AA11" s="488"/>
      <c r="AB11" s="488"/>
      <c r="AC11" s="488"/>
      <c r="AD11" s="489"/>
    </row>
    <row r="12" spans="1:30" ht="15" thickBot="1" x14ac:dyDescent="0.35">
      <c r="A12" s="118" t="str">
        <f>B12&amp;"A"</f>
        <v>5A</v>
      </c>
      <c r="B12" s="24">
        <v>5</v>
      </c>
      <c r="C12" s="221">
        <f>VLOOKUP(B12,EventsOrder,2,FALSE)</f>
        <v>11.45</v>
      </c>
      <c r="D12" s="490"/>
      <c r="E12" s="491"/>
      <c r="F12" s="492"/>
      <c r="G12" s="493" t="str">
        <f>VLOOKUP(($B12*10)+1,Results,$G$3,FALSE)</f>
        <v>Royal</v>
      </c>
      <c r="H12" s="494">
        <f>VLOOKUP(($B12*10)+1,Results,$H$3,FALSE)</f>
        <v>40.5</v>
      </c>
      <c r="I12" s="495" t="str">
        <f>VLOOKUP(($B12*10)+2,Results,$G$3,FALSE)</f>
        <v>Worc</v>
      </c>
      <c r="J12" s="494">
        <f>VLOOKUP(($B12*10)+2,Results,$H$3,FALSE)</f>
        <v>37.54</v>
      </c>
      <c r="K12" s="495" t="str">
        <f>VLOOKUP(($B12*10)+3,Results,$G$3,FALSE)</f>
        <v>Strat</v>
      </c>
      <c r="L12" s="494">
        <f>VLOOKUP(($B12*10)+3,Results,$H$3,FALSE)</f>
        <v>36.51</v>
      </c>
      <c r="M12" s="495" t="str">
        <f>VLOOKUP(($B12*10)+4,Results,$G$3,FALSE)</f>
        <v>Sol</v>
      </c>
      <c r="N12" s="494">
        <f>VLOOKUP(($B12*10)+4,Results,$H$3,FALSE)</f>
        <v>35.31</v>
      </c>
      <c r="O12" s="495" t="str">
        <f>VLOOKUP(($B12*10)+5,Results,$G$3,FALSE)</f>
        <v>K&amp;S</v>
      </c>
      <c r="P12" s="494">
        <f>VLOOKUP(($B12*10)+5,Results,$H$3,FALSE)</f>
        <v>33.47</v>
      </c>
      <c r="Q12" s="495" t="str">
        <f>VLOOKUP(($B12*10)+6,Results,$G$3,FALSE)</f>
        <v>Rugby</v>
      </c>
      <c r="R12" s="495">
        <f>VLOOKUP(($B12*10)+6,Results,$H$3,FALSE)</f>
        <v>31.74</v>
      </c>
      <c r="S12" s="496" t="str">
        <f>VLOOKUP(($B12*10)+7,Results,$G$3,FALSE)</f>
        <v>BRAT</v>
      </c>
      <c r="T12" s="494">
        <f>VLOOKUP(($B12*10)+7,Results,$H$3,FALSE)</f>
        <v>31.27</v>
      </c>
      <c r="U12" s="495" t="str">
        <f>VLOOKUP(($B12*10)+8,Results,$G$3,FALSE)</f>
        <v>Tam</v>
      </c>
      <c r="V12" s="497">
        <f>VLOOKUP(($B12*10)+8,Results,$H$3,FALSE)</f>
        <v>25.39</v>
      </c>
      <c r="W12" s="498">
        <f>VLOOKUP(($B12*10)+1,Results,$I$3,FALSE)</f>
        <v>2</v>
      </c>
      <c r="X12" s="499">
        <f>VLOOKUP(($B12*10)+2,Results,$I$3,FALSE)</f>
        <v>4</v>
      </c>
      <c r="Y12" s="499">
        <f>VLOOKUP(($B12*10)+3,Results,$I$3,FALSE)</f>
        <v>0</v>
      </c>
      <c r="Z12" s="499">
        <f>VLOOKUP(($B12*10)+4,Results,$I$3,FALSE)</f>
        <v>3</v>
      </c>
      <c r="AA12" s="499">
        <f>VLOOKUP(($B12*10)+5,Results,$I$3,FALSE)</f>
        <v>5</v>
      </c>
      <c r="AB12" s="499">
        <f>VLOOKUP(($B12*10)+6,Results,$I$3,FALSE)</f>
        <v>6</v>
      </c>
      <c r="AC12" s="499">
        <f>VLOOKUP(($B12*10)+7,Results,$I$3,FALSE)</f>
        <v>1</v>
      </c>
      <c r="AD12" s="500">
        <f>VLOOKUP(($B12*10)+8,Results,$I$3,FALSE)</f>
        <v>7</v>
      </c>
    </row>
    <row r="13" spans="1:30" x14ac:dyDescent="0.3">
      <c r="A13" s="118" t="str">
        <f>B12&amp;"B"</f>
        <v>5B</v>
      </c>
      <c r="B13" s="417"/>
      <c r="D13" s="479" t="str">
        <f>VLOOKUP(B12,EventsOrder,3,FALSE)</f>
        <v>Howler</v>
      </c>
      <c r="E13" s="56" t="s">
        <v>94</v>
      </c>
      <c r="F13" s="68" t="str">
        <f>VLOOKUP(B12,EventsOrder,5,FALSE)</f>
        <v/>
      </c>
      <c r="G13" s="481" t="str">
        <f>VLOOKUP(($B12*10)+1,Results,$F$4,FALSE)</f>
        <v>Edison Hughes</v>
      </c>
      <c r="H13" s="482"/>
      <c r="I13" s="483" t="str">
        <f>VLOOKUP(($B12*10)+2,Results,$F$4,FALSE)</f>
        <v>Jacob Thomas</v>
      </c>
      <c r="J13" s="482"/>
      <c r="K13" s="483" t="str">
        <f>VLOOKUP(($B12*10)+3,Results,$F$4,FALSE)</f>
        <v>Joshua Jardine</v>
      </c>
      <c r="L13" s="482"/>
      <c r="M13" s="483" t="str">
        <f>VLOOKUP(($B12*10)+4,Results,$F$4,FALSE)</f>
        <v>Khari Caines</v>
      </c>
      <c r="N13" s="482"/>
      <c r="O13" s="483" t="str">
        <f>VLOOKUP(($B12*10)+5,Results,$F$4,FALSE)</f>
        <v>Hugo Ford</v>
      </c>
      <c r="P13" s="482"/>
      <c r="Q13" s="483" t="str">
        <f>VLOOKUP(($B12*10)+6,Results,$F$4,FALSE)</f>
        <v xml:space="preserve">Logan Pearce </v>
      </c>
      <c r="R13" s="484"/>
      <c r="S13" s="485" t="str">
        <f>VLOOKUP(($B12*10)+7,Results,$F$4,FALSE)</f>
        <v>Felix Whakahau</v>
      </c>
      <c r="T13" s="482"/>
      <c r="U13" s="483" t="str">
        <f>VLOOKUP(($B12*10)+8,Results,$F$4,FALSE)</f>
        <v>Lucas Beggs</v>
      </c>
      <c r="V13" s="486"/>
      <c r="W13" s="487"/>
      <c r="X13" s="488"/>
      <c r="Y13" s="488"/>
      <c r="Z13" s="488"/>
      <c r="AA13" s="488"/>
      <c r="AB13" s="488"/>
      <c r="AC13" s="488"/>
      <c r="AD13" s="489"/>
    </row>
    <row r="14" spans="1:30" ht="15" thickBot="1" x14ac:dyDescent="0.35">
      <c r="A14" s="118" t="str">
        <f>B12&amp;"B"</f>
        <v>5B</v>
      </c>
      <c r="B14" s="417"/>
      <c r="C14" s="501"/>
      <c r="D14" s="502"/>
      <c r="E14" s="116"/>
      <c r="F14" s="503"/>
      <c r="G14" s="493" t="str">
        <f>VLOOKUP(($B12*10)+1,Results,$G$4,FALSE)</f>
        <v>Sol</v>
      </c>
      <c r="H14" s="494">
        <f>VLOOKUP(($B12*10)+1,Results,$H$4,FALSE)</f>
        <v>32.53</v>
      </c>
      <c r="I14" s="495" t="str">
        <f>VLOOKUP(($B12*10)+2,Results,$G$4,FALSE)</f>
        <v>Strat</v>
      </c>
      <c r="J14" s="494">
        <f>VLOOKUP(($B12*10)+2,Results,$H$4,FALSE)</f>
        <v>29.38</v>
      </c>
      <c r="K14" s="495" t="str">
        <f>VLOOKUP(($B12*10)+3,Results,$G$4,FALSE)</f>
        <v>Rugby</v>
      </c>
      <c r="L14" s="494">
        <f>VLOOKUP(($B12*10)+3,Results,$H$4,FALSE)</f>
        <v>28.79</v>
      </c>
      <c r="M14" s="495" t="str">
        <f>VLOOKUP(($B12*10)+4,Results,$G$4,FALSE)</f>
        <v>Royal</v>
      </c>
      <c r="N14" s="494">
        <f>VLOOKUP(($B12*10)+4,Results,$H$4,FALSE)</f>
        <v>24</v>
      </c>
      <c r="O14" s="495" t="str">
        <f>VLOOKUP(($B12*10)+5,Results,$G$4,FALSE)</f>
        <v>K&amp;S</v>
      </c>
      <c r="P14" s="494">
        <f>VLOOKUP(($B12*10)+5,Results,$H$4,FALSE)</f>
        <v>23.2</v>
      </c>
      <c r="Q14" s="495" t="str">
        <f>VLOOKUP(($B12*10)+6,Results,$G$4,FALSE)</f>
        <v>BRAT</v>
      </c>
      <c r="R14" s="495">
        <f>VLOOKUP(($B12*10)+6,Results,$H$4,FALSE)</f>
        <v>22.66</v>
      </c>
      <c r="S14" s="496" t="str">
        <f>VLOOKUP(($B12*10)+7,Results,$G$4,FALSE)</f>
        <v>Worc</v>
      </c>
      <c r="T14" s="494">
        <f>VLOOKUP(($B12*10)+7,Results,$H$4,FALSE)</f>
        <v>16.920000000000002</v>
      </c>
      <c r="U14" s="495" t="str">
        <f>VLOOKUP(($B12*10)+8,Results,$G$4,FALSE)</f>
        <v>Tam</v>
      </c>
      <c r="V14" s="497">
        <f>VLOOKUP(($B12*10)+8,Results,$H$4,FALSE)</f>
        <v>15.68</v>
      </c>
      <c r="W14" s="498">
        <f>VLOOKUP(($B12*10)+1,Results,$I$4,FALSE)</f>
        <v>3</v>
      </c>
      <c r="X14" s="499">
        <f>VLOOKUP(($B12*10)+2,Results,$I$4,FALSE)</f>
        <v>4</v>
      </c>
      <c r="Y14" s="499">
        <f>VLOOKUP(($B12*10)+3,Results,$I$4,FALSE)</f>
        <v>5</v>
      </c>
      <c r="Z14" s="499">
        <f>VLOOKUP(($B12*10)+4,Results,$I$4,FALSE)</f>
        <v>6</v>
      </c>
      <c r="AA14" s="499">
        <f>VLOOKUP(($B12*10)+5,Results,$I$4,FALSE)</f>
        <v>8</v>
      </c>
      <c r="AB14" s="499">
        <f>VLOOKUP(($B12*10)+6,Results,$I$4,FALSE)</f>
        <v>7</v>
      </c>
      <c r="AC14" s="499">
        <f>VLOOKUP(($B12*10)+7,Results,$I$4,FALSE)</f>
        <v>1</v>
      </c>
      <c r="AD14" s="500">
        <f>VLOOKUP(($B12*10)+8,Results,$I$4,FALSE)</f>
        <v>2</v>
      </c>
    </row>
    <row r="15" spans="1:30" x14ac:dyDescent="0.3">
      <c r="A15" s="118" t="str">
        <f>B16&amp;"A"</f>
        <v>16A</v>
      </c>
      <c r="B15" s="417"/>
      <c r="C15" s="478"/>
      <c r="D15" s="479" t="str">
        <f>VLOOKUP(B16,EventsOrder,4,FALSE)</f>
        <v>U12 Male</v>
      </c>
      <c r="E15" s="56" t="s">
        <v>149</v>
      </c>
      <c r="F15" s="480"/>
      <c r="G15" s="481" t="str">
        <f>VLOOKUP(($B16*10)+1,Results,$F$3,FALSE)</f>
        <v>Feranmi Remi-Omosowon</v>
      </c>
      <c r="H15" s="482"/>
      <c r="I15" s="483" t="str">
        <f>VLOOKUP(($B16*10)+2,Results,$F$3,FALSE)</f>
        <v>Thomas Jenkinson</v>
      </c>
      <c r="J15" s="482"/>
      <c r="K15" s="483" t="str">
        <f>VLOOKUP(($B16*10)+3,Results,$F$3,FALSE)</f>
        <v xml:space="preserve">Leo Parekh </v>
      </c>
      <c r="L15" s="482"/>
      <c r="M15" s="483" t="str">
        <f>VLOOKUP(($B16*10)+4,Results,$F$3,FALSE)</f>
        <v>Simon Zawada</v>
      </c>
      <c r="N15" s="482"/>
      <c r="O15" s="483" t="str">
        <f>VLOOKUP(($B16*10)+5,Results,$F$3,FALSE)</f>
        <v>Hugo Ford</v>
      </c>
      <c r="P15" s="482"/>
      <c r="Q15" s="483" t="str">
        <f>VLOOKUP(($B16*10)+6,Results,$F$3,FALSE)</f>
        <v>Edison Hughes</v>
      </c>
      <c r="R15" s="484"/>
      <c r="S15" s="485" t="str">
        <f>VLOOKUP(($B16*10)+7,Results,$F$3,FALSE)</f>
        <v>Woody Forrester</v>
      </c>
      <c r="T15" s="482"/>
      <c r="U15" s="483" t="str">
        <f>VLOOKUP(($B16*10)+8,Results,$F$3,FALSE)</f>
        <v>Evan Darby</v>
      </c>
      <c r="V15" s="486"/>
      <c r="W15" s="487"/>
      <c r="X15" s="488"/>
      <c r="Y15" s="488"/>
      <c r="Z15" s="488"/>
      <c r="AA15" s="488"/>
      <c r="AB15" s="488"/>
      <c r="AC15" s="488"/>
      <c r="AD15" s="489"/>
    </row>
    <row r="16" spans="1:30" ht="15" thickBot="1" x14ac:dyDescent="0.35">
      <c r="A16" s="118" t="str">
        <f>B16&amp;"A"</f>
        <v>16A</v>
      </c>
      <c r="B16" s="24">
        <v>16</v>
      </c>
      <c r="C16" s="221">
        <f>VLOOKUP(B16,EventsOrder,2,FALSE)</f>
        <v>12.3</v>
      </c>
      <c r="D16" s="490"/>
      <c r="E16" s="491"/>
      <c r="F16" s="492"/>
      <c r="G16" s="493" t="str">
        <f>VLOOKUP(($B16*10)+1,Results,$G$3,FALSE)</f>
        <v>Rugby</v>
      </c>
      <c r="H16" s="573">
        <f>VLOOKUP(($B16*10)+1,Results,$H$3,FALSE)</f>
        <v>4.07</v>
      </c>
      <c r="I16" s="495" t="str">
        <f>VLOOKUP(($B16*10)+2,Results,$G$3,FALSE)</f>
        <v>Worc</v>
      </c>
      <c r="J16" s="573">
        <f>VLOOKUP(($B16*10)+2,Results,$H$3,FALSE)</f>
        <v>3.95</v>
      </c>
      <c r="K16" s="495" t="str">
        <f>VLOOKUP(($B16*10)+3,Results,$G$3,FALSE)</f>
        <v>BRAT</v>
      </c>
      <c r="L16" s="573">
        <f>VLOOKUP(($B16*10)+3,Results,$H$3,FALSE)</f>
        <v>3.6</v>
      </c>
      <c r="M16" s="495" t="str">
        <f>VLOOKUP(($B16*10)+4,Results,$G$3,FALSE)</f>
        <v>Strat</v>
      </c>
      <c r="N16" s="573">
        <f>VLOOKUP(($B16*10)+4,Results,$H$3,FALSE)</f>
        <v>3.58</v>
      </c>
      <c r="O16" s="495" t="str">
        <f>VLOOKUP(($B16*10)+5,Results,$G$3,FALSE)</f>
        <v>K&amp;S</v>
      </c>
      <c r="P16" s="573">
        <f>VLOOKUP(($B16*10)+5,Results,$H$3,FALSE)</f>
        <v>3.57</v>
      </c>
      <c r="Q16" s="495" t="str">
        <f>VLOOKUP(($B16*10)+6,Results,$G$3,FALSE)</f>
        <v>Sol</v>
      </c>
      <c r="R16" s="574">
        <f>VLOOKUP(($B16*10)+6,Results,$H$3,FALSE)</f>
        <v>3.5</v>
      </c>
      <c r="S16" s="496" t="str">
        <f>VLOOKUP(($B16*10)+7,Results,$G$3,FALSE)</f>
        <v>Royal</v>
      </c>
      <c r="T16" s="573">
        <f>VLOOKUP(($B16*10)+7,Results,$H$3,FALSE)</f>
        <v>3.45</v>
      </c>
      <c r="U16" s="495" t="str">
        <f>VLOOKUP(($B16*10)+8,Results,$G$3,FALSE)</f>
        <v>Tam</v>
      </c>
      <c r="V16" s="528">
        <f>VLOOKUP(($B16*10)+8,Results,$H$3,FALSE)</f>
        <v>3.23</v>
      </c>
      <c r="W16" s="498">
        <f>VLOOKUP(($B16*10)+1,Results,$I$3,FALSE)</f>
        <v>6</v>
      </c>
      <c r="X16" s="499">
        <f>VLOOKUP(($B16*10)+2,Results,$I$3,FALSE)</f>
        <v>4</v>
      </c>
      <c r="Y16" s="499">
        <f>VLOOKUP(($B16*10)+3,Results,$I$3,FALSE)</f>
        <v>2</v>
      </c>
      <c r="Z16" s="499">
        <f>VLOOKUP(($B16*10)+4,Results,$I$3,FALSE)</f>
        <v>8</v>
      </c>
      <c r="AA16" s="499">
        <f>VLOOKUP(($B16*10)+5,Results,$I$3,FALSE)</f>
        <v>3</v>
      </c>
      <c r="AB16" s="499">
        <f>VLOOKUP(($B16*10)+6,Results,$I$3,FALSE)</f>
        <v>5</v>
      </c>
      <c r="AC16" s="499">
        <f>VLOOKUP(($B16*10)+7,Results,$I$3,FALSE)</f>
        <v>1</v>
      </c>
      <c r="AD16" s="500">
        <f>VLOOKUP(($B16*10)+8,Results,$I$3,FALSE)</f>
        <v>7</v>
      </c>
    </row>
    <row r="17" spans="1:30" x14ac:dyDescent="0.3">
      <c r="A17" s="118" t="str">
        <f>B16&amp;"B"</f>
        <v>16B</v>
      </c>
      <c r="B17" s="417"/>
      <c r="D17" s="479" t="str">
        <f>VLOOKUP(B16,EventsOrder,3,FALSE)</f>
        <v>Long Jump</v>
      </c>
      <c r="E17" s="56" t="s">
        <v>94</v>
      </c>
      <c r="F17" s="68" t="str">
        <f>VLOOKUP(B16,EventsOrder,5,FALSE)</f>
        <v>Pit 1</v>
      </c>
      <c r="G17" s="481" t="str">
        <f>VLOOKUP(($B16*10)+1,Results,$F$4,FALSE)</f>
        <v>Sebastian Armstrong</v>
      </c>
      <c r="H17" s="482"/>
      <c r="I17" s="483" t="str">
        <f>VLOOKUP(($B16*10)+2,Results,$F$4,FALSE)</f>
        <v>Zachary Asanga</v>
      </c>
      <c r="J17" s="482"/>
      <c r="K17" s="483" t="str">
        <f>VLOOKUP(($B16*10)+3,Results,$F$4,FALSE)</f>
        <v>Kai Gudmunsen</v>
      </c>
      <c r="L17" s="482"/>
      <c r="M17" s="483" t="str">
        <f>VLOOKUP(($B16*10)+4,Results,$F$4,FALSE)</f>
        <v>Rafe White</v>
      </c>
      <c r="N17" s="482"/>
      <c r="O17" s="483" t="str">
        <f>VLOOKUP(($B16*10)+5,Results,$F$4,FALSE)</f>
        <v>Felix Whakahau</v>
      </c>
      <c r="P17" s="482"/>
      <c r="Q17" s="483" t="str">
        <f>VLOOKUP(($B16*10)+6,Results,$F$4,FALSE)</f>
        <v>Daniel Wood</v>
      </c>
      <c r="R17" s="484"/>
      <c r="S17" s="485" t="str">
        <f>VLOOKUP(($B16*10)+7,Results,$F$4,FALSE)</f>
        <v>Ted Bates</v>
      </c>
      <c r="T17" s="482"/>
      <c r="U17" s="483" t="str">
        <f>VLOOKUP(($B16*10)+8,Results,$F$4,FALSE)</f>
        <v>Oliver Eaton</v>
      </c>
      <c r="V17" s="486"/>
      <c r="W17" s="487"/>
      <c r="X17" s="488"/>
      <c r="Y17" s="488"/>
      <c r="Z17" s="488"/>
      <c r="AA17" s="488"/>
      <c r="AB17" s="488"/>
      <c r="AC17" s="488"/>
      <c r="AD17" s="489"/>
    </row>
    <row r="18" spans="1:30" ht="15" thickBot="1" x14ac:dyDescent="0.35">
      <c r="A18" s="118" t="str">
        <f>B16&amp;"B"</f>
        <v>16B</v>
      </c>
      <c r="B18" s="417"/>
      <c r="C18" s="501"/>
      <c r="D18" s="502"/>
      <c r="E18" s="116"/>
      <c r="F18" s="503"/>
      <c r="G18" s="493" t="str">
        <f>VLOOKUP(($B16*10)+1,Results,$G$4,FALSE)</f>
        <v>Rugby</v>
      </c>
      <c r="H18" s="573">
        <f>VLOOKUP(($B16*10)+1,Results,$H$4,FALSE)</f>
        <v>3.58</v>
      </c>
      <c r="I18" s="495" t="str">
        <f>VLOOKUP(($B16*10)+2,Results,$G$4,FALSE)</f>
        <v>BRAT</v>
      </c>
      <c r="J18" s="573">
        <f>VLOOKUP(($B16*10)+2,Results,$H$4,FALSE)</f>
        <v>3.57</v>
      </c>
      <c r="K18" s="495" t="str">
        <f>VLOOKUP(($B16*10)+3,Results,$G$4,FALSE)</f>
        <v>Sol</v>
      </c>
      <c r="L18" s="573">
        <f>VLOOKUP(($B16*10)+3,Results,$H$4,FALSE)</f>
        <v>3.49</v>
      </c>
      <c r="M18" s="495" t="str">
        <f>VLOOKUP(($B16*10)+4,Results,$G$4,FALSE)</f>
        <v>Strat</v>
      </c>
      <c r="N18" s="573">
        <f>VLOOKUP(($B16*10)+4,Results,$H$4,FALSE)</f>
        <v>3.46</v>
      </c>
      <c r="O18" s="495" t="str">
        <f>VLOOKUP(($B16*10)+5,Results,$G$4,FALSE)</f>
        <v>Worc</v>
      </c>
      <c r="P18" s="573">
        <f>VLOOKUP(($B16*10)+5,Results,$H$4,FALSE)</f>
        <v>3.27</v>
      </c>
      <c r="Q18" s="495" t="str">
        <f>VLOOKUP(($B16*10)+6,Results,$G$4,FALSE)</f>
        <v>Royal</v>
      </c>
      <c r="R18" s="574">
        <f>VLOOKUP(($B16*10)+6,Results,$H$4,FALSE)</f>
        <v>3.19</v>
      </c>
      <c r="S18" s="496" t="str">
        <f>VLOOKUP(($B16*10)+7,Results,$G$4,FALSE)</f>
        <v>K&amp;S</v>
      </c>
      <c r="T18" s="573">
        <f>VLOOKUP(($B16*10)+7,Results,$H$4,FALSE)</f>
        <v>2.91</v>
      </c>
      <c r="U18" s="495" t="str">
        <f>VLOOKUP(($B16*10)+8,Results,$G$4,FALSE)</f>
        <v>Tam</v>
      </c>
      <c r="V18" s="528">
        <f>VLOOKUP(($B16*10)+8,Results,$H$4,FALSE)</f>
        <v>2.34</v>
      </c>
      <c r="W18" s="498">
        <f>VLOOKUP(($B16*10)+1,Results,$I$4,FALSE)</f>
        <v>7</v>
      </c>
      <c r="X18" s="499">
        <f>VLOOKUP(($B16*10)+2,Results,$I$4,FALSE)</f>
        <v>2</v>
      </c>
      <c r="Y18" s="499">
        <f>VLOOKUP(($B16*10)+3,Results,$I$4,FALSE)</f>
        <v>3</v>
      </c>
      <c r="Z18" s="499">
        <f>VLOOKUP(($B16*10)+4,Results,$I$4,FALSE)</f>
        <v>8</v>
      </c>
      <c r="AA18" s="499">
        <f>VLOOKUP(($B16*10)+5,Results,$I$4,FALSE)</f>
        <v>6</v>
      </c>
      <c r="AB18" s="499">
        <f>VLOOKUP(($B16*10)+6,Results,$I$4,FALSE)</f>
        <v>5</v>
      </c>
      <c r="AC18" s="499">
        <f>VLOOKUP(($B16*10)+7,Results,$I$4,FALSE)</f>
        <v>1</v>
      </c>
      <c r="AD18" s="500">
        <f>VLOOKUP(($B16*10)+8,Results,$I$4,FALSE)</f>
        <v>4</v>
      </c>
    </row>
    <row r="19" spans="1:30" x14ac:dyDescent="0.3">
      <c r="A19" s="118" t="str">
        <f>B20&amp;"A"</f>
        <v>34A</v>
      </c>
      <c r="B19" s="417"/>
      <c r="C19" s="478"/>
      <c r="D19" s="479" t="str">
        <f>VLOOKUP(B20,EventsOrder,4,FALSE)</f>
        <v>U12 Male</v>
      </c>
      <c r="E19" s="56" t="s">
        <v>149</v>
      </c>
      <c r="F19" s="480"/>
      <c r="G19" s="481" t="str">
        <f>VLOOKUP(($B20*10)+1,Results,$F$3,FALSE)</f>
        <v>Zachary Asanga</v>
      </c>
      <c r="H19" s="482"/>
      <c r="I19" s="483" t="str">
        <f>VLOOKUP(($B20*10)+2,Results,$F$3,FALSE)</f>
        <v>Ted Bates</v>
      </c>
      <c r="J19" s="482"/>
      <c r="K19" s="483" t="str">
        <f>VLOOKUP(($B20*10)+3,Results,$F$3,FALSE)</f>
        <v>Henry Yates</v>
      </c>
      <c r="L19" s="482"/>
      <c r="M19" s="483" t="str">
        <f>VLOOKUP(($B20*10)+4,Results,$F$3,FALSE)</f>
        <v>Woody Forrester</v>
      </c>
      <c r="N19" s="482"/>
      <c r="O19" s="483" t="str">
        <f>VLOOKUP(($B20*10)+5,Results,$F$3,FALSE)</f>
        <v>Joshua Jardine</v>
      </c>
      <c r="P19" s="482"/>
      <c r="Q19" s="483" t="str">
        <f>VLOOKUP(($B20*10)+6,Results,$F$3,FALSE)</f>
        <v>Kai Gudmunsen</v>
      </c>
      <c r="R19" s="484"/>
      <c r="S19" s="485" t="str">
        <f>VLOOKUP(($B20*10)+7,Results,$F$3,FALSE)</f>
        <v>Elliot Oldham</v>
      </c>
      <c r="T19" s="482"/>
      <c r="U19" s="483" t="str">
        <f>VLOOKUP(($B20*10)+8,Results,$F$3,FALSE)</f>
        <v>Lucas Beggs</v>
      </c>
      <c r="V19" s="486"/>
      <c r="W19" s="487"/>
      <c r="X19" s="488"/>
      <c r="Y19" s="488"/>
      <c r="Z19" s="488"/>
      <c r="AA19" s="488"/>
      <c r="AB19" s="488"/>
      <c r="AC19" s="488"/>
      <c r="AD19" s="489"/>
    </row>
    <row r="20" spans="1:30" ht="15" thickBot="1" x14ac:dyDescent="0.35">
      <c r="A20" s="118" t="str">
        <f>B20&amp;"A"</f>
        <v>34A</v>
      </c>
      <c r="B20" s="24">
        <v>34</v>
      </c>
      <c r="C20" s="221">
        <f>VLOOKUP(B20,EventsOrder,2,FALSE)</f>
        <v>2</v>
      </c>
      <c r="D20" s="490"/>
      <c r="E20" s="491"/>
      <c r="F20" s="492"/>
      <c r="G20" s="493" t="str">
        <f>VLOOKUP(($B20*10)+1,Results,$G$3,FALSE)</f>
        <v>BRAT</v>
      </c>
      <c r="H20" s="494" t="str">
        <f>VLOOKUP(($B20*10)+1,Results,$H$3,FALSE)</f>
        <v>1.47.9</v>
      </c>
      <c r="I20" s="495" t="str">
        <f>VLOOKUP(($B20*10)+2,Results,$G$3,FALSE)</f>
        <v>K&amp;S</v>
      </c>
      <c r="J20" s="494" t="str">
        <f>VLOOKUP(($B20*10)+2,Results,$H$3,FALSE)</f>
        <v>1.53.0</v>
      </c>
      <c r="K20" s="495" t="str">
        <f>VLOOKUP(($B20*10)+3,Results,$G$3,FALSE)</f>
        <v>Strat</v>
      </c>
      <c r="L20" s="494" t="str">
        <f>VLOOKUP(($B20*10)+3,Results,$H$3,FALSE)</f>
        <v>1.55.7</v>
      </c>
      <c r="M20" s="495" t="str">
        <f>VLOOKUP(($B20*10)+4,Results,$G$3,FALSE)</f>
        <v>Royal</v>
      </c>
      <c r="N20" s="494" t="str">
        <f>VLOOKUP(($B20*10)+4,Results,$H$3,FALSE)</f>
        <v>1.56.5</v>
      </c>
      <c r="O20" s="495" t="str">
        <f>VLOOKUP(($B20*10)+5,Results,$G$3,FALSE)</f>
        <v>Rugby</v>
      </c>
      <c r="P20" s="494" t="str">
        <f>VLOOKUP(($B20*10)+5,Results,$H$3,FALSE)</f>
        <v>1.57.2</v>
      </c>
      <c r="Q20" s="495" t="str">
        <f>VLOOKUP(($B20*10)+6,Results,$G$3,FALSE)</f>
        <v>Sol</v>
      </c>
      <c r="R20" s="495" t="str">
        <f>VLOOKUP(($B20*10)+6,Results,$H$3,FALSE)</f>
        <v>2.00.5</v>
      </c>
      <c r="S20" s="496" t="str">
        <f>VLOOKUP(($B20*10)+7,Results,$G$3,FALSE)</f>
        <v>Worc</v>
      </c>
      <c r="T20" s="494" t="str">
        <f>VLOOKUP(($B20*10)+7,Results,$H$3,FALSE)</f>
        <v>2.02.5</v>
      </c>
      <c r="U20" s="495" t="str">
        <f>VLOOKUP(($B20*10)+8,Results,$G$3,FALSE)</f>
        <v>Tam</v>
      </c>
      <c r="V20" s="497" t="str">
        <f>VLOOKUP(($B20*10)+8,Results,$H$3,FALSE)</f>
        <v>2.10.1</v>
      </c>
      <c r="W20" s="498">
        <f>VLOOKUP(($B20*10)+1,Results,$I$3,FALSE)</f>
        <v>8</v>
      </c>
      <c r="X20" s="499">
        <f>VLOOKUP(($B20*10)+2,Results,$I$3,FALSE)</f>
        <v>7</v>
      </c>
      <c r="Y20" s="499">
        <f>VLOOKUP(($B20*10)+3,Results,$I$3,FALSE)</f>
        <v>5</v>
      </c>
      <c r="Z20" s="499">
        <f>VLOOKUP(($B20*10)+4,Results,$I$3,FALSE)</f>
        <v>4</v>
      </c>
      <c r="AA20" s="499">
        <f>VLOOKUP(($B20*10)+5,Results,$I$3,FALSE)</f>
        <v>3</v>
      </c>
      <c r="AB20" s="499">
        <f>VLOOKUP(($B20*10)+6,Results,$I$3,FALSE)</f>
        <v>6</v>
      </c>
      <c r="AC20" s="499">
        <f>VLOOKUP(($B20*10)+7,Results,$I$3,FALSE)</f>
        <v>1</v>
      </c>
      <c r="AD20" s="500">
        <f>VLOOKUP(($B20*10)+8,Results,$I$3,FALSE)</f>
        <v>2</v>
      </c>
    </row>
    <row r="21" spans="1:30" x14ac:dyDescent="0.3">
      <c r="A21" s="118" t="str">
        <f>B20&amp;"B"</f>
        <v>34B</v>
      </c>
      <c r="B21" s="417"/>
      <c r="D21" s="479" t="str">
        <f>VLOOKUP(B20,EventsOrder,3,FALSE)</f>
        <v>600m</v>
      </c>
      <c r="E21" s="56" t="s">
        <v>94</v>
      </c>
      <c r="F21" s="68" t="str">
        <f>VLOOKUP(B20,EventsOrder,5,FALSE)</f>
        <v/>
      </c>
      <c r="G21" s="481" t="str">
        <f>VLOOKUP(($B20*10)+1,Results,$F$4,FALSE)</f>
        <v xml:space="preserve">Logan Pearce </v>
      </c>
      <c r="H21" s="482"/>
      <c r="I21" s="483" t="str">
        <f>VLOOKUP(($B20*10)+2,Results,$F$4,FALSE)</f>
        <v>Alex Velasquez</v>
      </c>
      <c r="J21" s="482"/>
      <c r="K21" s="483" t="str">
        <f>VLOOKUP(($B20*10)+3,Results,$F$4,FALSE)</f>
        <v>Edward Allen</v>
      </c>
      <c r="L21" s="482"/>
      <c r="M21" s="483" t="str">
        <f>VLOOKUP(($B20*10)+4,Results,$F$4,FALSE)</f>
        <v>Edison Hughes</v>
      </c>
      <c r="N21" s="482"/>
      <c r="O21" s="483" t="str">
        <f>VLOOKUP(($B20*10)+5,Results,$F$4,FALSE)</f>
        <v>Edward Taylor</v>
      </c>
      <c r="P21" s="482"/>
      <c r="Q21" s="483" t="str">
        <f>VLOOKUP(($B20*10)+6,Results,$F$4,FALSE)</f>
        <v>Felix Whakahau</v>
      </c>
      <c r="R21" s="484"/>
      <c r="S21" s="485" t="str">
        <f>VLOOKUP(($B20*10)+7,Results,$F$4,FALSE)</f>
        <v>Jacob Thomas</v>
      </c>
      <c r="T21" s="482"/>
      <c r="U21" s="483" t="str">
        <f>VLOOKUP(($B20*10)+8,Results,$F$4,FALSE)</f>
        <v/>
      </c>
      <c r="V21" s="486"/>
      <c r="W21" s="487"/>
      <c r="X21" s="488"/>
      <c r="Y21" s="488"/>
      <c r="Z21" s="488"/>
      <c r="AA21" s="488"/>
      <c r="AB21" s="488"/>
      <c r="AC21" s="488"/>
      <c r="AD21" s="489"/>
    </row>
    <row r="22" spans="1:30" ht="15" thickBot="1" x14ac:dyDescent="0.35">
      <c r="A22" s="118" t="str">
        <f>B20&amp;"B"</f>
        <v>34B</v>
      </c>
      <c r="B22" s="417"/>
      <c r="C22" s="501"/>
      <c r="D22" s="502"/>
      <c r="E22" s="116"/>
      <c r="F22" s="503"/>
      <c r="G22" s="493" t="str">
        <f>VLOOKUP(($B20*10)+1,Results,$G$4,FALSE)</f>
        <v>BRAT</v>
      </c>
      <c r="H22" s="494" t="str">
        <f>VLOOKUP(($B20*10)+1,Results,$H$4,FALSE)</f>
        <v>1.52.2</v>
      </c>
      <c r="I22" s="495" t="str">
        <f>VLOOKUP(($B20*10)+2,Results,$G$4,FALSE)</f>
        <v>K&amp;S</v>
      </c>
      <c r="J22" s="494" t="str">
        <f>VLOOKUP(($B20*10)+2,Results,$H$4,FALSE)</f>
        <v>1.55.1</v>
      </c>
      <c r="K22" s="495" t="str">
        <f>VLOOKUP(($B20*10)+3,Results,$G$4,FALSE)</f>
        <v>Rugby</v>
      </c>
      <c r="L22" s="494" t="str">
        <f>VLOOKUP(($B20*10)+3,Results,$H$4,FALSE)</f>
        <v>2.02.0</v>
      </c>
      <c r="M22" s="495" t="str">
        <f>VLOOKUP(($B20*10)+4,Results,$G$4,FALSE)</f>
        <v>Sol</v>
      </c>
      <c r="N22" s="494" t="str">
        <f>VLOOKUP(($B20*10)+4,Results,$H$4,FALSE)</f>
        <v>2.04.0</v>
      </c>
      <c r="O22" s="495" t="str">
        <f>VLOOKUP(($B20*10)+5,Results,$G$4,FALSE)</f>
        <v>Royal</v>
      </c>
      <c r="P22" s="494" t="str">
        <f>VLOOKUP(($B20*10)+5,Results,$H$4,FALSE)</f>
        <v>2.08.4</v>
      </c>
      <c r="Q22" s="495" t="str">
        <f>VLOOKUP(($B20*10)+6,Results,$G$4,FALSE)</f>
        <v>Worc</v>
      </c>
      <c r="R22" s="495" t="str">
        <f>VLOOKUP(($B20*10)+6,Results,$H$4,FALSE)</f>
        <v>2.10.9</v>
      </c>
      <c r="S22" s="496" t="str">
        <f>VLOOKUP(($B20*10)+7,Results,$G$4,FALSE)</f>
        <v>Strat</v>
      </c>
      <c r="T22" s="494" t="str">
        <f>VLOOKUP(($B20*10)+7,Results,$H$4,FALSE)</f>
        <v>2.11.7</v>
      </c>
      <c r="U22" s="495">
        <f>VLOOKUP(($B20*10)+8,Results,$G$4,FALSE)</f>
        <v>0</v>
      </c>
      <c r="V22" s="497">
        <f>VLOOKUP(($B20*10)+8,Results,$H$4,FALSE)</f>
        <v>0</v>
      </c>
      <c r="W22" s="498">
        <f>VLOOKUP(($B20*10)+1,Results,$I$4,FALSE)</f>
        <v>8</v>
      </c>
      <c r="X22" s="499">
        <f>VLOOKUP(($B20*10)+2,Results,$I$4,FALSE)</f>
        <v>7</v>
      </c>
      <c r="Y22" s="499">
        <f>VLOOKUP(($B20*10)+3,Results,$I$4,FALSE)</f>
        <v>4</v>
      </c>
      <c r="Z22" s="499">
        <f>VLOOKUP(($B20*10)+4,Results,$I$4,FALSE)</f>
        <v>6</v>
      </c>
      <c r="AA22" s="499">
        <f>VLOOKUP(($B20*10)+5,Results,$I$4,FALSE)</f>
        <v>5</v>
      </c>
      <c r="AB22" s="499">
        <f>VLOOKUP(($B20*10)+6,Results,$I$4,FALSE)</f>
        <v>2</v>
      </c>
      <c r="AC22" s="499">
        <f>VLOOKUP(($B20*10)+7,Results,$I$4,FALSE)</f>
        <v>0</v>
      </c>
      <c r="AD22" s="500">
        <f>VLOOKUP(($B20*10)+8,Results,$I$4,FALSE)</f>
        <v>3</v>
      </c>
    </row>
    <row r="23" spans="1:30" x14ac:dyDescent="0.3">
      <c r="A23" s="118" t="str">
        <f>B24&amp;"A"</f>
        <v>53A</v>
      </c>
      <c r="B23" s="417"/>
      <c r="C23" s="478"/>
      <c r="D23" s="479" t="str">
        <f>VLOOKUP(B24,EventsOrder,4,FALSE)</f>
        <v>U12 Male</v>
      </c>
      <c r="E23" s="56" t="s">
        <v>149</v>
      </c>
      <c r="F23" s="480"/>
      <c r="G23" s="481" t="str">
        <f>VLOOKUP(($B24*10)+1,Results,$F$3,FALSE)</f>
        <v xml:space="preserve">Adrian Ward </v>
      </c>
      <c r="H23" s="482"/>
      <c r="I23" s="483" t="str">
        <f>VLOOKUP(($B24*10)+2,Results,$F$3,FALSE)</f>
        <v>Thomas Jenkinson</v>
      </c>
      <c r="J23" s="482"/>
      <c r="K23" s="483" t="str">
        <f>VLOOKUP(($B24*10)+3,Results,$F$3,FALSE)</f>
        <v>Chiemerie Okwara</v>
      </c>
      <c r="L23" s="482"/>
      <c r="M23" s="483" t="str">
        <f>VLOOKUP(($B24*10)+4,Results,$F$3,FALSE)</f>
        <v>Henry Yates</v>
      </c>
      <c r="N23" s="482"/>
      <c r="O23" s="483" t="str">
        <f>VLOOKUP(($B24*10)+5,Results,$F$3,FALSE)</f>
        <v>Sam Roberts</v>
      </c>
      <c r="P23" s="482"/>
      <c r="Q23" s="483" t="str">
        <f>VLOOKUP(($B24*10)+6,Results,$F$3,FALSE)</f>
        <v xml:space="preserve">Khari Caines </v>
      </c>
      <c r="R23" s="484"/>
      <c r="S23" s="485" t="str">
        <f>VLOOKUP(($B24*10)+7,Results,$F$3,FALSE)</f>
        <v>Evan Darby</v>
      </c>
      <c r="T23" s="482"/>
      <c r="U23" s="483" t="str">
        <f>VLOOKUP(($B24*10)+8,Results,$F$3,FALSE)</f>
        <v/>
      </c>
      <c r="V23" s="486"/>
      <c r="W23" s="487"/>
      <c r="X23" s="488"/>
      <c r="Y23" s="488"/>
      <c r="Z23" s="488"/>
      <c r="AA23" s="488"/>
      <c r="AB23" s="488"/>
      <c r="AC23" s="488"/>
      <c r="AD23" s="489"/>
    </row>
    <row r="24" spans="1:30" ht="15" thickBot="1" x14ac:dyDescent="0.35">
      <c r="A24" s="118" t="str">
        <f>B24&amp;"A"</f>
        <v>53A</v>
      </c>
      <c r="B24" s="504">
        <v>53</v>
      </c>
      <c r="C24" s="221">
        <f>VLOOKUP(B24,EventsOrder,2,FALSE)</f>
        <v>2.5499999999999998</v>
      </c>
      <c r="D24" s="490"/>
      <c r="E24" s="491"/>
      <c r="F24" s="492"/>
      <c r="G24" s="493" t="str">
        <f>VLOOKUP(($B24*10)+1,Results,$G$3,FALSE)</f>
        <v>BRAT</v>
      </c>
      <c r="H24" s="505">
        <f>VLOOKUP(($B24*10)+1,Results,$H$3,FALSE)</f>
        <v>10.4</v>
      </c>
      <c r="I24" s="495" t="str">
        <f>VLOOKUP(($B24*10)+2,Results,$G$3,FALSE)</f>
        <v>Worc</v>
      </c>
      <c r="J24" s="505">
        <f>VLOOKUP(($B24*10)+2,Results,$H$3,FALSE)</f>
        <v>10.4</v>
      </c>
      <c r="K24" s="495" t="str">
        <f>VLOOKUP(($B24*10)+3,Results,$G$3,FALSE)</f>
        <v>Rugby</v>
      </c>
      <c r="L24" s="505">
        <f>VLOOKUP(($B24*10)+3,Results,$H$3,FALSE)</f>
        <v>10.6</v>
      </c>
      <c r="M24" s="495" t="str">
        <f>VLOOKUP(($B24*10)+4,Results,$G$3,FALSE)</f>
        <v>Strat</v>
      </c>
      <c r="N24" s="505">
        <f>VLOOKUP(($B24*10)+4,Results,$H$3,FALSE)</f>
        <v>11</v>
      </c>
      <c r="O24" s="495" t="str">
        <f>VLOOKUP(($B24*10)+5,Results,$G$3,FALSE)</f>
        <v>Sol</v>
      </c>
      <c r="P24" s="505">
        <f>VLOOKUP(($B24*10)+5,Results,$H$3,FALSE)</f>
        <v>11.1</v>
      </c>
      <c r="Q24" s="495" t="str">
        <f>VLOOKUP(($B24*10)+6,Results,$G$3,FALSE)</f>
        <v>Royal</v>
      </c>
      <c r="R24" s="1009">
        <f>VLOOKUP(($B24*10)+6,Results,$H$3,FALSE)</f>
        <v>11.9</v>
      </c>
      <c r="S24" s="496" t="str">
        <f>VLOOKUP(($B24*10)+7,Results,$G$3,FALSE)</f>
        <v>Tam</v>
      </c>
      <c r="T24" s="505">
        <f>VLOOKUP(($B24*10)+7,Results,$H$3,FALSE)</f>
        <v>12</v>
      </c>
      <c r="U24" s="495">
        <f>VLOOKUP(($B24*10)+8,Results,$G$3,FALSE)</f>
        <v>0</v>
      </c>
      <c r="V24" s="601">
        <f>VLOOKUP(($B24*10)+8,Results,$H$3,FALSE)</f>
        <v>0</v>
      </c>
      <c r="W24" s="498">
        <f>VLOOKUP(($B24*10)+1,Results,$I$3,FALSE)</f>
        <v>8</v>
      </c>
      <c r="X24" s="499">
        <f>VLOOKUP(($B24*10)+2,Results,$I$3,FALSE)</f>
        <v>0</v>
      </c>
      <c r="Y24" s="499">
        <f>VLOOKUP(($B24*10)+3,Results,$I$3,FALSE)</f>
        <v>3</v>
      </c>
      <c r="Z24" s="499">
        <f>VLOOKUP(($B24*10)+4,Results,$I$3,FALSE)</f>
        <v>6</v>
      </c>
      <c r="AA24" s="499">
        <f>VLOOKUP(($B24*10)+5,Results,$I$3,FALSE)</f>
        <v>4</v>
      </c>
      <c r="AB24" s="499">
        <f>VLOOKUP(($B24*10)+6,Results,$I$3,FALSE)</f>
        <v>5</v>
      </c>
      <c r="AC24" s="499">
        <f>VLOOKUP(($B24*10)+7,Results,$I$3,FALSE)</f>
        <v>2</v>
      </c>
      <c r="AD24" s="500">
        <f>VLOOKUP(($B24*10)+8,Results,$I$3,FALSE)</f>
        <v>7</v>
      </c>
    </row>
    <row r="25" spans="1:30" x14ac:dyDescent="0.3">
      <c r="A25" s="118" t="str">
        <f>B24&amp;"B"</f>
        <v>53B</v>
      </c>
      <c r="B25" s="417"/>
      <c r="D25" s="479" t="str">
        <f>VLOOKUP(B24,EventsOrder,3,FALSE)</f>
        <v>75m</v>
      </c>
      <c r="E25" s="56" t="s">
        <v>94</v>
      </c>
      <c r="F25" s="68" t="str">
        <f>VLOOKUP(B24,EventsOrder,5,FALSE)</f>
        <v/>
      </c>
      <c r="G25" s="481" t="str">
        <f>VLOOKUP(($B24*10)+1,Results,$F$4,FALSE)</f>
        <v>Daniel wood</v>
      </c>
      <c r="H25" s="482"/>
      <c r="I25" s="483" t="str">
        <f>VLOOKUP(($B24*10)+2,Results,$F$4,FALSE)</f>
        <v>Troy Hall</v>
      </c>
      <c r="J25" s="482"/>
      <c r="K25" s="483" t="str">
        <f>VLOOKUP(($B24*10)+3,Results,$F$4,FALSE)</f>
        <v>Lloyd Kerry</v>
      </c>
      <c r="L25" s="482"/>
      <c r="M25" s="483" t="str">
        <f>VLOOKUP(($B24*10)+4,Results,$F$4,FALSE)</f>
        <v>Dallas Burrrows Pitt</v>
      </c>
      <c r="N25" s="482"/>
      <c r="O25" s="483" t="str">
        <f>VLOOKUP(($B24*10)+5,Results,$F$4,FALSE)</f>
        <v xml:space="preserve">Oliver brooks </v>
      </c>
      <c r="P25" s="482"/>
      <c r="Q25" s="483" t="str">
        <f>VLOOKUP(($B24*10)+6,Results,$F$4,FALSE)</f>
        <v>Henry Cotton</v>
      </c>
      <c r="R25" s="484"/>
      <c r="S25" s="485" t="str">
        <f>VLOOKUP(($B24*10)+7,Results,$F$4,FALSE)</f>
        <v>Oliver Eaton</v>
      </c>
      <c r="T25" s="482"/>
      <c r="U25" s="483" t="str">
        <f>VLOOKUP(($B24*10)+8,Results,$F$4,FALSE)</f>
        <v/>
      </c>
      <c r="V25" s="486"/>
      <c r="W25" s="487"/>
      <c r="X25" s="488"/>
      <c r="Y25" s="488"/>
      <c r="Z25" s="488"/>
      <c r="AA25" s="488"/>
      <c r="AB25" s="488"/>
      <c r="AC25" s="488"/>
      <c r="AD25" s="489"/>
    </row>
    <row r="26" spans="1:30" ht="15" thickBot="1" x14ac:dyDescent="0.35">
      <c r="A26" s="118" t="str">
        <f>B24&amp;"B"</f>
        <v>53B</v>
      </c>
      <c r="B26" s="417"/>
      <c r="C26" s="501"/>
      <c r="D26" s="502"/>
      <c r="E26" s="116"/>
      <c r="F26" s="503"/>
      <c r="G26" s="493" t="str">
        <f>VLOOKUP(($B24*10)+1,Results,$G$4,FALSE)</f>
        <v>Royal</v>
      </c>
      <c r="H26" s="505">
        <f>VLOOKUP(($B24*10)+1,Results,$H$4,FALSE)</f>
        <v>11.1</v>
      </c>
      <c r="I26" s="495" t="str">
        <f>VLOOKUP(($B24*10)+2,Results,$G$4,FALSE)</f>
        <v>Sol</v>
      </c>
      <c r="J26" s="505">
        <f>VLOOKUP(($B24*10)+2,Results,$H$4,FALSE)</f>
        <v>11.2</v>
      </c>
      <c r="K26" s="495" t="str">
        <f>VLOOKUP(($B24*10)+3,Results,$G$4,FALSE)</f>
        <v>Worc</v>
      </c>
      <c r="L26" s="505">
        <f>VLOOKUP(($B24*10)+3,Results,$H$4,FALSE)</f>
        <v>11.3</v>
      </c>
      <c r="M26" s="495" t="str">
        <f>VLOOKUP(($B24*10)+4,Results,$G$4,FALSE)</f>
        <v>Rugby</v>
      </c>
      <c r="N26" s="505">
        <f>VLOOKUP(($B24*10)+4,Results,$H$4,FALSE)</f>
        <v>11.6</v>
      </c>
      <c r="O26" s="495" t="str">
        <f>VLOOKUP(($B24*10)+5,Results,$G$4,FALSE)</f>
        <v>BRAT</v>
      </c>
      <c r="P26" s="505">
        <f>VLOOKUP(($B24*10)+5,Results,$H$4,FALSE)</f>
        <v>11.7</v>
      </c>
      <c r="Q26" s="495" t="str">
        <f>VLOOKUP(($B24*10)+6,Results,$G$4,FALSE)</f>
        <v>Strat</v>
      </c>
      <c r="R26" s="1009">
        <f>VLOOKUP(($B24*10)+6,Results,$H$4,FALSE)</f>
        <v>12.1</v>
      </c>
      <c r="S26" s="496" t="str">
        <f>VLOOKUP(($B24*10)+7,Results,$G$4,FALSE)</f>
        <v>Tam</v>
      </c>
      <c r="T26" s="505">
        <f>VLOOKUP(($B24*10)+7,Results,$H$4,FALSE)</f>
        <v>12.9</v>
      </c>
      <c r="U26" s="495">
        <f>VLOOKUP(($B24*10)+8,Results,$G$4,FALSE)</f>
        <v>0</v>
      </c>
      <c r="V26" s="601">
        <f>VLOOKUP(($B24*10)+8,Results,$H$4,FALSE)</f>
        <v>0</v>
      </c>
      <c r="W26" s="498">
        <f>VLOOKUP(($B24*10)+1,Results,$I$4,FALSE)</f>
        <v>4</v>
      </c>
      <c r="X26" s="499">
        <f>VLOOKUP(($B24*10)+2,Results,$I$4,FALSE)</f>
        <v>0</v>
      </c>
      <c r="Y26" s="499">
        <f>VLOOKUP(($B24*10)+3,Results,$I$4,FALSE)</f>
        <v>8</v>
      </c>
      <c r="Z26" s="499">
        <f>VLOOKUP(($B24*10)+4,Results,$I$4,FALSE)</f>
        <v>5</v>
      </c>
      <c r="AA26" s="499">
        <f>VLOOKUP(($B24*10)+5,Results,$I$4,FALSE)</f>
        <v>7</v>
      </c>
      <c r="AB26" s="499">
        <f>VLOOKUP(($B24*10)+6,Results,$I$4,FALSE)</f>
        <v>3</v>
      </c>
      <c r="AC26" s="499">
        <f>VLOOKUP(($B24*10)+7,Results,$I$4,FALSE)</f>
        <v>2</v>
      </c>
      <c r="AD26" s="500">
        <f>VLOOKUP(($B24*10)+8,Results,$I$4,FALSE)</f>
        <v>6</v>
      </c>
    </row>
    <row r="27" spans="1:30" x14ac:dyDescent="0.3">
      <c r="A27" s="118" t="str">
        <f>B28&amp;"A"</f>
        <v>54A</v>
      </c>
      <c r="B27" s="417"/>
      <c r="C27" s="478"/>
      <c r="D27" s="479" t="str">
        <f>VLOOKUP(B28,EventsOrder,4,FALSE)</f>
        <v>U12 Male</v>
      </c>
      <c r="E27" s="56" t="s">
        <v>149</v>
      </c>
      <c r="F27" s="480"/>
      <c r="G27" s="481" t="str">
        <f>VLOOKUP(($B28*10)+1,Results,$F$3,FALSE)</f>
        <v xml:space="preserve">Adrian Ward </v>
      </c>
      <c r="H27" s="482"/>
      <c r="I27" s="483" t="str">
        <f>VLOOKUP(($B28*10)+2,Results,$F$3,FALSE)</f>
        <v>Feranmi Remi-Omosowon</v>
      </c>
      <c r="J27" s="482"/>
      <c r="K27" s="483" t="str">
        <f>VLOOKUP(($B28*10)+3,Results,$F$3,FALSE)</f>
        <v>Sam Roberts</v>
      </c>
      <c r="L27" s="482"/>
      <c r="M27" s="483" t="str">
        <f>VLOOKUP(($B28*10)+4,Results,$F$3,FALSE)</f>
        <v>Hugo Ford</v>
      </c>
      <c r="N27" s="482"/>
      <c r="O27" s="483" t="str">
        <f>VLOOKUP(($B28*10)+5,Results,$F$3,FALSE)</f>
        <v>Rafe White</v>
      </c>
      <c r="P27" s="482"/>
      <c r="Q27" s="483" t="str">
        <f>VLOOKUP(($B28*10)+6,Results,$F$3,FALSE)</f>
        <v>Elliot Oldham</v>
      </c>
      <c r="R27" s="484"/>
      <c r="S27" s="485" t="str">
        <f>VLOOKUP(($B28*10)+7,Results,$F$3,FALSE)</f>
        <v>Cyrus Thomas</v>
      </c>
      <c r="T27" s="482"/>
      <c r="U27" s="483" t="str">
        <f>VLOOKUP(($B28*10)+8,Results,$F$3,FALSE)</f>
        <v>Lucas Beggs</v>
      </c>
      <c r="V27" s="486"/>
      <c r="W27" s="487"/>
      <c r="X27" s="488"/>
      <c r="Y27" s="488"/>
      <c r="Z27" s="488"/>
      <c r="AA27" s="488"/>
      <c r="AB27" s="488"/>
      <c r="AC27" s="488"/>
      <c r="AD27" s="489"/>
    </row>
    <row r="28" spans="1:30" ht="15" thickBot="1" x14ac:dyDescent="0.35">
      <c r="A28" s="118" t="str">
        <f>B28&amp;"A"</f>
        <v>54A</v>
      </c>
      <c r="B28" s="24">
        <v>54</v>
      </c>
      <c r="C28" s="221">
        <f>VLOOKUP(B28,EventsOrder,2,FALSE)</f>
        <v>3.45</v>
      </c>
      <c r="D28" s="490"/>
      <c r="E28" s="491"/>
      <c r="F28" s="492"/>
      <c r="G28" s="493" t="str">
        <f>VLOOKUP(($B28*10)+1,Results,$G$3,FALSE)</f>
        <v>BRAT</v>
      </c>
      <c r="H28" s="494">
        <f>VLOOKUP(($B28*10)+1,Results,$H$3,FALSE)</f>
        <v>21.1</v>
      </c>
      <c r="I28" s="495" t="str">
        <f>VLOOKUP(($B28*10)+2,Results,$G$3,FALSE)</f>
        <v>Rugby</v>
      </c>
      <c r="J28" s="494">
        <f>VLOOKUP(($B28*10)+2,Results,$H$3,FALSE)</f>
        <v>21.6</v>
      </c>
      <c r="K28" s="495" t="str">
        <f>VLOOKUP(($B28*10)+3,Results,$G$3,FALSE)</f>
        <v>Sol</v>
      </c>
      <c r="L28" s="494">
        <f>VLOOKUP(($B28*10)+3,Results,$H$3,FALSE)</f>
        <v>21.8</v>
      </c>
      <c r="M28" s="495" t="str">
        <f>VLOOKUP(($B28*10)+4,Results,$G$3,FALSE)</f>
        <v>K&amp;S</v>
      </c>
      <c r="N28" s="494">
        <f>VLOOKUP(($B28*10)+4,Results,$H$3,FALSE)</f>
        <v>23.2</v>
      </c>
      <c r="O28" s="495" t="str">
        <f>VLOOKUP(($B28*10)+5,Results,$G$3,FALSE)</f>
        <v>Strat</v>
      </c>
      <c r="P28" s="494">
        <f>VLOOKUP(($B28*10)+5,Results,$H$3,FALSE)</f>
        <v>23.3</v>
      </c>
      <c r="Q28" s="495" t="str">
        <f>VLOOKUP(($B28*10)+6,Results,$G$3,FALSE)</f>
        <v>Worc</v>
      </c>
      <c r="R28" s="495">
        <f>VLOOKUP(($B28*10)+6,Results,$H$3,FALSE)</f>
        <v>23.3</v>
      </c>
      <c r="S28" s="496" t="str">
        <f>VLOOKUP(($B28*10)+7,Results,$G$3,FALSE)</f>
        <v>Royal</v>
      </c>
      <c r="T28" s="494">
        <f>VLOOKUP(($B28*10)+7,Results,$H$3,FALSE)</f>
        <v>23.4</v>
      </c>
      <c r="U28" s="495" t="str">
        <f>VLOOKUP(($B28*10)+8,Results,$G$3,FALSE)</f>
        <v>Tam</v>
      </c>
      <c r="V28" s="497">
        <f>VLOOKUP(($B28*10)+8,Results,$H$3,FALSE)</f>
        <v>26</v>
      </c>
      <c r="W28" s="498">
        <f>VLOOKUP(($B28*10)+1,Results,$I$3,FALSE)</f>
        <v>8</v>
      </c>
      <c r="X28" s="499">
        <f>VLOOKUP(($B28*10)+2,Results,$I$3,FALSE)</f>
        <v>5</v>
      </c>
      <c r="Y28" s="499">
        <f>VLOOKUP(($B28*10)+3,Results,$I$3,FALSE)</f>
        <v>2</v>
      </c>
      <c r="Z28" s="499">
        <f>VLOOKUP(($B28*10)+4,Results,$I$3,FALSE)</f>
        <v>7</v>
      </c>
      <c r="AA28" s="499">
        <f>VLOOKUP(($B28*10)+5,Results,$I$3,FALSE)</f>
        <v>6</v>
      </c>
      <c r="AB28" s="499">
        <f>VLOOKUP(($B28*10)+6,Results,$I$3,FALSE)</f>
        <v>4</v>
      </c>
      <c r="AC28" s="499">
        <f>VLOOKUP(($B28*10)+7,Results,$I$3,FALSE)</f>
        <v>1</v>
      </c>
      <c r="AD28" s="500">
        <f>VLOOKUP(($B28*10)+8,Results,$I$3,FALSE)</f>
        <v>3</v>
      </c>
    </row>
    <row r="29" spans="1:30" x14ac:dyDescent="0.3">
      <c r="A29" s="118" t="str">
        <f>B28&amp;"B"</f>
        <v>54B</v>
      </c>
      <c r="B29" s="417"/>
      <c r="D29" s="479" t="str">
        <f>VLOOKUP(B28,EventsOrder,3,FALSE)</f>
        <v>150m</v>
      </c>
      <c r="E29" s="56" t="s">
        <v>94</v>
      </c>
      <c r="F29" s="68" t="str">
        <f>VLOOKUP(B28,EventsOrder,5,FALSE)</f>
        <v/>
      </c>
      <c r="G29" s="481" t="str">
        <f>VLOOKUP(($B28*10)+1,Results,$F$4,FALSE)</f>
        <v>Chiemerie Okwara</v>
      </c>
      <c r="H29" s="482"/>
      <c r="I29" s="483" t="str">
        <f>VLOOKUP(($B28*10)+2,Results,$F$4,FALSE)</f>
        <v>Simon Zawada</v>
      </c>
      <c r="J29" s="482"/>
      <c r="K29" s="483" t="str">
        <f>VLOOKUP(($B28*10)+3,Results,$F$4,FALSE)</f>
        <v>Lloyd Kerry</v>
      </c>
      <c r="L29" s="482"/>
      <c r="M29" s="483" t="str">
        <f>VLOOKUP(($B28*10)+4,Results,$F$4,FALSE)</f>
        <v>Kai Gudmunsen</v>
      </c>
      <c r="N29" s="482"/>
      <c r="O29" s="483" t="str">
        <f>VLOOKUP(($B28*10)+5,Results,$F$4,FALSE)</f>
        <v xml:space="preserve">Alex Velasquez </v>
      </c>
      <c r="P29" s="482"/>
      <c r="Q29" s="483" t="str">
        <f>VLOOKUP(($B28*10)+6,Results,$F$4,FALSE)</f>
        <v xml:space="preserve">Oliver brooks </v>
      </c>
      <c r="R29" s="484"/>
      <c r="S29" s="485" t="str">
        <f>VLOOKUP(($B28*10)+7,Results,$F$4,FALSE)</f>
        <v>Edward Taylor</v>
      </c>
      <c r="T29" s="482"/>
      <c r="U29" s="483" t="str">
        <f>VLOOKUP(($B28*10)+8,Results,$F$4,FALSE)</f>
        <v>Oliver Eaton</v>
      </c>
      <c r="V29" s="486"/>
      <c r="W29" s="487"/>
      <c r="X29" s="488"/>
      <c r="Y29" s="488"/>
      <c r="Z29" s="488"/>
      <c r="AA29" s="488"/>
      <c r="AB29" s="488"/>
      <c r="AC29" s="488"/>
      <c r="AD29" s="489"/>
    </row>
    <row r="30" spans="1:30" ht="15" thickBot="1" x14ac:dyDescent="0.35">
      <c r="A30" s="118" t="str">
        <f>B28&amp;"B"</f>
        <v>54B</v>
      </c>
      <c r="B30" s="417"/>
      <c r="C30" s="501"/>
      <c r="D30" s="502"/>
      <c r="E30" s="116"/>
      <c r="F30" s="503"/>
      <c r="G30" s="493" t="str">
        <f>VLOOKUP(($B28*10)+1,Results,$G$4,FALSE)</f>
        <v>Rugby</v>
      </c>
      <c r="H30" s="494">
        <f>VLOOKUP(($B28*10)+1,Results,$H$4,FALSE)</f>
        <v>21.9</v>
      </c>
      <c r="I30" s="495" t="str">
        <f>VLOOKUP(($B28*10)+2,Results,$G$4,FALSE)</f>
        <v>Strat</v>
      </c>
      <c r="J30" s="494">
        <f>VLOOKUP(($B28*10)+2,Results,$H$4,FALSE)</f>
        <v>22.7</v>
      </c>
      <c r="K30" s="495" t="str">
        <f>VLOOKUP(($B28*10)+3,Results,$G$4,FALSE)</f>
        <v>Worc</v>
      </c>
      <c r="L30" s="494">
        <f>VLOOKUP(($B28*10)+3,Results,$H$4,FALSE)</f>
        <v>22.9</v>
      </c>
      <c r="M30" s="495" t="str">
        <f>VLOOKUP(($B28*10)+4,Results,$G$4,FALSE)</f>
        <v>Sol</v>
      </c>
      <c r="N30" s="494">
        <f>VLOOKUP(($B28*10)+4,Results,$H$4,FALSE)</f>
        <v>23.3</v>
      </c>
      <c r="O30" s="495" t="str">
        <f>VLOOKUP(($B28*10)+5,Results,$G$4,FALSE)</f>
        <v>K&amp;S</v>
      </c>
      <c r="P30" s="494">
        <f>VLOOKUP(($B28*10)+5,Results,$H$4,FALSE)</f>
        <v>23.9</v>
      </c>
      <c r="Q30" s="495" t="str">
        <f>VLOOKUP(($B28*10)+6,Results,$G$4,FALSE)</f>
        <v>BRAT</v>
      </c>
      <c r="R30" s="495">
        <f>VLOOKUP(($B28*10)+6,Results,$H$4,FALSE)</f>
        <v>24.1</v>
      </c>
      <c r="S30" s="496" t="str">
        <f>VLOOKUP(($B28*10)+7,Results,$G$4,FALSE)</f>
        <v>Royal</v>
      </c>
      <c r="T30" s="494">
        <f>VLOOKUP(($B28*10)+7,Results,$H$4,FALSE)</f>
        <v>25.9</v>
      </c>
      <c r="U30" s="495" t="str">
        <f>VLOOKUP(($B28*10)+8,Results,$G$4,FALSE)</f>
        <v>Tam</v>
      </c>
      <c r="V30" s="497">
        <f>VLOOKUP(($B28*10)+8,Results,$H$4,FALSE)</f>
        <v>26.6</v>
      </c>
      <c r="W30" s="498">
        <f>VLOOKUP(($B28*10)+1,Results,$I$4,FALSE)</f>
        <v>3</v>
      </c>
      <c r="X30" s="499">
        <f>VLOOKUP(($B28*10)+2,Results,$I$4,FALSE)</f>
        <v>4</v>
      </c>
      <c r="Y30" s="499">
        <f>VLOOKUP(($B28*10)+3,Results,$I$4,FALSE)</f>
        <v>2</v>
      </c>
      <c r="Z30" s="499">
        <f>VLOOKUP(($B28*10)+4,Results,$I$4,FALSE)</f>
        <v>8</v>
      </c>
      <c r="AA30" s="499">
        <f>VLOOKUP(($B28*10)+5,Results,$I$4,FALSE)</f>
        <v>5</v>
      </c>
      <c r="AB30" s="499">
        <f>VLOOKUP(($B28*10)+6,Results,$I$4,FALSE)</f>
        <v>7</v>
      </c>
      <c r="AC30" s="499">
        <f>VLOOKUP(($B28*10)+7,Results,$I$4,FALSE)</f>
        <v>1</v>
      </c>
      <c r="AD30" s="500">
        <f>VLOOKUP(($B28*10)+8,Results,$I$4,FALSE)</f>
        <v>6</v>
      </c>
    </row>
    <row r="31" spans="1:30" x14ac:dyDescent="0.3">
      <c r="A31" s="118" t="str">
        <f>B32&amp;"A"</f>
        <v>0A</v>
      </c>
      <c r="B31" s="417"/>
      <c r="C31" s="478"/>
      <c r="D31" s="479">
        <f>VLOOKUP(B32,EventsOrder,4,FALSE)</f>
        <v>0</v>
      </c>
      <c r="E31" s="56" t="s">
        <v>149</v>
      </c>
      <c r="F31" s="480"/>
      <c r="G31" s="481">
        <f>VLOOKUP(($B32*10)+1,Results,$F$3,FALSE)</f>
        <v>0</v>
      </c>
      <c r="H31" s="482"/>
      <c r="I31" s="483">
        <f>VLOOKUP(($B32*10)+2,Results,$F$3,FALSE)</f>
        <v>0</v>
      </c>
      <c r="J31" s="482"/>
      <c r="K31" s="483">
        <f>VLOOKUP(($B32*10)+3,Results,$F$3,FALSE)</f>
        <v>0</v>
      </c>
      <c r="L31" s="482"/>
      <c r="M31" s="483">
        <f>VLOOKUP(($B32*10)+4,Results,$F$3,FALSE)</f>
        <v>0</v>
      </c>
      <c r="N31" s="482"/>
      <c r="O31" s="483">
        <f>VLOOKUP(($B32*10)+5,Results,$F$3,FALSE)</f>
        <v>0</v>
      </c>
      <c r="P31" s="482"/>
      <c r="Q31" s="483">
        <f>VLOOKUP(($B32*10)+6,Results,$F$3,FALSE)</f>
        <v>0</v>
      </c>
      <c r="R31" s="484"/>
      <c r="S31" s="485">
        <f>VLOOKUP(($B32*10)+7,Results,$F$3,FALSE)</f>
        <v>0</v>
      </c>
      <c r="T31" s="482"/>
      <c r="U31" s="483">
        <f>VLOOKUP(($B32*10)+8,Results,$F$3,FALSE)</f>
        <v>0</v>
      </c>
      <c r="V31" s="486"/>
      <c r="W31" s="487"/>
      <c r="X31" s="488"/>
      <c r="Y31" s="488"/>
      <c r="Z31" s="488"/>
      <c r="AA31" s="488"/>
      <c r="AB31" s="488"/>
      <c r="AC31" s="488"/>
      <c r="AD31" s="489"/>
    </row>
    <row r="32" spans="1:30" ht="15" thickBot="1" x14ac:dyDescent="0.35">
      <c r="A32" s="118" t="str">
        <f>B32&amp;"A"</f>
        <v>0A</v>
      </c>
      <c r="B32" s="504">
        <v>0</v>
      </c>
      <c r="C32" s="221">
        <f>VLOOKUP(B32,EventsOrder,2,FALSE)</f>
        <v>0</v>
      </c>
      <c r="D32" s="490"/>
      <c r="E32" s="491"/>
      <c r="F32" s="492"/>
      <c r="G32" s="493">
        <f>VLOOKUP(($B32*10)+1,Results,$G$3,FALSE)</f>
        <v>0</v>
      </c>
      <c r="H32" s="505">
        <f>VLOOKUP(($B32*10)+1,Results,$H$3,FALSE)</f>
        <v>0</v>
      </c>
      <c r="I32" s="495">
        <f>VLOOKUP(($B32*10)+2,Results,$G$3,FALSE)</f>
        <v>0</v>
      </c>
      <c r="J32" s="505">
        <f>VLOOKUP(($B32*10)+2,Results,$H$3,FALSE)</f>
        <v>0</v>
      </c>
      <c r="K32" s="495">
        <f>VLOOKUP(($B32*10)+3,Results,$G$3,FALSE)</f>
        <v>0</v>
      </c>
      <c r="L32" s="505">
        <f>VLOOKUP(($B32*10)+3,Results,$H$3,FALSE)</f>
        <v>0</v>
      </c>
      <c r="M32" s="495">
        <f>VLOOKUP(($B32*10)+4,Results,$G$3,FALSE)</f>
        <v>0</v>
      </c>
      <c r="N32" s="505">
        <f>VLOOKUP(($B32*10)+4,Results,$H$3,FALSE)</f>
        <v>0</v>
      </c>
      <c r="O32" s="495">
        <f>VLOOKUP(($B32*10)+5,Results,$G$3,FALSE)</f>
        <v>0</v>
      </c>
      <c r="P32" s="505">
        <f>VLOOKUP(($B32*10)+5,Results,$H$3,FALSE)</f>
        <v>0</v>
      </c>
      <c r="Q32" s="495">
        <f>VLOOKUP(($B32*10)+6,Results,$G$3,FALSE)</f>
        <v>0</v>
      </c>
      <c r="R32" s="1009">
        <f>VLOOKUP(($B32*10)+6,Results,$H$3,FALSE)</f>
        <v>0</v>
      </c>
      <c r="S32" s="496">
        <f>VLOOKUP(($B32*10)+7,Results,$G$3,FALSE)</f>
        <v>0</v>
      </c>
      <c r="T32" s="505">
        <f>VLOOKUP(($B32*10)+7,Results,$H$3,FALSE)</f>
        <v>0</v>
      </c>
      <c r="U32" s="495">
        <f>VLOOKUP(($B32*10)+8,Results,$G$3,FALSE)</f>
        <v>0</v>
      </c>
      <c r="V32" s="601">
        <f>VLOOKUP(($B32*10)+8,Results,$H$3,FALSE)</f>
        <v>0</v>
      </c>
      <c r="W32" s="498">
        <f>VLOOKUP(($B32*10)+1,Results,$I$3,FALSE)</f>
        <v>0</v>
      </c>
      <c r="X32" s="499">
        <f>VLOOKUP(($B32*10)+2,Results,$I$3,FALSE)</f>
        <v>0</v>
      </c>
      <c r="Y32" s="499">
        <f>VLOOKUP(($B32*10)+3,Results,$I$3,FALSE)</f>
        <v>0</v>
      </c>
      <c r="Z32" s="499">
        <f>VLOOKUP(($B32*10)+4,Results,$I$3,FALSE)</f>
        <v>0</v>
      </c>
      <c r="AA32" s="499">
        <f>VLOOKUP(($B32*10)+5,Results,$I$3,FALSE)</f>
        <v>0</v>
      </c>
      <c r="AB32" s="499">
        <f>VLOOKUP(($B32*10)+6,Results,$I$3,FALSE)</f>
        <v>0</v>
      </c>
      <c r="AC32" s="499">
        <f>VLOOKUP(($B32*10)+7,Results,$I$3,FALSE)</f>
        <v>0</v>
      </c>
      <c r="AD32" s="500">
        <f>VLOOKUP(($B32*10)+8,Results,$I$3,FALSE)</f>
        <v>0</v>
      </c>
    </row>
    <row r="33" spans="1:30" x14ac:dyDescent="0.3">
      <c r="A33" s="118" t="str">
        <f>B32&amp;"B"</f>
        <v>0B</v>
      </c>
      <c r="B33" s="417"/>
      <c r="D33" s="479">
        <f>VLOOKUP(B32,EventsOrder,3,FALSE)</f>
        <v>0</v>
      </c>
      <c r="E33" s="56" t="s">
        <v>94</v>
      </c>
      <c r="F33" s="68" t="str">
        <f>VLOOKUP(B32,EventsOrder,5,FALSE)</f>
        <v xml:space="preserve"> </v>
      </c>
      <c r="G33" s="481">
        <f>VLOOKUP(($B32*10)+1,Results,$F$4,FALSE)</f>
        <v>0</v>
      </c>
      <c r="H33" s="482"/>
      <c r="I33" s="483">
        <f>VLOOKUP(($B32*10)+2,Results,$F$4,FALSE)</f>
        <v>0</v>
      </c>
      <c r="J33" s="482"/>
      <c r="K33" s="483">
        <f>VLOOKUP(($B32*10)+3,Results,$F$4,FALSE)</f>
        <v>0</v>
      </c>
      <c r="L33" s="482"/>
      <c r="M33" s="483">
        <f>VLOOKUP(($B32*10)+4,Results,$F$4,FALSE)</f>
        <v>0</v>
      </c>
      <c r="N33" s="482"/>
      <c r="O33" s="483">
        <f>VLOOKUP(($B32*10)+5,Results,$F$4,FALSE)</f>
        <v>0</v>
      </c>
      <c r="P33" s="482"/>
      <c r="Q33" s="483">
        <f>VLOOKUP(($B32*10)+6,Results,$F$4,FALSE)</f>
        <v>0</v>
      </c>
      <c r="R33" s="484"/>
      <c r="S33" s="485">
        <f>VLOOKUP(($B32*10)+7,Results,$F$4,FALSE)</f>
        <v>0</v>
      </c>
      <c r="T33" s="482"/>
      <c r="U33" s="483">
        <f>VLOOKUP(($B32*10)+8,Results,$F$4,FALSE)</f>
        <v>0</v>
      </c>
      <c r="V33" s="486"/>
      <c r="W33" s="487"/>
      <c r="X33" s="488"/>
      <c r="Y33" s="488"/>
      <c r="Z33" s="488"/>
      <c r="AA33" s="488"/>
      <c r="AB33" s="488"/>
      <c r="AC33" s="488"/>
      <c r="AD33" s="489"/>
    </row>
    <row r="34" spans="1:30" ht="15" thickBot="1" x14ac:dyDescent="0.35">
      <c r="A34" s="118" t="str">
        <f>B32&amp;"B"</f>
        <v>0B</v>
      </c>
      <c r="B34" s="417"/>
      <c r="C34" s="501"/>
      <c r="D34" s="502"/>
      <c r="E34" s="116"/>
      <c r="F34" s="503"/>
      <c r="G34" s="493">
        <f>VLOOKUP(($B32*10)+1,Results,$G$4,FALSE)</f>
        <v>0</v>
      </c>
      <c r="H34" s="505">
        <f>VLOOKUP(($B32*10)+1,Results,$H$4,FALSE)</f>
        <v>0</v>
      </c>
      <c r="I34" s="495">
        <f>VLOOKUP(($B32*10)+2,Results,$G$4,FALSE)</f>
        <v>0</v>
      </c>
      <c r="J34" s="505">
        <f>VLOOKUP(($B32*10)+2,Results,$H$4,FALSE)</f>
        <v>0</v>
      </c>
      <c r="K34" s="495">
        <f>VLOOKUP(($B32*10)+3,Results,$G$4,FALSE)</f>
        <v>0</v>
      </c>
      <c r="L34" s="505">
        <f>VLOOKUP(($B32*10)+3,Results,$H$4,FALSE)</f>
        <v>0</v>
      </c>
      <c r="M34" s="495">
        <f>VLOOKUP(($B32*10)+4,Results,$G$4,FALSE)</f>
        <v>0</v>
      </c>
      <c r="N34" s="505">
        <f>VLOOKUP(($B32*10)+4,Results,$H$4,FALSE)</f>
        <v>0</v>
      </c>
      <c r="O34" s="495">
        <f>VLOOKUP(($B32*10)+5,Results,$G$4,FALSE)</f>
        <v>0</v>
      </c>
      <c r="P34" s="505">
        <f>VLOOKUP(($B32*10)+5,Results,$H$4,FALSE)</f>
        <v>0</v>
      </c>
      <c r="Q34" s="495">
        <f>VLOOKUP(($B32*10)+6,Results,$G$4,FALSE)</f>
        <v>0</v>
      </c>
      <c r="R34" s="1009">
        <f>VLOOKUP(($B32*10)+6,Results,$H$4,FALSE)</f>
        <v>0</v>
      </c>
      <c r="S34" s="496">
        <f>VLOOKUP(($B32*10)+7,Results,$G$4,FALSE)</f>
        <v>0</v>
      </c>
      <c r="T34" s="505">
        <f>VLOOKUP(($B32*10)+7,Results,$H$4,FALSE)</f>
        <v>0</v>
      </c>
      <c r="U34" s="495">
        <f>VLOOKUP(($B32*10)+8,Results,$G$4,FALSE)</f>
        <v>0</v>
      </c>
      <c r="V34" s="601">
        <f>VLOOKUP(($B32*10)+8,Results,$H$4,FALSE)</f>
        <v>0</v>
      </c>
      <c r="W34" s="498">
        <f>VLOOKUP(($B32*10)+1,Results,$I$4,FALSE)</f>
        <v>0</v>
      </c>
      <c r="X34" s="499">
        <f>VLOOKUP(($B32*10)+2,Results,$I$4,FALSE)</f>
        <v>0</v>
      </c>
      <c r="Y34" s="499">
        <f>VLOOKUP(($B32*10)+3,Results,$I$4,FALSE)</f>
        <v>0</v>
      </c>
      <c r="Z34" s="499">
        <f>VLOOKUP(($B32*10)+4,Results,$I$4,FALSE)</f>
        <v>0</v>
      </c>
      <c r="AA34" s="499">
        <f>VLOOKUP(($B32*10)+5,Results,$I$4,FALSE)</f>
        <v>0</v>
      </c>
      <c r="AB34" s="499">
        <f>VLOOKUP(($B32*10)+6,Results,$I$4,FALSE)</f>
        <v>0</v>
      </c>
      <c r="AC34" s="499">
        <f>VLOOKUP(($B32*10)+7,Results,$I$4,FALSE)</f>
        <v>0</v>
      </c>
      <c r="AD34" s="500">
        <f>VLOOKUP(($B32*10)+8,Results,$I$4,FALSE)</f>
        <v>0</v>
      </c>
    </row>
    <row r="35" spans="1:30" x14ac:dyDescent="0.3">
      <c r="A35" s="118" t="str">
        <f>B36&amp;"A"</f>
        <v>0A</v>
      </c>
      <c r="B35" s="417"/>
      <c r="C35" s="478"/>
      <c r="D35" s="479">
        <f>VLOOKUP(B36,EventsOrder,4,FALSE)</f>
        <v>0</v>
      </c>
      <c r="E35" s="56" t="s">
        <v>149</v>
      </c>
      <c r="F35" s="480"/>
      <c r="G35" s="481">
        <f>VLOOKUP(($B36*10)+1,Results,$F$3,FALSE)</f>
        <v>0</v>
      </c>
      <c r="H35" s="482"/>
      <c r="I35" s="483">
        <f>VLOOKUP(($B36*10)+2,Results,$F$3,FALSE)</f>
        <v>0</v>
      </c>
      <c r="J35" s="482"/>
      <c r="K35" s="483">
        <f>VLOOKUP(($B36*10)+3,Results,$F$3,FALSE)</f>
        <v>0</v>
      </c>
      <c r="L35" s="482"/>
      <c r="M35" s="483">
        <f>VLOOKUP(($B36*10)+4,Results,$F$3,FALSE)</f>
        <v>0</v>
      </c>
      <c r="N35" s="482"/>
      <c r="O35" s="483">
        <f>VLOOKUP(($B36*10)+5,Results,$F$3,FALSE)</f>
        <v>0</v>
      </c>
      <c r="P35" s="482"/>
      <c r="Q35" s="483">
        <f>VLOOKUP(($B36*10)+6,Results,$F$3,FALSE)</f>
        <v>0</v>
      </c>
      <c r="R35" s="484"/>
      <c r="S35" s="485">
        <f>VLOOKUP(($B36*10)+7,Results,$F$3,FALSE)</f>
        <v>0</v>
      </c>
      <c r="T35" s="482"/>
      <c r="U35" s="483">
        <f>VLOOKUP(($B36*10)+8,Results,$F$3,FALSE)</f>
        <v>0</v>
      </c>
      <c r="V35" s="486"/>
      <c r="W35" s="487"/>
      <c r="X35" s="488"/>
      <c r="Y35" s="488"/>
      <c r="Z35" s="488"/>
      <c r="AA35" s="488"/>
      <c r="AB35" s="488"/>
      <c r="AC35" s="488"/>
      <c r="AD35" s="489"/>
    </row>
    <row r="36" spans="1:30" ht="15" thickBot="1" x14ac:dyDescent="0.35">
      <c r="A36" s="118" t="str">
        <f>B36&amp;"A"</f>
        <v>0A</v>
      </c>
      <c r="B36" s="24">
        <v>0</v>
      </c>
      <c r="C36" s="221">
        <f>VLOOKUP(B36,EventsOrder,2,FALSE)</f>
        <v>0</v>
      </c>
      <c r="D36" s="490"/>
      <c r="E36" s="491"/>
      <c r="F36" s="492"/>
      <c r="G36" s="493">
        <f>VLOOKUP(($B36*10)+1,Results,$G$3,FALSE)</f>
        <v>0</v>
      </c>
      <c r="H36" s="494">
        <f>VLOOKUP(($B36*10)+1,Results,$H$3,FALSE)</f>
        <v>0</v>
      </c>
      <c r="I36" s="495">
        <f>VLOOKUP(($B36*10)+2,Results,$G$3,FALSE)</f>
        <v>0</v>
      </c>
      <c r="J36" s="494">
        <f>VLOOKUP(($B36*10)+2,Results,$H$3,FALSE)</f>
        <v>0</v>
      </c>
      <c r="K36" s="495">
        <f>VLOOKUP(($B36*10)+3,Results,$G$3,FALSE)</f>
        <v>0</v>
      </c>
      <c r="L36" s="494">
        <f>VLOOKUP(($B36*10)+3,Results,$H$3,FALSE)</f>
        <v>0</v>
      </c>
      <c r="M36" s="495">
        <f>VLOOKUP(($B36*10)+4,Results,$G$3,FALSE)</f>
        <v>0</v>
      </c>
      <c r="N36" s="494">
        <f>VLOOKUP(($B36*10)+4,Results,$H$3,FALSE)</f>
        <v>0</v>
      </c>
      <c r="O36" s="495">
        <f>VLOOKUP(($B36*10)+5,Results,$G$3,FALSE)</f>
        <v>0</v>
      </c>
      <c r="P36" s="494">
        <f>VLOOKUP(($B36*10)+5,Results,$H$3,FALSE)</f>
        <v>0</v>
      </c>
      <c r="Q36" s="495">
        <f>VLOOKUP(($B36*10)+6,Results,$G$3,FALSE)</f>
        <v>0</v>
      </c>
      <c r="R36" s="495">
        <f>VLOOKUP(($B36*10)+6,Results,$H$3,FALSE)</f>
        <v>0</v>
      </c>
      <c r="S36" s="496">
        <f>VLOOKUP(($B36*10)+7,Results,$G$3,FALSE)</f>
        <v>0</v>
      </c>
      <c r="T36" s="494">
        <f>VLOOKUP(($B36*10)+7,Results,$H$3,FALSE)</f>
        <v>0</v>
      </c>
      <c r="U36" s="495">
        <f>VLOOKUP(($B36*10)+8,Results,$G$3,FALSE)</f>
        <v>0</v>
      </c>
      <c r="V36" s="497">
        <f>VLOOKUP(($B36*10)+8,Results,$H$3,FALSE)</f>
        <v>0</v>
      </c>
      <c r="W36" s="498">
        <f>VLOOKUP(($B36*10)+1,Results,$I$3,FALSE)</f>
        <v>0</v>
      </c>
      <c r="X36" s="499">
        <f>VLOOKUP(($B36*10)+2,Results,$I$3,FALSE)</f>
        <v>0</v>
      </c>
      <c r="Y36" s="499">
        <f>VLOOKUP(($B36*10)+3,Results,$I$3,FALSE)</f>
        <v>0</v>
      </c>
      <c r="Z36" s="499">
        <f>VLOOKUP(($B36*10)+4,Results,$I$3,FALSE)</f>
        <v>0</v>
      </c>
      <c r="AA36" s="499">
        <f>VLOOKUP(($B36*10)+5,Results,$I$3,FALSE)</f>
        <v>0</v>
      </c>
      <c r="AB36" s="499">
        <f>VLOOKUP(($B36*10)+6,Results,$I$3,FALSE)</f>
        <v>0</v>
      </c>
      <c r="AC36" s="499">
        <f>VLOOKUP(($B36*10)+7,Results,$I$3,FALSE)</f>
        <v>0</v>
      </c>
      <c r="AD36" s="500">
        <f>VLOOKUP(($B36*10)+8,Results,$I$3,FALSE)</f>
        <v>0</v>
      </c>
    </row>
    <row r="37" spans="1:30" x14ac:dyDescent="0.3">
      <c r="A37" s="118" t="str">
        <f>B36&amp;"B"</f>
        <v>0B</v>
      </c>
      <c r="B37" s="417"/>
      <c r="D37" s="479">
        <f>VLOOKUP(B36,EventsOrder,3,FALSE)</f>
        <v>0</v>
      </c>
      <c r="E37" s="56" t="s">
        <v>94</v>
      </c>
      <c r="F37" s="68" t="str">
        <f>VLOOKUP(B36,EventsOrder,5,FALSE)</f>
        <v xml:space="preserve"> </v>
      </c>
      <c r="G37" s="481">
        <f>VLOOKUP(($B36*10)+1,Results,$F$4,FALSE)</f>
        <v>0</v>
      </c>
      <c r="H37" s="482"/>
      <c r="I37" s="483">
        <f>VLOOKUP(($B36*10)+2,Results,$F$4,FALSE)</f>
        <v>0</v>
      </c>
      <c r="J37" s="482"/>
      <c r="K37" s="483">
        <f>VLOOKUP(($B36*10)+3,Results,$F$4,FALSE)</f>
        <v>0</v>
      </c>
      <c r="L37" s="482"/>
      <c r="M37" s="483">
        <f>VLOOKUP(($B36*10)+4,Results,$F$4,FALSE)</f>
        <v>0</v>
      </c>
      <c r="N37" s="482"/>
      <c r="O37" s="483">
        <f>VLOOKUP(($B36*10)+5,Results,$F$4,FALSE)</f>
        <v>0</v>
      </c>
      <c r="P37" s="482"/>
      <c r="Q37" s="483">
        <f>VLOOKUP(($B36*10)+6,Results,$F$4,FALSE)</f>
        <v>0</v>
      </c>
      <c r="R37" s="484"/>
      <c r="S37" s="485">
        <f>VLOOKUP(($B36*10)+7,Results,$F$4,FALSE)</f>
        <v>0</v>
      </c>
      <c r="T37" s="482"/>
      <c r="U37" s="483">
        <f>VLOOKUP(($B36*10)+8,Results,$F$4,FALSE)</f>
        <v>0</v>
      </c>
      <c r="V37" s="486"/>
      <c r="W37" s="487"/>
      <c r="X37" s="488"/>
      <c r="Y37" s="488"/>
      <c r="Z37" s="488"/>
      <c r="AA37" s="488"/>
      <c r="AB37" s="488"/>
      <c r="AC37" s="488"/>
      <c r="AD37" s="489"/>
    </row>
    <row r="38" spans="1:30" ht="15" thickBot="1" x14ac:dyDescent="0.35">
      <c r="A38" s="118" t="str">
        <f>B36&amp;"B"</f>
        <v>0B</v>
      </c>
      <c r="B38" s="417"/>
      <c r="C38" s="501"/>
      <c r="D38" s="502"/>
      <c r="E38" s="116"/>
      <c r="F38" s="503"/>
      <c r="G38" s="493">
        <f>VLOOKUP(($B36*10)+1,Results,$G$4,FALSE)</f>
        <v>0</v>
      </c>
      <c r="H38" s="494">
        <f>VLOOKUP(($B36*10)+1,Results,$H$4,FALSE)</f>
        <v>0</v>
      </c>
      <c r="I38" s="495">
        <f>VLOOKUP(($B36*10)+2,Results,$G$4,FALSE)</f>
        <v>0</v>
      </c>
      <c r="J38" s="494">
        <f>VLOOKUP(($B36*10)+2,Results,$H$4,FALSE)</f>
        <v>0</v>
      </c>
      <c r="K38" s="495">
        <f>VLOOKUP(($B36*10)+3,Results,$G$4,FALSE)</f>
        <v>0</v>
      </c>
      <c r="L38" s="494">
        <f>VLOOKUP(($B36*10)+3,Results,$H$4,FALSE)</f>
        <v>0</v>
      </c>
      <c r="M38" s="495">
        <f>VLOOKUP(($B36*10)+4,Results,$G$4,FALSE)</f>
        <v>0</v>
      </c>
      <c r="N38" s="494">
        <f>VLOOKUP(($B36*10)+4,Results,$H$4,FALSE)</f>
        <v>0</v>
      </c>
      <c r="O38" s="495">
        <f>VLOOKUP(($B36*10)+5,Results,$G$4,FALSE)</f>
        <v>0</v>
      </c>
      <c r="P38" s="494">
        <f>VLOOKUP(($B36*10)+5,Results,$H$4,FALSE)</f>
        <v>0</v>
      </c>
      <c r="Q38" s="495">
        <f>VLOOKUP(($B36*10)+6,Results,$G$4,FALSE)</f>
        <v>0</v>
      </c>
      <c r="R38" s="495">
        <f>VLOOKUP(($B36*10)+6,Results,$H$4,FALSE)</f>
        <v>0</v>
      </c>
      <c r="S38" s="496">
        <f>VLOOKUP(($B36*10)+7,Results,$G$4,FALSE)</f>
        <v>0</v>
      </c>
      <c r="T38" s="494">
        <f>VLOOKUP(($B36*10)+7,Results,$H$4,FALSE)</f>
        <v>0</v>
      </c>
      <c r="U38" s="495">
        <f>VLOOKUP(($B36*10)+8,Results,$G$4,FALSE)</f>
        <v>0</v>
      </c>
      <c r="V38" s="497">
        <f>VLOOKUP(($B36*10)+8,Results,$H$4,FALSE)</f>
        <v>0</v>
      </c>
      <c r="W38" s="498">
        <f>VLOOKUP(($B36*10)+1,Results,$I$4,FALSE)</f>
        <v>0</v>
      </c>
      <c r="X38" s="499">
        <f>VLOOKUP(($B36*10)+2,Results,$I$4,FALSE)</f>
        <v>0</v>
      </c>
      <c r="Y38" s="499">
        <f>VLOOKUP(($B36*10)+3,Results,$I$4,FALSE)</f>
        <v>0</v>
      </c>
      <c r="Z38" s="499">
        <f>VLOOKUP(($B36*10)+4,Results,$I$4,FALSE)</f>
        <v>0</v>
      </c>
      <c r="AA38" s="499">
        <f>VLOOKUP(($B36*10)+5,Results,$I$4,FALSE)</f>
        <v>0</v>
      </c>
      <c r="AB38" s="499">
        <f>VLOOKUP(($B36*10)+6,Results,$I$4,FALSE)</f>
        <v>0</v>
      </c>
      <c r="AC38" s="499">
        <f>VLOOKUP(($B36*10)+7,Results,$I$4,FALSE)</f>
        <v>0</v>
      </c>
      <c r="AD38" s="500">
        <f>VLOOKUP(($B36*10)+8,Results,$I$4,FALSE)</f>
        <v>0</v>
      </c>
    </row>
    <row r="39" spans="1:30" ht="15" thickBot="1" x14ac:dyDescent="0.35">
      <c r="A39" s="118" t="str">
        <f>B36&amp;"B"</f>
        <v>0B</v>
      </c>
      <c r="B39" s="506"/>
      <c r="D39" s="479">
        <f>VLOOKUP(B36,EventsOrder,3,FALSE)</f>
        <v>0</v>
      </c>
      <c r="E39" s="515"/>
      <c r="F39" s="68" t="str">
        <f>VLOOKUP(B36,EventsOrder,5,FALSE)</f>
        <v xml:space="preserve"> </v>
      </c>
      <c r="G39" s="516">
        <f>VLOOKUP(($B36*10)+1,Results,$L$4,FALSE)</f>
        <v>0</v>
      </c>
      <c r="H39" s="517"/>
      <c r="I39" s="518">
        <f>VLOOKUP(($B36*10)+2,Results,$L$4,FALSE)</f>
        <v>0</v>
      </c>
      <c r="J39" s="517"/>
      <c r="K39" s="518">
        <f>VLOOKUP(($B36*10)+3,Results,$L$4,FALSE)</f>
        <v>0</v>
      </c>
      <c r="L39" s="517"/>
      <c r="M39" s="518">
        <f>VLOOKUP(($B36*10)+4,Results,$L$4,FALSE)</f>
        <v>0</v>
      </c>
      <c r="N39" s="517"/>
      <c r="O39" s="518">
        <f>VLOOKUP(($B36*10)+5,Results,$L$4,FALSE)</f>
        <v>0</v>
      </c>
      <c r="P39" s="517"/>
      <c r="Q39" s="518">
        <f>VLOOKUP(($B36*10)+6,Results,$L$4,FALSE)</f>
        <v>0</v>
      </c>
      <c r="R39" s="517"/>
      <c r="S39" s="518">
        <f>VLOOKUP(($B36*10)+7,Results,$L$4,FALSE)</f>
        <v>0</v>
      </c>
      <c r="T39" s="517"/>
      <c r="U39" s="518">
        <f>VLOOKUP(($B36*10)+8,Results,$L$4,FALSE)</f>
        <v>0</v>
      </c>
      <c r="V39" s="517"/>
      <c r="W39" s="1010"/>
      <c r="X39" s="1356"/>
      <c r="Y39" s="1356"/>
      <c r="Z39" s="1356"/>
      <c r="AA39" s="1356"/>
      <c r="AB39" s="1356"/>
      <c r="AC39" s="1356"/>
      <c r="AD39" s="1357"/>
    </row>
    <row r="40" spans="1:30" ht="16.2" thickBot="1" x14ac:dyDescent="0.35">
      <c r="A40" s="118"/>
      <c r="B40" s="506"/>
      <c r="C40" s="507"/>
      <c r="D40" s="508" t="s">
        <v>296</v>
      </c>
      <c r="E40" s="476"/>
      <c r="F40" s="503"/>
      <c r="G40" s="547"/>
      <c r="H40" s="517"/>
      <c r="I40" s="548"/>
      <c r="J40" s="517"/>
      <c r="K40" s="548"/>
      <c r="L40" s="517"/>
      <c r="M40" s="548"/>
      <c r="N40" s="517"/>
      <c r="O40" s="548"/>
      <c r="P40" s="517"/>
      <c r="Q40" s="548"/>
      <c r="R40" s="517"/>
      <c r="S40" s="548"/>
      <c r="T40" s="517"/>
      <c r="U40" s="548"/>
      <c r="V40" s="549"/>
      <c r="W40" s="1010"/>
      <c r="X40" s="605"/>
      <c r="Y40" s="605"/>
      <c r="Z40" s="605"/>
      <c r="AA40" s="605"/>
      <c r="AB40" s="605"/>
      <c r="AC40" s="605"/>
      <c r="AD40" s="1273"/>
    </row>
    <row r="41" spans="1:30" x14ac:dyDescent="0.3">
      <c r="A41" s="118" t="str">
        <f>B42&amp;"A"</f>
        <v>80A</v>
      </c>
      <c r="B41" s="506"/>
      <c r="C41" s="550"/>
      <c r="F41" s="480"/>
      <c r="G41" s="551" t="str">
        <f>VLOOKUP(($B42*10)+1,Results,$F$3,FALSE)</f>
        <v>Rugby &amp; N'hampton</v>
      </c>
      <c r="H41" s="552"/>
      <c r="I41" s="553" t="str">
        <f>VLOOKUP(($B42*10)+2,Results,$F$3,FALSE)</f>
        <v>BRAT</v>
      </c>
      <c r="J41" s="552"/>
      <c r="K41" s="553" t="str">
        <f>VLOOKUP(($B42*10)+3,Results,$F$3,FALSE)</f>
        <v>Worcester</v>
      </c>
      <c r="L41" s="552"/>
      <c r="M41" s="553" t="str">
        <f>VLOOKUP(($B42*10)+4,Results,$F$3,FALSE)</f>
        <v>Stratford</v>
      </c>
      <c r="N41" s="552"/>
      <c r="O41" s="553" t="str">
        <f>VLOOKUP(($B42*10)+5,Results,$F$3,FALSE)</f>
        <v>Solihull &amp; S.Heath</v>
      </c>
      <c r="P41" s="552"/>
      <c r="Q41" s="553" t="str">
        <f>VLOOKUP(($B42*10)+6,Results,$F$3,FALSE)</f>
        <v>Tamworth</v>
      </c>
      <c r="R41" s="552"/>
      <c r="S41" s="553" t="str">
        <f>VLOOKUP(($B42*10)+7,Results,$F$3,FALSE)</f>
        <v/>
      </c>
      <c r="T41" s="552"/>
      <c r="U41" s="553" t="str">
        <f>VLOOKUP(($B42*10)+8,Results,$F$3,FALSE)</f>
        <v/>
      </c>
      <c r="V41" s="549"/>
      <c r="W41" s="487"/>
      <c r="X41" s="488"/>
      <c r="Y41" s="488"/>
      <c r="Z41" s="488"/>
      <c r="AA41" s="488"/>
      <c r="AB41" s="488"/>
      <c r="AC41" s="488"/>
      <c r="AD41" s="489"/>
    </row>
    <row r="42" spans="1:30" ht="15" thickBot="1" x14ac:dyDescent="0.35">
      <c r="A42" s="118" t="str">
        <f>B42&amp;"A"</f>
        <v>80A</v>
      </c>
      <c r="B42" s="24">
        <v>80</v>
      </c>
      <c r="C42" s="221">
        <f>VLOOKUP(B42,EventsOrder,2,FALSE)</f>
        <v>4.45</v>
      </c>
      <c r="D42" s="490" t="str">
        <f>VLOOKUP(B42,EventsOrder,4,FALSE)</f>
        <v>U12 Male</v>
      </c>
      <c r="E42" s="11" t="s">
        <v>149</v>
      </c>
      <c r="F42" s="492"/>
      <c r="G42" s="554" t="str">
        <f>VLOOKUP(($B42*10)+1,Results,$F$3-1,FALSE)</f>
        <v>Rugby</v>
      </c>
      <c r="H42" s="555">
        <f>VLOOKUP(($B42*10)+1,Results,$H$3,FALSE)</f>
        <v>58.3</v>
      </c>
      <c r="I42" s="556" t="str">
        <f>VLOOKUP(($B42*10)+2,Results,$F$3-1,FALSE)</f>
        <v>BRAT</v>
      </c>
      <c r="J42" s="555">
        <f>VLOOKUP(($B42*10)+2,Results,$H$3,FALSE)</f>
        <v>59.6</v>
      </c>
      <c r="K42" s="556" t="str">
        <f>VLOOKUP(($B42*10)+3,Results,$F$3-1,FALSE)</f>
        <v>Worc</v>
      </c>
      <c r="L42" s="555">
        <f>VLOOKUP(($B42*10)+3,Results,$H$3,FALSE)</f>
        <v>60.4</v>
      </c>
      <c r="M42" s="556" t="str">
        <f>VLOOKUP(($B42*10)+4,Results,$F$3-1,FALSE)</f>
        <v>Strat</v>
      </c>
      <c r="N42" s="555">
        <f>VLOOKUP(($B42*10)+4,Results,$H$3,FALSE)</f>
        <v>60.5</v>
      </c>
      <c r="O42" s="556" t="str">
        <f>VLOOKUP(($B42*10)+5,Results,$F$3-1,FALSE)</f>
        <v>Sol</v>
      </c>
      <c r="P42" s="555">
        <f>VLOOKUP(($B42*10)+5,Results,$H$3,FALSE)</f>
        <v>60.8</v>
      </c>
      <c r="Q42" s="556" t="str">
        <f>VLOOKUP(($B42*10)+6,Results,$F$3-1,FALSE)</f>
        <v>Tam</v>
      </c>
      <c r="R42" s="555">
        <f>VLOOKUP(($B42*10)+6,Results,$H$3,FALSE)</f>
        <v>67.5</v>
      </c>
      <c r="S42" s="556" t="str">
        <f>VLOOKUP(($B42*10)+7,Results,$F$3-1,FALSE)</f>
        <v/>
      </c>
      <c r="T42" s="555">
        <f>VLOOKUP(($B42*10)+7,Results,$H$3,FALSE)</f>
        <v>0</v>
      </c>
      <c r="U42" s="556" t="str">
        <f>VLOOKUP(($B42*10)+8,Results,$F$3-1,FALSE)</f>
        <v/>
      </c>
      <c r="V42" s="555">
        <f>VLOOKUP(($B42*10)+8,Results,$H$3,FALSE)</f>
        <v>0</v>
      </c>
      <c r="W42" s="498">
        <f>VLOOKUP(($B42*10)+1,Results,$I$3,FALSE)</f>
        <v>7</v>
      </c>
      <c r="X42" s="499">
        <f>VLOOKUP(($B42*10)+2,Results,$I$3,FALSE)</f>
        <v>0</v>
      </c>
      <c r="Y42" s="499">
        <f>VLOOKUP(($B42*10)+3,Results,$I$3,FALSE)</f>
        <v>0</v>
      </c>
      <c r="Z42" s="499">
        <f>VLOOKUP(($B42*10)+4,Results,$I$3,FALSE)</f>
        <v>8</v>
      </c>
      <c r="AA42" s="499">
        <f>VLOOKUP(($B42*10)+5,Results,$I$3,FALSE)</f>
        <v>4</v>
      </c>
      <c r="AB42" s="499">
        <f>VLOOKUP(($B42*10)+6,Results,$I$3,FALSE)</f>
        <v>5</v>
      </c>
      <c r="AC42" s="499">
        <f>VLOOKUP(($B42*10)+7,Results,$I$3,FALSE)</f>
        <v>3</v>
      </c>
      <c r="AD42" s="500">
        <f>VLOOKUP(($B42*10)+8,Results,$I$3,FALSE)</f>
        <v>6</v>
      </c>
    </row>
    <row r="43" spans="1:30" x14ac:dyDescent="0.3">
      <c r="A43" s="118" t="str">
        <f>B42&amp;"B"</f>
        <v>80B</v>
      </c>
      <c r="B43" s="417"/>
      <c r="C43" s="550"/>
      <c r="D43" s="85"/>
      <c r="E43" s="56"/>
      <c r="F43" s="534">
        <v>1</v>
      </c>
      <c r="G43" s="557" t="str">
        <f>IF(LEN(G$91)&gt;1,HLOOKUP(G$91,Relays,$A478,FALSE),"")</f>
        <v>Daniel wood</v>
      </c>
      <c r="H43" s="558"/>
      <c r="I43" s="559" t="str">
        <f>IF(LEN(I$91)&gt;1,HLOOKUP(I$91,Relays,$A478,FALSE),"")</f>
        <v>Chiemerie Okwara</v>
      </c>
      <c r="J43" s="560"/>
      <c r="K43" s="557" t="str">
        <f>IF(LEN(K$91)&gt;1,HLOOKUP(K$91,Relays,$A478,FALSE),"")</f>
        <v>Henry Cotton</v>
      </c>
      <c r="L43" s="560"/>
      <c r="M43" s="557" t="str">
        <f>IF(LEN(M$91)&gt;1,HLOOKUP(M$91,Relays,$A478,FALSE),"")</f>
        <v>Oliver Eaton</v>
      </c>
      <c r="N43" s="561"/>
      <c r="O43" s="557">
        <f>IF(LEN(O$91)&gt;1,HLOOKUP(O$91,Relays,$A478,FALSE),"")</f>
        <v>0</v>
      </c>
      <c r="P43" s="561"/>
      <c r="Q43" s="557" t="str">
        <f>IF(LEN(Q$91)&gt;1,HLOOKUP(Q$91,Relays,$A478,FALSE),"")</f>
        <v>Thomas Jenkinson</v>
      </c>
      <c r="R43" s="561"/>
      <c r="S43" s="557" t="str">
        <f>IF(LEN(S$91)&gt;1,HLOOKUP(S$91,Relays,$A478,FALSE),"")</f>
        <v>Sam Roberts</v>
      </c>
      <c r="T43" s="561"/>
      <c r="U43" s="557" t="str">
        <f>IF(LEN(U$91)&gt;1,HLOOKUP(U$91,Relays,$A478,FALSE),"")</f>
        <v xml:space="preserve">Adrian Ward </v>
      </c>
      <c r="V43" s="518"/>
      <c r="W43" s="487"/>
      <c r="X43" s="488"/>
      <c r="Y43" s="488"/>
      <c r="Z43" s="488"/>
      <c r="AA43" s="488"/>
      <c r="AB43" s="488"/>
      <c r="AC43" s="488"/>
      <c r="AD43" s="489"/>
    </row>
    <row r="44" spans="1:30" x14ac:dyDescent="0.3">
      <c r="A44" s="118" t="str">
        <f>B42&amp;"B"</f>
        <v>80B</v>
      </c>
      <c r="B44" s="506"/>
      <c r="D44" s="479" t="str">
        <f>VLOOKUP(B42,EventsOrder,3,FALSE)</f>
        <v xml:space="preserve">4 x 100m </v>
      </c>
      <c r="E44" s="515"/>
      <c r="F44" s="534">
        <v>2</v>
      </c>
      <c r="G44" s="557" t="str">
        <f>IF(LEN(G$91)&gt;1,HLOOKUP(G$91,Relays,$A479,FALSE),"")</f>
        <v>Khari Caines</v>
      </c>
      <c r="H44" s="562"/>
      <c r="I44" s="557" t="str">
        <f>IF(LEN(I$91)&gt;1,HLOOKUP(I$91,Relays,$A479,FALSE),"")</f>
        <v>Feranmi Remi-Omosowon</v>
      </c>
      <c r="J44" s="562"/>
      <c r="K44" s="557" t="str">
        <f>IF(LEN(K$91)&gt;1,HLOOKUP(K$91,Relays,$A479,FALSE),"")</f>
        <v>Rafe White</v>
      </c>
      <c r="L44" s="562"/>
      <c r="M44" s="557" t="str">
        <f>IF(LEN(M$91)&gt;1,HLOOKUP(M$91,Relays,$A479,FALSE),"")</f>
        <v>Evan Darby</v>
      </c>
      <c r="N44" s="562"/>
      <c r="O44" s="557">
        <f>IF(LEN(O$91)&gt;1,HLOOKUP(O$91,Relays,$A479,FALSE),"")</f>
        <v>0</v>
      </c>
      <c r="P44" s="562"/>
      <c r="Q44" s="557" t="str">
        <f>IF(LEN(Q$91)&gt;1,HLOOKUP(Q$91,Relays,$A479,FALSE),"")</f>
        <v>Felix Whakahau</v>
      </c>
      <c r="R44" s="562"/>
      <c r="S44" s="557" t="str">
        <f>IF(LEN(S$91)&gt;1,HLOOKUP(S$91,Relays,$A479,FALSE),"")</f>
        <v>Troy Hall</v>
      </c>
      <c r="T44" s="562"/>
      <c r="U44" s="557" t="str">
        <f>IF(LEN(U$91)&gt;1,HLOOKUP(U$91,Relays,$A479,FALSE),"")</f>
        <v xml:space="preserve">Leo Parekh </v>
      </c>
      <c r="V44" s="549"/>
      <c r="W44" s="487"/>
      <c r="X44" s="488"/>
      <c r="Y44" s="488"/>
      <c r="Z44" s="488"/>
      <c r="AA44" s="488"/>
      <c r="AB44" s="488"/>
      <c r="AC44" s="488"/>
      <c r="AD44" s="489"/>
    </row>
    <row r="45" spans="1:30" x14ac:dyDescent="0.3">
      <c r="A45" s="118" t="str">
        <f>B42&amp;"R"</f>
        <v>80R</v>
      </c>
      <c r="B45" s="506"/>
      <c r="C45" s="550"/>
      <c r="E45" s="515" t="s">
        <v>94</v>
      </c>
      <c r="F45" s="534">
        <v>3</v>
      </c>
      <c r="G45" s="557" t="str">
        <f>IF(LEN(G$91)&gt;1,HLOOKUP(G$91,Relays,$A480,FALSE),"")</f>
        <v xml:space="preserve">Woody Forrester </v>
      </c>
      <c r="H45" s="560"/>
      <c r="I45" s="557" t="str">
        <f>IF(LEN(I$91)&gt;1,HLOOKUP(I$91,Relays,$A480,FALSE),"")</f>
        <v>Joshua Jardine</v>
      </c>
      <c r="J45" s="560"/>
      <c r="K45" s="557" t="str">
        <f>IF(LEN(K$91)&gt;1,HLOOKUP(K$91,Relays,$A480,FALSE),"")</f>
        <v>Jasper Allen</v>
      </c>
      <c r="L45" s="560"/>
      <c r="M45" s="557" t="str">
        <f>IF(LEN(M$91)&gt;1,HLOOKUP(M$91,Relays,$A480,FALSE),"")</f>
        <v>Theodore Gill</v>
      </c>
      <c r="N45" s="560"/>
      <c r="O45" s="557">
        <f>IF(LEN(O$91)&gt;1,HLOOKUP(O$91,Relays,$A480,FALSE),"")</f>
        <v>0</v>
      </c>
      <c r="P45" s="560"/>
      <c r="Q45" s="557" t="str">
        <f>IF(LEN(Q$91)&gt;1,HLOOKUP(Q$91,Relays,$A480,FALSE),"")</f>
        <v>Elliot Oldham</v>
      </c>
      <c r="R45" s="560"/>
      <c r="S45" s="557" t="str">
        <f>IF(LEN(S$91)&gt;1,HLOOKUP(S$91,Relays,$A480,FALSE),"")</f>
        <v>Edison Hughes</v>
      </c>
      <c r="T45" s="560"/>
      <c r="U45" s="557" t="str">
        <f>IF(LEN(U$91)&gt;1,HLOOKUP(U$91,Relays,$A480,FALSE),"")</f>
        <v>Zachary Asanga</v>
      </c>
      <c r="V45" s="549"/>
      <c r="W45" s="487"/>
      <c r="X45" s="488"/>
      <c r="Y45" s="488"/>
      <c r="Z45" s="488"/>
      <c r="AA45" s="488"/>
      <c r="AB45" s="488"/>
      <c r="AC45" s="488"/>
      <c r="AD45" s="489"/>
    </row>
    <row r="46" spans="1:30" ht="15" thickBot="1" x14ac:dyDescent="0.35">
      <c r="A46" s="118" t="str">
        <f>B42&amp;"S"</f>
        <v>80S</v>
      </c>
      <c r="B46" s="506"/>
      <c r="C46" s="501"/>
      <c r="D46" s="502"/>
      <c r="E46" s="523"/>
      <c r="F46" s="563">
        <v>4</v>
      </c>
      <c r="G46" s="564" t="str">
        <f>IF(LEN(G$91)&gt;1,HLOOKUP(G$91,Relays,$A481,FALSE),"")</f>
        <v>Cyrus Thomas</v>
      </c>
      <c r="H46" s="565"/>
      <c r="I46" s="564" t="str">
        <f>IF(LEN(I$91)&gt;1,HLOOKUP(I$91,Relays,$A481,FALSE),"")</f>
        <v>Dallas Burrrows Pitt</v>
      </c>
      <c r="J46" s="565"/>
      <c r="K46" s="564" t="str">
        <f>IF(LEN(K$91)&gt;1,HLOOKUP(K$91,Relays,$A481,FALSE),"")</f>
        <v>Simon Zawada</v>
      </c>
      <c r="L46" s="565"/>
      <c r="M46" s="564" t="str">
        <f>IF(LEN(M$91)&gt;1,HLOOKUP(M$91,Relays,$A481,FALSE),"")</f>
        <v>Lucas Beggs</v>
      </c>
      <c r="N46" s="565"/>
      <c r="O46" s="564">
        <f>IF(LEN(O$91)&gt;1,HLOOKUP(O$91,Relays,$A481,FALSE),"")</f>
        <v>0</v>
      </c>
      <c r="P46" s="565"/>
      <c r="Q46" s="564" t="str">
        <f>IF(LEN(Q$91)&gt;1,HLOOKUP(Q$91,Relays,$A481,FALSE),"")</f>
        <v>Lloyd Kerry</v>
      </c>
      <c r="R46" s="565"/>
      <c r="S46" s="564" t="str">
        <f>IF(LEN(S$91)&gt;1,HLOOKUP(S$91,Relays,$A481,FALSE),"")</f>
        <v>Kai Gudmunsen</v>
      </c>
      <c r="T46" s="565"/>
      <c r="U46" s="564" t="str">
        <f>IF(LEN(U$91)&gt;1,HLOOKUP(U$91,Relays,$A481,FALSE),"")</f>
        <v xml:space="preserve">Oliver brooks </v>
      </c>
      <c r="V46" s="556"/>
      <c r="W46" s="520"/>
      <c r="X46" s="521"/>
      <c r="Y46" s="521"/>
      <c r="Z46" s="521"/>
      <c r="AA46" s="521"/>
      <c r="AB46" s="521"/>
      <c r="AC46" s="521"/>
      <c r="AD46" s="522"/>
    </row>
    <row r="47" spans="1:30" ht="15" thickBot="1" x14ac:dyDescent="0.35">
      <c r="B47" s="534">
        <f>COUNTIF(B11:B46,"&gt;0")</f>
        <v>6</v>
      </c>
      <c r="C47" s="535"/>
      <c r="D47" s="535"/>
      <c r="E47" s="535"/>
      <c r="F47" s="535"/>
      <c r="G47" s="535"/>
      <c r="H47" s="535"/>
      <c r="I47" s="535"/>
      <c r="J47" s="535"/>
      <c r="K47" s="535"/>
      <c r="L47" s="535"/>
      <c r="M47" s="535"/>
      <c r="N47" s="535"/>
      <c r="O47" s="535"/>
      <c r="P47" s="535"/>
      <c r="Q47" s="535"/>
      <c r="R47" s="535"/>
      <c r="S47" s="535"/>
      <c r="T47" s="535"/>
      <c r="U47" s="85" t="s">
        <v>295</v>
      </c>
      <c r="V47" s="535"/>
      <c r="W47" s="536">
        <f t="shared" ref="W47:AD47" si="2">SUM(W11:W46)</f>
        <v>64</v>
      </c>
      <c r="X47" s="537">
        <f t="shared" si="2"/>
        <v>37</v>
      </c>
      <c r="Y47" s="537">
        <f t="shared" si="2"/>
        <v>34</v>
      </c>
      <c r="Z47" s="537">
        <f t="shared" si="2"/>
        <v>69</v>
      </c>
      <c r="AA47" s="537">
        <f t="shared" si="2"/>
        <v>56</v>
      </c>
      <c r="AB47" s="537">
        <f t="shared" si="2"/>
        <v>55</v>
      </c>
      <c r="AC47" s="537">
        <f t="shared" si="2"/>
        <v>14</v>
      </c>
      <c r="AD47" s="538">
        <f t="shared" si="2"/>
        <v>53</v>
      </c>
    </row>
    <row r="48" spans="1:30" ht="15.6" thickTop="1" thickBot="1" x14ac:dyDescent="0.35">
      <c r="B48" s="539"/>
      <c r="C48" s="535"/>
      <c r="D48" s="535"/>
      <c r="E48" s="535"/>
      <c r="F48" s="535"/>
      <c r="G48" s="535"/>
      <c r="H48" s="535"/>
      <c r="I48" s="535"/>
      <c r="J48" s="535"/>
      <c r="K48" s="535"/>
      <c r="L48" s="535"/>
      <c r="M48" s="535"/>
      <c r="N48" s="535"/>
      <c r="O48" s="535"/>
      <c r="P48" s="535"/>
      <c r="Q48" s="535"/>
      <c r="R48" s="535"/>
      <c r="S48" s="535"/>
      <c r="T48" s="535"/>
      <c r="U48" s="85" t="s">
        <v>27</v>
      </c>
      <c r="V48" s="535"/>
      <c r="W48" s="540">
        <f>RANK(W47,$W47:$AD47)</f>
        <v>2</v>
      </c>
      <c r="X48" s="541">
        <f t="shared" ref="X48:AD48" si="3">RANK(X47,$W47:$AD47)</f>
        <v>6</v>
      </c>
      <c r="Y48" s="541">
        <f t="shared" si="3"/>
        <v>7</v>
      </c>
      <c r="Z48" s="541">
        <f t="shared" si="3"/>
        <v>1</v>
      </c>
      <c r="AA48" s="541">
        <f t="shared" si="3"/>
        <v>3</v>
      </c>
      <c r="AB48" s="541">
        <f t="shared" si="3"/>
        <v>4</v>
      </c>
      <c r="AC48" s="541">
        <f t="shared" si="3"/>
        <v>8</v>
      </c>
      <c r="AD48" s="542">
        <f t="shared" si="3"/>
        <v>5</v>
      </c>
    </row>
    <row r="49" spans="1:30" ht="15" thickBot="1" x14ac:dyDescent="0.35">
      <c r="B49" s="539"/>
      <c r="C49" s="535"/>
      <c r="D49" s="535"/>
      <c r="E49" s="535"/>
      <c r="F49" s="535"/>
      <c r="G49" s="535"/>
      <c r="H49" s="535"/>
      <c r="I49" s="535"/>
      <c r="J49" s="535"/>
      <c r="K49" s="535"/>
      <c r="L49" s="535"/>
      <c r="M49" s="535"/>
      <c r="N49" s="535"/>
      <c r="O49" s="535"/>
      <c r="P49" s="535"/>
      <c r="Q49" s="535"/>
      <c r="R49" s="535"/>
      <c r="S49" s="535"/>
      <c r="T49" s="535"/>
      <c r="U49" s="543"/>
      <c r="V49" s="535"/>
      <c r="W49" s="544"/>
      <c r="X49" s="544"/>
      <c r="Y49" s="544"/>
      <c r="Z49" s="544"/>
      <c r="AA49" s="544"/>
      <c r="AB49" s="544"/>
      <c r="AC49" s="544"/>
      <c r="AD49" s="544"/>
    </row>
    <row r="50" spans="1:30" ht="36" customHeight="1" x14ac:dyDescent="0.3">
      <c r="A50" s="424"/>
      <c r="B50" s="1415" t="s">
        <v>258</v>
      </c>
      <c r="C50" s="467"/>
      <c r="D50" s="468"/>
      <c r="E50" s="469"/>
      <c r="F50" s="467"/>
      <c r="G50" s="467"/>
      <c r="H50" s="467"/>
      <c r="I50" s="470"/>
      <c r="J50" s="467"/>
      <c r="K50" s="471" t="str">
        <f>K8</f>
        <v>Heart of England League Results</v>
      </c>
      <c r="L50" s="472"/>
      <c r="M50" s="470"/>
      <c r="N50" s="467"/>
      <c r="O50" s="467"/>
      <c r="P50" s="472"/>
      <c r="Q50" s="470"/>
      <c r="R50" s="472"/>
      <c r="S50" s="473"/>
      <c r="T50" s="472"/>
      <c r="U50" s="470"/>
      <c r="V50" s="472"/>
      <c r="W50" s="1411" t="str">
        <f>W$8</f>
        <v>BRAT</v>
      </c>
      <c r="X50" s="1411" t="str">
        <f t="shared" ref="X50:AD50" si="4">X$8</f>
        <v>Kidder &amp; Stourport</v>
      </c>
      <c r="Y50" s="1411" t="str">
        <f t="shared" si="4"/>
        <v>Royal Sutton</v>
      </c>
      <c r="Z50" s="1411" t="str">
        <f t="shared" si="4"/>
        <v>Rugby &amp; N'hampton</v>
      </c>
      <c r="AA50" s="1411" t="str">
        <f t="shared" si="4"/>
        <v>Solihull &amp; S.Heath</v>
      </c>
      <c r="AB50" s="1411" t="str">
        <f t="shared" si="4"/>
        <v>Stratford</v>
      </c>
      <c r="AC50" s="1411" t="str">
        <f t="shared" si="4"/>
        <v>Tamworth</v>
      </c>
      <c r="AD50" s="1411" t="str">
        <f t="shared" si="4"/>
        <v>Worcester</v>
      </c>
    </row>
    <row r="51" spans="1:30" ht="39" customHeight="1" thickBot="1" x14ac:dyDescent="0.35">
      <c r="A51" s="424"/>
      <c r="B51" s="1416"/>
      <c r="C51" s="433"/>
      <c r="D51" s="456" t="s">
        <v>64</v>
      </c>
      <c r="E51" s="457">
        <f>E9</f>
        <v>1</v>
      </c>
      <c r="F51" s="457"/>
      <c r="G51" s="56"/>
      <c r="H51" s="474" t="s">
        <v>465</v>
      </c>
      <c r="I51" s="459"/>
      <c r="J51" s="433"/>
      <c r="K51" s="460" t="s">
        <v>67</v>
      </c>
      <c r="L51" s="461" t="str">
        <f>L9</f>
        <v>Rugby &amp; N'hampton</v>
      </c>
      <c r="M51" s="459"/>
      <c r="N51" s="459"/>
      <c r="O51" s="459"/>
      <c r="P51" s="462"/>
      <c r="Q51" s="460" t="s">
        <v>66</v>
      </c>
      <c r="R51" s="463" t="str">
        <f>R9</f>
        <v>17th May 2026</v>
      </c>
      <c r="S51" s="459"/>
      <c r="T51" s="459"/>
      <c r="U51" s="459"/>
      <c r="V51" s="459"/>
      <c r="W51" s="1412"/>
      <c r="X51" s="1412"/>
      <c r="Y51" s="1412"/>
      <c r="Z51" s="1412"/>
      <c r="AA51" s="1412"/>
      <c r="AB51" s="1412"/>
      <c r="AC51" s="1412"/>
      <c r="AD51" s="1412"/>
    </row>
    <row r="52" spans="1:30" ht="15" thickBot="1" x14ac:dyDescent="0.35">
      <c r="B52" s="506"/>
      <c r="C52" s="545" t="s">
        <v>168</v>
      </c>
      <c r="D52" s="33" t="s">
        <v>165</v>
      </c>
      <c r="E52" s="476"/>
      <c r="F52" s="546"/>
      <c r="G52" s="1413" t="s">
        <v>286</v>
      </c>
      <c r="H52" s="1413"/>
      <c r="I52" s="1414" t="s">
        <v>287</v>
      </c>
      <c r="J52" s="1414"/>
      <c r="K52" s="1414" t="s">
        <v>288</v>
      </c>
      <c r="L52" s="1414"/>
      <c r="M52" s="1414" t="s">
        <v>289</v>
      </c>
      <c r="N52" s="1414"/>
      <c r="O52" s="1414" t="s">
        <v>290</v>
      </c>
      <c r="P52" s="1414"/>
      <c r="Q52" s="1414" t="s">
        <v>291</v>
      </c>
      <c r="R52" s="1414"/>
      <c r="S52" s="1414" t="s">
        <v>292</v>
      </c>
      <c r="T52" s="1414"/>
      <c r="U52" s="1414" t="s">
        <v>293</v>
      </c>
      <c r="V52" s="1414"/>
      <c r="W52" s="477" t="str">
        <f>W$10</f>
        <v>S</v>
      </c>
      <c r="X52" s="477" t="str">
        <f t="shared" ref="X52:AD52" si="5">X$10</f>
        <v>U</v>
      </c>
      <c r="Y52" s="477" t="str">
        <f t="shared" si="5"/>
        <v>G</v>
      </c>
      <c r="Z52" s="477" t="str">
        <f t="shared" si="5"/>
        <v>R</v>
      </c>
      <c r="AA52" s="477" t="str">
        <f t="shared" si="5"/>
        <v>M</v>
      </c>
      <c r="AB52" s="477" t="str">
        <f t="shared" si="5"/>
        <v>D</v>
      </c>
      <c r="AC52" s="477" t="str">
        <f t="shared" si="5"/>
        <v>F</v>
      </c>
      <c r="AD52" s="477" t="str">
        <f t="shared" si="5"/>
        <v>Y</v>
      </c>
    </row>
    <row r="53" spans="1:30" x14ac:dyDescent="0.3">
      <c r="A53" s="118" t="str">
        <f>B54&amp;"A"</f>
        <v>6A</v>
      </c>
      <c r="B53" s="506"/>
      <c r="C53" s="478"/>
      <c r="D53" s="479" t="str">
        <f>VLOOKUP(B54,EventsOrder,4,FALSE)</f>
        <v>U12 Female</v>
      </c>
      <c r="E53" s="515" t="s">
        <v>149</v>
      </c>
      <c r="F53" s="480"/>
      <c r="G53" s="481" t="str">
        <f>VLOOKUP(($B54*10)+1,Results,$F$3,FALSE)</f>
        <v>Olive Lovelock</v>
      </c>
      <c r="H53" s="482"/>
      <c r="I53" s="483" t="str">
        <f>VLOOKUP(($B54*10)+2,Results,$F$3,FALSE)</f>
        <v>Jessica Blundell</v>
      </c>
      <c r="J53" s="482"/>
      <c r="K53" s="483" t="str">
        <f>VLOOKUP(($B54*10)+3,Results,$F$3,FALSE)</f>
        <v>Khushi Chanal</v>
      </c>
      <c r="L53" s="482"/>
      <c r="M53" s="483" t="str">
        <f>VLOOKUP(($B54*10)+4,Results,$F$3,FALSE)</f>
        <v xml:space="preserve">Alice Thompson </v>
      </c>
      <c r="N53" s="482"/>
      <c r="O53" s="483" t="str">
        <f>VLOOKUP(($B54*10)+5,Results,$F$3,FALSE)</f>
        <v>Peppi-Rose Sweet</v>
      </c>
      <c r="P53" s="482"/>
      <c r="Q53" s="483" t="str">
        <f>VLOOKUP(($B54*10)+6,Results,$F$3,FALSE)</f>
        <v>Bethany Gromski</v>
      </c>
      <c r="R53" s="484"/>
      <c r="S53" s="485" t="str">
        <f>VLOOKUP(($B54*10)+7,Results,$F$3,FALSE)</f>
        <v>Megan White</v>
      </c>
      <c r="T53" s="482"/>
      <c r="U53" s="483" t="str">
        <f>VLOOKUP(($B54*10)+8,Results,$F$3,FALSE)</f>
        <v xml:space="preserve">Lila Wilmore </v>
      </c>
      <c r="V53" s="486"/>
      <c r="W53" s="487"/>
      <c r="X53" s="488"/>
      <c r="Y53" s="488"/>
      <c r="Z53" s="488"/>
      <c r="AA53" s="488"/>
      <c r="AB53" s="488"/>
      <c r="AC53" s="488"/>
      <c r="AD53" s="489"/>
    </row>
    <row r="54" spans="1:30" ht="15" thickBot="1" x14ac:dyDescent="0.35">
      <c r="A54" s="118" t="str">
        <f>B54&amp;"A"</f>
        <v>6A</v>
      </c>
      <c r="B54" s="24">
        <v>6</v>
      </c>
      <c r="C54" s="221">
        <f>VLOOKUP(B54,EventsOrder,2,FALSE)</f>
        <v>11.45</v>
      </c>
      <c r="D54" s="490"/>
      <c r="E54" s="11"/>
      <c r="F54" s="492"/>
      <c r="G54" s="493" t="str">
        <f>VLOOKUP(($B54*10)+1,Results,$G$3,FALSE)</f>
        <v>Rugby</v>
      </c>
      <c r="H54" s="573">
        <f>VLOOKUP(($B54*10)+1,Results,$H$3,FALSE)</f>
        <v>25.28</v>
      </c>
      <c r="I54" s="495" t="str">
        <f>VLOOKUP(($B54*10)+2,Results,$G$3,FALSE)</f>
        <v>Sol</v>
      </c>
      <c r="J54" s="573">
        <f>VLOOKUP(($B54*10)+2,Results,$H$3,FALSE)</f>
        <v>17.579999999999998</v>
      </c>
      <c r="K54" s="495" t="str">
        <f>VLOOKUP(($B54*10)+3,Results,$G$3,FALSE)</f>
        <v>BRAT</v>
      </c>
      <c r="L54" s="573">
        <f>VLOOKUP(($B54*10)+3,Results,$H$3,FALSE)</f>
        <v>16.38</v>
      </c>
      <c r="M54" s="495" t="str">
        <f>VLOOKUP(($B54*10)+4,Results,$G$3,FALSE)</f>
        <v>K&amp;S</v>
      </c>
      <c r="N54" s="573">
        <f>VLOOKUP(($B54*10)+4,Results,$H$3,FALSE)</f>
        <v>16.059999999999999</v>
      </c>
      <c r="O54" s="495" t="str">
        <f>VLOOKUP(($B54*10)+5,Results,$G$3,FALSE)</f>
        <v>Tam</v>
      </c>
      <c r="P54" s="573">
        <f>VLOOKUP(($B54*10)+5,Results,$H$3,FALSE)</f>
        <v>16.010000000000002</v>
      </c>
      <c r="Q54" s="495" t="str">
        <f>VLOOKUP(($B54*10)+6,Results,$G$3,FALSE)</f>
        <v>Worc</v>
      </c>
      <c r="R54" s="574">
        <f>VLOOKUP(($B54*10)+6,Results,$H$3,FALSE)</f>
        <v>15.65</v>
      </c>
      <c r="S54" s="496" t="str">
        <f>VLOOKUP(($B54*10)+7,Results,$G$3,FALSE)</f>
        <v>Strat</v>
      </c>
      <c r="T54" s="573">
        <f>VLOOKUP(($B54*10)+7,Results,$H$3,FALSE)</f>
        <v>13.61</v>
      </c>
      <c r="U54" s="495" t="str">
        <f>VLOOKUP(($B54*10)+8,Results,$G$3,FALSE)</f>
        <v>Royal</v>
      </c>
      <c r="V54" s="528">
        <f>VLOOKUP(($B54*10)+8,Results,$H$3,FALSE)</f>
        <v>12.52</v>
      </c>
      <c r="W54" s="498">
        <f>VLOOKUP(($B54*10)+1,Results,$I$3,FALSE)</f>
        <v>6</v>
      </c>
      <c r="X54" s="499">
        <f>VLOOKUP(($B54*10)+2,Results,$I$3,FALSE)</f>
        <v>5</v>
      </c>
      <c r="Y54" s="499">
        <f>VLOOKUP(($B54*10)+3,Results,$I$3,FALSE)</f>
        <v>1</v>
      </c>
      <c r="Z54" s="499">
        <f>VLOOKUP(($B54*10)+4,Results,$I$3,FALSE)</f>
        <v>8</v>
      </c>
      <c r="AA54" s="499">
        <f>VLOOKUP(($B54*10)+5,Results,$I$3,FALSE)</f>
        <v>7</v>
      </c>
      <c r="AB54" s="499">
        <f>VLOOKUP(($B54*10)+6,Results,$I$3,FALSE)</f>
        <v>2</v>
      </c>
      <c r="AC54" s="499">
        <f>VLOOKUP(($B54*10)+7,Results,$I$3,FALSE)</f>
        <v>4</v>
      </c>
      <c r="AD54" s="500">
        <f>VLOOKUP(($B54*10)+8,Results,$I$3,FALSE)</f>
        <v>3</v>
      </c>
    </row>
    <row r="55" spans="1:30" x14ac:dyDescent="0.3">
      <c r="A55" s="118" t="str">
        <f>B54&amp;"B"</f>
        <v>6B</v>
      </c>
      <c r="B55" s="506"/>
      <c r="D55" s="479" t="str">
        <f>VLOOKUP(B54,EventsOrder,3,FALSE)</f>
        <v>Howler</v>
      </c>
      <c r="E55" s="515" t="s">
        <v>94</v>
      </c>
      <c r="F55" s="68" t="str">
        <f>VLOOKUP(B54,EventsOrder,5,FALSE)</f>
        <v/>
      </c>
      <c r="G55" s="481" t="str">
        <f>VLOOKUP(($B54*10)+1,Results,$F$4,FALSE)</f>
        <v>Molly Dale</v>
      </c>
      <c r="H55" s="482"/>
      <c r="I55" s="483" t="str">
        <f>VLOOKUP(($B54*10)+2,Results,$F$4,FALSE)</f>
        <v>Florence Castle</v>
      </c>
      <c r="J55" s="482"/>
      <c r="K55" s="483" t="str">
        <f>VLOOKUP(($B54*10)+3,Results,$F$4,FALSE)</f>
        <v>Annabelle Hadland</v>
      </c>
      <c r="L55" s="482"/>
      <c r="M55" s="483" t="str">
        <f>VLOOKUP(($B54*10)+4,Results,$F$4,FALSE)</f>
        <v>Alica Bland</v>
      </c>
      <c r="N55" s="482"/>
      <c r="O55" s="483" t="str">
        <f>VLOOKUP(($B54*10)+5,Results,$F$4,FALSE)</f>
        <v>Sophia Thomas</v>
      </c>
      <c r="P55" s="482"/>
      <c r="Q55" s="483" t="str">
        <f>VLOOKUP(($B54*10)+6,Results,$F$4,FALSE)</f>
        <v>Bea Sims</v>
      </c>
      <c r="R55" s="484"/>
      <c r="S55" s="485" t="str">
        <f>VLOOKUP(($B54*10)+7,Results,$F$4,FALSE)</f>
        <v>Izzy Jaques</v>
      </c>
      <c r="T55" s="482"/>
      <c r="U55" s="483" t="str">
        <f>VLOOKUP(($B54*10)+8,Results,$F$4,FALSE)</f>
        <v>Rosie Warrilow</v>
      </c>
      <c r="V55" s="486"/>
      <c r="W55" s="487"/>
      <c r="X55" s="488"/>
      <c r="Y55" s="488"/>
      <c r="Z55" s="488"/>
      <c r="AA55" s="488"/>
      <c r="AB55" s="488"/>
      <c r="AC55" s="488"/>
      <c r="AD55" s="489"/>
    </row>
    <row r="56" spans="1:30" ht="15" thickBot="1" x14ac:dyDescent="0.35">
      <c r="A56" s="118" t="str">
        <f>B54&amp;"B"</f>
        <v>6B</v>
      </c>
      <c r="B56" s="506"/>
      <c r="C56" s="501"/>
      <c r="D56" s="502"/>
      <c r="E56" s="523"/>
      <c r="F56" s="503"/>
      <c r="G56" s="493" t="str">
        <f>VLOOKUP(($B54*10)+1,Results,$G$4,FALSE)</f>
        <v>Sol</v>
      </c>
      <c r="H56" s="573">
        <f>VLOOKUP(($B54*10)+1,Results,$H$4,FALSE)</f>
        <v>16.91</v>
      </c>
      <c r="I56" s="495" t="str">
        <f>VLOOKUP(($B54*10)+2,Results,$G$4,FALSE)</f>
        <v>Strat</v>
      </c>
      <c r="J56" s="573">
        <f>VLOOKUP(($B54*10)+2,Results,$H$4,FALSE)</f>
        <v>13.52</v>
      </c>
      <c r="K56" s="495" t="str">
        <f>VLOOKUP(($B54*10)+3,Results,$G$4,FALSE)</f>
        <v>Worc</v>
      </c>
      <c r="L56" s="573">
        <f>VLOOKUP(($B54*10)+3,Results,$H$4,FALSE)</f>
        <v>12.62</v>
      </c>
      <c r="M56" s="495" t="str">
        <f>VLOOKUP(($B54*10)+4,Results,$G$4,FALSE)</f>
        <v>K&amp;S</v>
      </c>
      <c r="N56" s="573">
        <f>VLOOKUP(($B54*10)+4,Results,$H$4,FALSE)</f>
        <v>12.56</v>
      </c>
      <c r="O56" s="495" t="str">
        <f>VLOOKUP(($B54*10)+5,Results,$G$4,FALSE)</f>
        <v>BRAT</v>
      </c>
      <c r="P56" s="573">
        <f>VLOOKUP(($B54*10)+5,Results,$H$4,FALSE)</f>
        <v>11.41</v>
      </c>
      <c r="Q56" s="495" t="str">
        <f>VLOOKUP(($B54*10)+6,Results,$G$4,FALSE)</f>
        <v>Royal</v>
      </c>
      <c r="R56" s="574">
        <f>VLOOKUP(($B54*10)+6,Results,$H$4,FALSE)</f>
        <v>11.36</v>
      </c>
      <c r="S56" s="496" t="str">
        <f>VLOOKUP(($B54*10)+7,Results,$G$4,FALSE)</f>
        <v>Tam</v>
      </c>
      <c r="T56" s="573">
        <f>VLOOKUP(($B54*10)+7,Results,$H$4,FALSE)</f>
        <v>9.3800000000000008</v>
      </c>
      <c r="U56" s="495" t="str">
        <f>VLOOKUP(($B54*10)+8,Results,$G$4,FALSE)</f>
        <v>Rugby</v>
      </c>
      <c r="V56" s="528">
        <f>VLOOKUP(($B54*10)+8,Results,$H$4,FALSE)</f>
        <v>9.0500000000000007</v>
      </c>
      <c r="W56" s="498">
        <f>VLOOKUP(($B54*10)+1,Results,$I$4,FALSE)</f>
        <v>4</v>
      </c>
      <c r="X56" s="499">
        <f>VLOOKUP(($B54*10)+2,Results,$I$4,FALSE)</f>
        <v>5</v>
      </c>
      <c r="Y56" s="499">
        <f>VLOOKUP(($B54*10)+3,Results,$I$4,FALSE)</f>
        <v>3</v>
      </c>
      <c r="Z56" s="499">
        <f>VLOOKUP(($B54*10)+4,Results,$I$4,FALSE)</f>
        <v>1</v>
      </c>
      <c r="AA56" s="499">
        <f>VLOOKUP(($B54*10)+5,Results,$I$4,FALSE)</f>
        <v>8</v>
      </c>
      <c r="AB56" s="499">
        <f>VLOOKUP(($B54*10)+6,Results,$I$4,FALSE)</f>
        <v>7</v>
      </c>
      <c r="AC56" s="499">
        <f>VLOOKUP(($B54*10)+7,Results,$I$4,FALSE)</f>
        <v>2</v>
      </c>
      <c r="AD56" s="500">
        <f>VLOOKUP(($B54*10)+8,Results,$I$4,FALSE)</f>
        <v>6</v>
      </c>
    </row>
    <row r="57" spans="1:30" x14ac:dyDescent="0.3">
      <c r="A57" s="118" t="str">
        <f>B58&amp;"A"</f>
        <v>32A</v>
      </c>
      <c r="B57" s="506"/>
      <c r="C57" s="478"/>
      <c r="D57" s="479" t="str">
        <f>VLOOKUP(B58,EventsOrder,4,FALSE)</f>
        <v>U12 Female</v>
      </c>
      <c r="E57" s="515" t="s">
        <v>149</v>
      </c>
      <c r="F57" s="480"/>
      <c r="G57" s="481" t="str">
        <f>VLOOKUP(($B58*10)+1,Results,$F$3,FALSE)</f>
        <v xml:space="preserve">Alice Thompson </v>
      </c>
      <c r="H57" s="482"/>
      <c r="I57" s="483" t="str">
        <f>VLOOKUP(($B58*10)+2,Results,$F$3,FALSE)</f>
        <v xml:space="preserve">Indie Upton </v>
      </c>
      <c r="J57" s="482"/>
      <c r="K57" s="483" t="str">
        <f>VLOOKUP(($B58*10)+3,Results,$F$3,FALSE)</f>
        <v>Martha Waterson</v>
      </c>
      <c r="L57" s="482"/>
      <c r="M57" s="483" t="str">
        <f>VLOOKUP(($B58*10)+4,Results,$F$3,FALSE)</f>
        <v>Izzy Jaques</v>
      </c>
      <c r="N57" s="482"/>
      <c r="O57" s="483" t="str">
        <f>VLOOKUP(($B58*10)+5,Results,$F$3,FALSE)</f>
        <v>Daisy Lawes</v>
      </c>
      <c r="P57" s="482"/>
      <c r="Q57" s="483" t="str">
        <f>VLOOKUP(($B58*10)+6,Results,$F$3,FALSE)</f>
        <v xml:space="preserve">
Azucena Cereceda</v>
      </c>
      <c r="R57" s="484"/>
      <c r="S57" s="485" t="str">
        <f>VLOOKUP(($B58*10)+7,Results,$F$3,FALSE)</f>
        <v>Sophie Ross</v>
      </c>
      <c r="T57" s="482"/>
      <c r="U57" s="483" t="str">
        <f>VLOOKUP(($B58*10)+8,Results,$F$3,FALSE)</f>
        <v>Quinn Lancaster</v>
      </c>
      <c r="V57" s="486"/>
      <c r="W57" s="487"/>
      <c r="X57" s="488"/>
      <c r="Y57" s="488"/>
      <c r="Z57" s="488"/>
      <c r="AA57" s="488"/>
      <c r="AB57" s="488"/>
      <c r="AC57" s="488"/>
      <c r="AD57" s="489"/>
    </row>
    <row r="58" spans="1:30" ht="15" thickBot="1" x14ac:dyDescent="0.35">
      <c r="A58" s="118" t="str">
        <f>B58&amp;"A"</f>
        <v>32A</v>
      </c>
      <c r="B58" s="24">
        <v>32</v>
      </c>
      <c r="C58" s="221">
        <f>VLOOKUP(B58,EventsOrder,2,FALSE)</f>
        <v>1.5</v>
      </c>
      <c r="D58" s="490"/>
      <c r="E58" s="11"/>
      <c r="F58" s="492"/>
      <c r="G58" s="493" t="str">
        <f>VLOOKUP(($B58*10)+1,Results,$G$3,FALSE)</f>
        <v>K&amp;S</v>
      </c>
      <c r="H58" s="494" t="str">
        <f>VLOOKUP(($B58*10)+1,Results,$H$3,FALSE)</f>
        <v>1.48.9</v>
      </c>
      <c r="I58" s="495" t="str">
        <f>VLOOKUP(($B58*10)+2,Results,$G$3,FALSE)</f>
        <v>Royal</v>
      </c>
      <c r="J58" s="494" t="str">
        <f>VLOOKUP(($B58*10)+2,Results,$H$3,FALSE)</f>
        <v>1.52.4</v>
      </c>
      <c r="K58" s="495" t="str">
        <f>VLOOKUP(($B58*10)+3,Results,$G$3,FALSE)</f>
        <v>Rugby</v>
      </c>
      <c r="L58" s="494" t="str">
        <f>VLOOKUP(($B58*10)+3,Results,$H$3,FALSE)</f>
        <v>1.57.9</v>
      </c>
      <c r="M58" s="495" t="str">
        <f>VLOOKUP(($B58*10)+4,Results,$G$3,FALSE)</f>
        <v>Tam</v>
      </c>
      <c r="N58" s="494" t="str">
        <f>VLOOKUP(($B58*10)+4,Results,$H$3,FALSE)</f>
        <v>2.03.3</v>
      </c>
      <c r="O58" s="495" t="str">
        <f>VLOOKUP(($B58*10)+5,Results,$G$3,FALSE)</f>
        <v>Worc</v>
      </c>
      <c r="P58" s="494" t="str">
        <f>VLOOKUP(($B58*10)+5,Results,$H$3,FALSE)</f>
        <v>2.05.7</v>
      </c>
      <c r="Q58" s="495" t="str">
        <f>VLOOKUP(($B58*10)+6,Results,$G$3,FALSE)</f>
        <v>BRAT</v>
      </c>
      <c r="R58" s="495" t="str">
        <f>VLOOKUP(($B58*10)+6,Results,$H$3,FALSE)</f>
        <v>2.07.7</v>
      </c>
      <c r="S58" s="496" t="str">
        <f>VLOOKUP(($B58*10)+7,Results,$G$3,FALSE)</f>
        <v>Sol</v>
      </c>
      <c r="T58" s="494" t="str">
        <f>VLOOKUP(($B58*10)+7,Results,$H$3,FALSE)</f>
        <v>2.09.9</v>
      </c>
      <c r="U58" s="495" t="str">
        <f>VLOOKUP(($B58*10)+8,Results,$G$3,FALSE)</f>
        <v>Strat</v>
      </c>
      <c r="V58" s="497" t="str">
        <f>VLOOKUP(($B58*10)+8,Results,$H$3,FALSE)</f>
        <v>2.10.3</v>
      </c>
      <c r="W58" s="498">
        <f>VLOOKUP(($B58*10)+1,Results,$I$3,FALSE)</f>
        <v>3</v>
      </c>
      <c r="X58" s="499">
        <f>VLOOKUP(($B58*10)+2,Results,$I$3,FALSE)</f>
        <v>8</v>
      </c>
      <c r="Y58" s="499">
        <f>VLOOKUP(($B58*10)+3,Results,$I$3,FALSE)</f>
        <v>7</v>
      </c>
      <c r="Z58" s="499">
        <f>VLOOKUP(($B58*10)+4,Results,$I$3,FALSE)</f>
        <v>6</v>
      </c>
      <c r="AA58" s="499">
        <f>VLOOKUP(($B58*10)+5,Results,$I$3,FALSE)</f>
        <v>2</v>
      </c>
      <c r="AB58" s="499">
        <f>VLOOKUP(($B58*10)+6,Results,$I$3,FALSE)</f>
        <v>1</v>
      </c>
      <c r="AC58" s="499">
        <f>VLOOKUP(($B58*10)+7,Results,$I$3,FALSE)</f>
        <v>5</v>
      </c>
      <c r="AD58" s="500">
        <f>VLOOKUP(($B58*10)+8,Results,$I$3,FALSE)</f>
        <v>4</v>
      </c>
    </row>
    <row r="59" spans="1:30" x14ac:dyDescent="0.3">
      <c r="A59" s="118" t="str">
        <f>B58&amp;"B"</f>
        <v>32B</v>
      </c>
      <c r="B59" s="506"/>
      <c r="D59" s="479" t="str">
        <f>VLOOKUP(B58,EventsOrder,3,FALSE)</f>
        <v>600m</v>
      </c>
      <c r="E59" s="515" t="s">
        <v>94</v>
      </c>
      <c r="F59" s="68" t="str">
        <f>VLOOKUP(B58,EventsOrder,5,FALSE)</f>
        <v/>
      </c>
      <c r="G59" s="481" t="str">
        <f>VLOOKUP(($B58*10)+1,Results,$F$4,FALSE)</f>
        <v xml:space="preserve">Taylor Upton </v>
      </c>
      <c r="H59" s="482"/>
      <c r="I59" s="483" t="str">
        <f>VLOOKUP(($B58*10)+2,Results,$F$4,FALSE)</f>
        <v xml:space="preserve">Isabelle Evans </v>
      </c>
      <c r="J59" s="482"/>
      <c r="K59" s="483" t="str">
        <f>VLOOKUP(($B58*10)+3,Results,$F$4,FALSE)</f>
        <v>Clara Knight-Dutton</v>
      </c>
      <c r="L59" s="482"/>
      <c r="M59" s="483" t="str">
        <f>VLOOKUP(($B58*10)+4,Results,$F$4,FALSE)</f>
        <v>Beatrix Thompson</v>
      </c>
      <c r="N59" s="482"/>
      <c r="O59" s="483" t="str">
        <f>VLOOKUP(($B58*10)+5,Results,$F$4,FALSE)</f>
        <v>Daisy Crook</v>
      </c>
      <c r="P59" s="482"/>
      <c r="Q59" s="483" t="str">
        <f>VLOOKUP(($B58*10)+6,Results,$F$4,FALSE)</f>
        <v>Florence Castle</v>
      </c>
      <c r="R59" s="484"/>
      <c r="S59" s="485" t="str">
        <f>VLOOKUP(($B58*10)+7,Results,$F$4,FALSE)</f>
        <v>Chloe Brown</v>
      </c>
      <c r="T59" s="482"/>
      <c r="U59" s="483" t="str">
        <f>VLOOKUP(($B58*10)+8,Results,$F$4,FALSE)</f>
        <v>Bethany Gromski</v>
      </c>
      <c r="V59" s="486"/>
      <c r="W59" s="487"/>
      <c r="X59" s="488"/>
      <c r="Y59" s="488"/>
      <c r="Z59" s="488"/>
      <c r="AA59" s="488"/>
      <c r="AB59" s="488"/>
      <c r="AC59" s="488"/>
      <c r="AD59" s="489"/>
    </row>
    <row r="60" spans="1:30" ht="15" thickBot="1" x14ac:dyDescent="0.35">
      <c r="A60" s="118" t="str">
        <f>B58&amp;"B"</f>
        <v>32B</v>
      </c>
      <c r="B60" s="506"/>
      <c r="C60" s="501"/>
      <c r="D60" s="502"/>
      <c r="E60" s="523"/>
      <c r="F60" s="503"/>
      <c r="G60" s="493" t="str">
        <f>VLOOKUP(($B58*10)+1,Results,$G$4,FALSE)</f>
        <v>Royal</v>
      </c>
      <c r="H60" s="494" t="str">
        <f>VLOOKUP(($B58*10)+1,Results,$H$4,FALSE)</f>
        <v>1.52.5</v>
      </c>
      <c r="I60" s="495" t="str">
        <f>VLOOKUP(($B58*10)+2,Results,$G$4,FALSE)</f>
        <v>K&amp;S</v>
      </c>
      <c r="J60" s="494" t="str">
        <f>VLOOKUP(($B58*10)+2,Results,$H$4,FALSE)</f>
        <v>2.04.2</v>
      </c>
      <c r="K60" s="495" t="str">
        <f>VLOOKUP(($B58*10)+3,Results,$G$4,FALSE)</f>
        <v>Tam</v>
      </c>
      <c r="L60" s="494" t="str">
        <f>VLOOKUP(($B58*10)+3,Results,$H$4,FALSE)</f>
        <v>2.05.9</v>
      </c>
      <c r="M60" s="495" t="str">
        <f>VLOOKUP(($B58*10)+4,Results,$G$4,FALSE)</f>
        <v>BRAT</v>
      </c>
      <c r="N60" s="494" t="str">
        <f>VLOOKUP(($B58*10)+4,Results,$H$4,FALSE)</f>
        <v>2.08.9</v>
      </c>
      <c r="O60" s="495" t="str">
        <f>VLOOKUP(($B58*10)+5,Results,$G$4,FALSE)</f>
        <v>Rugby</v>
      </c>
      <c r="P60" s="494" t="str">
        <f>VLOOKUP(($B58*10)+5,Results,$H$4,FALSE)</f>
        <v>2.09.5</v>
      </c>
      <c r="Q60" s="495" t="str">
        <f>VLOOKUP(($B58*10)+6,Results,$G$4,FALSE)</f>
        <v>Strat</v>
      </c>
      <c r="R60" s="495" t="str">
        <f>VLOOKUP(($B58*10)+6,Results,$H$4,FALSE)</f>
        <v>2.10.6</v>
      </c>
      <c r="S60" s="496" t="str">
        <f>VLOOKUP(($B58*10)+7,Results,$G$4,FALSE)</f>
        <v>Sol</v>
      </c>
      <c r="T60" s="494" t="str">
        <f>VLOOKUP(($B58*10)+7,Results,$H$4,FALSE)</f>
        <v>2.11.7</v>
      </c>
      <c r="U60" s="495" t="str">
        <f>VLOOKUP(($B58*10)+8,Results,$G$4,FALSE)</f>
        <v>Worc</v>
      </c>
      <c r="V60" s="497" t="str">
        <f>VLOOKUP(($B58*10)+8,Results,$H$4,FALSE)</f>
        <v>2.12.0</v>
      </c>
      <c r="W60" s="498">
        <f>VLOOKUP(($B58*10)+1,Results,$I$4,FALSE)</f>
        <v>5</v>
      </c>
      <c r="X60" s="499">
        <f>VLOOKUP(($B58*10)+2,Results,$I$4,FALSE)</f>
        <v>7</v>
      </c>
      <c r="Y60" s="499">
        <f>VLOOKUP(($B58*10)+3,Results,$I$4,FALSE)</f>
        <v>8</v>
      </c>
      <c r="Z60" s="499">
        <f>VLOOKUP(($B58*10)+4,Results,$I$4,FALSE)</f>
        <v>4</v>
      </c>
      <c r="AA60" s="499">
        <f>VLOOKUP(($B58*10)+5,Results,$I$4,FALSE)</f>
        <v>2</v>
      </c>
      <c r="AB60" s="499">
        <f>VLOOKUP(($B58*10)+6,Results,$I$4,FALSE)</f>
        <v>3</v>
      </c>
      <c r="AC60" s="499">
        <f>VLOOKUP(($B58*10)+7,Results,$I$4,FALSE)</f>
        <v>6</v>
      </c>
      <c r="AD60" s="500">
        <f>VLOOKUP(($B58*10)+8,Results,$I$4,FALSE)</f>
        <v>1</v>
      </c>
    </row>
    <row r="61" spans="1:30" x14ac:dyDescent="0.3">
      <c r="A61" s="118" t="str">
        <f>B62&amp;"A"</f>
        <v>40A</v>
      </c>
      <c r="B61" s="506"/>
      <c r="C61" s="478"/>
      <c r="D61" s="479" t="str">
        <f>VLOOKUP(B62,EventsOrder,4,FALSE)</f>
        <v>U12 Female</v>
      </c>
      <c r="E61" s="515" t="s">
        <v>149</v>
      </c>
      <c r="F61" s="480"/>
      <c r="G61" s="481" t="str">
        <f>VLOOKUP(($B62*10)+1,Results,$F$3,FALSE)</f>
        <v xml:space="preserve">Taylor Upton </v>
      </c>
      <c r="H61" s="482"/>
      <c r="I61" s="483" t="str">
        <f>VLOOKUP(($B62*10)+2,Results,$F$3,FALSE)</f>
        <v>Layla Phelan</v>
      </c>
      <c r="J61" s="482"/>
      <c r="K61" s="483" t="str">
        <f>VLOOKUP(($B62*10)+3,Results,$F$3,FALSE)</f>
        <v>Saskia Atkins</v>
      </c>
      <c r="L61" s="482"/>
      <c r="M61" s="483" t="str">
        <f>VLOOKUP(($B62*10)+4,Results,$F$3,FALSE)</f>
        <v>Eden Farmer</v>
      </c>
      <c r="N61" s="482"/>
      <c r="O61" s="483" t="str">
        <f>VLOOKUP(($B62*10)+5,Results,$F$3,FALSE)</f>
        <v>Megan Mabey</v>
      </c>
      <c r="P61" s="482"/>
      <c r="Q61" s="483" t="str">
        <f>VLOOKUP(($B62*10)+6,Results,$F$3,FALSE)</f>
        <v xml:space="preserve">Alice Thompson </v>
      </c>
      <c r="R61" s="484"/>
      <c r="S61" s="485" t="str">
        <f>VLOOKUP(($B62*10)+7,Results,$F$3,FALSE)</f>
        <v>Jessica Blundell</v>
      </c>
      <c r="T61" s="482"/>
      <c r="U61" s="483" t="str">
        <f>VLOOKUP(($B62*10)+8,Results,$F$3,FALSE)</f>
        <v>Azucena Cereceda</v>
      </c>
      <c r="V61" s="486"/>
      <c r="W61" s="487"/>
      <c r="X61" s="488"/>
      <c r="Y61" s="488"/>
      <c r="Z61" s="488"/>
      <c r="AA61" s="488"/>
      <c r="AB61" s="488"/>
      <c r="AC61" s="488"/>
      <c r="AD61" s="489"/>
    </row>
    <row r="62" spans="1:30" ht="15" thickBot="1" x14ac:dyDescent="0.35">
      <c r="A62" s="118" t="str">
        <f>B62&amp;"A"</f>
        <v>40A</v>
      </c>
      <c r="B62" s="24">
        <v>40</v>
      </c>
      <c r="C62" s="221">
        <f>VLOOKUP(B62,EventsOrder,2,FALSE)</f>
        <v>2.1</v>
      </c>
      <c r="D62" s="490"/>
      <c r="E62" s="11"/>
      <c r="F62" s="492"/>
      <c r="G62" s="493" t="str">
        <f>VLOOKUP(($B62*10)+1,Results,$G$3,FALSE)</f>
        <v>Royal</v>
      </c>
      <c r="H62" s="573">
        <f>VLOOKUP(($B62*10)+1,Results,$H$3,FALSE)</f>
        <v>3.86</v>
      </c>
      <c r="I62" s="495" t="str">
        <f>VLOOKUP(($B62*10)+2,Results,$G$3,FALSE)</f>
        <v>Rugby</v>
      </c>
      <c r="J62" s="573">
        <f>VLOOKUP(($B62*10)+2,Results,$H$3,FALSE)</f>
        <v>3.82</v>
      </c>
      <c r="K62" s="495" t="str">
        <f>VLOOKUP(($B62*10)+3,Results,$G$3,FALSE)</f>
        <v>Strat</v>
      </c>
      <c r="L62" s="573">
        <f>VLOOKUP(($B62*10)+3,Results,$H$3,FALSE)</f>
        <v>3.79</v>
      </c>
      <c r="M62" s="495" t="str">
        <f>VLOOKUP(($B62*10)+4,Results,$G$3,FALSE)</f>
        <v>Tam</v>
      </c>
      <c r="N62" s="573">
        <f>VLOOKUP(($B62*10)+4,Results,$H$3,FALSE)</f>
        <v>3.65</v>
      </c>
      <c r="O62" s="495" t="str">
        <f>VLOOKUP(($B62*10)+5,Results,$G$3,FALSE)</f>
        <v>Worc</v>
      </c>
      <c r="P62" s="573">
        <f>VLOOKUP(($B62*10)+5,Results,$H$3,FALSE)</f>
        <v>3.53</v>
      </c>
      <c r="Q62" s="495" t="str">
        <f>VLOOKUP(($B62*10)+6,Results,$G$3,FALSE)</f>
        <v>K&amp;S</v>
      </c>
      <c r="R62" s="574">
        <f>VLOOKUP(($B62*10)+6,Results,$H$3,FALSE)</f>
        <v>3.45</v>
      </c>
      <c r="S62" s="496" t="str">
        <f>VLOOKUP(($B62*10)+7,Results,$G$3,FALSE)</f>
        <v>Sol</v>
      </c>
      <c r="T62" s="573">
        <f>VLOOKUP(($B62*10)+7,Results,$H$3,FALSE)</f>
        <v>3.39</v>
      </c>
      <c r="U62" s="495" t="str">
        <f>VLOOKUP(($B62*10)+8,Results,$G$3,FALSE)</f>
        <v>BRAT</v>
      </c>
      <c r="V62" s="528">
        <f>VLOOKUP(($B62*10)+8,Results,$H$3,FALSE)</f>
        <v>2.98</v>
      </c>
      <c r="W62" s="498">
        <f>VLOOKUP(($B62*10)+1,Results,$I$3,FALSE)</f>
        <v>1</v>
      </c>
      <c r="X62" s="499">
        <f>VLOOKUP(($B62*10)+2,Results,$I$3,FALSE)</f>
        <v>3</v>
      </c>
      <c r="Y62" s="499">
        <f>VLOOKUP(($B62*10)+3,Results,$I$3,FALSE)</f>
        <v>8</v>
      </c>
      <c r="Z62" s="499">
        <f>VLOOKUP(($B62*10)+4,Results,$I$3,FALSE)</f>
        <v>7</v>
      </c>
      <c r="AA62" s="499">
        <f>VLOOKUP(($B62*10)+5,Results,$I$3,FALSE)</f>
        <v>2</v>
      </c>
      <c r="AB62" s="499">
        <f>VLOOKUP(($B62*10)+6,Results,$I$3,FALSE)</f>
        <v>6</v>
      </c>
      <c r="AC62" s="499">
        <f>VLOOKUP(($B62*10)+7,Results,$I$3,FALSE)</f>
        <v>5</v>
      </c>
      <c r="AD62" s="500">
        <f>VLOOKUP(($B62*10)+8,Results,$I$3,FALSE)</f>
        <v>4</v>
      </c>
    </row>
    <row r="63" spans="1:30" x14ac:dyDescent="0.3">
      <c r="A63" s="118" t="str">
        <f>B62&amp;"B"</f>
        <v>40B</v>
      </c>
      <c r="B63" s="506"/>
      <c r="D63" s="479" t="str">
        <f>VLOOKUP(B62,EventsOrder,3,FALSE)</f>
        <v>Long Jump</v>
      </c>
      <c r="E63" s="515" t="s">
        <v>94</v>
      </c>
      <c r="F63" s="68" t="str">
        <f>VLOOKUP(B62,EventsOrder,5,FALSE)</f>
        <v>Pit 2</v>
      </c>
      <c r="G63" s="481" t="str">
        <f>VLOOKUP(($B62*10)+1,Results,$F$4,FALSE)</f>
        <v>Rosie Warrilow</v>
      </c>
      <c r="H63" s="482"/>
      <c r="I63" s="483" t="str">
        <f>VLOOKUP(($B62*10)+2,Results,$F$4,FALSE)</f>
        <v>Elsie Gould</v>
      </c>
      <c r="J63" s="482"/>
      <c r="K63" s="483" t="str">
        <f>VLOOKUP(($B62*10)+3,Results,$F$4,FALSE)</f>
        <v xml:space="preserve">Isabelle wakeman </v>
      </c>
      <c r="L63" s="482"/>
      <c r="M63" s="483" t="str">
        <f>VLOOKUP(($B62*10)+4,Results,$F$4,FALSE)</f>
        <v>Peppi-Rose Sweet</v>
      </c>
      <c r="N63" s="482"/>
      <c r="O63" s="483" t="str">
        <f>VLOOKUP(($B62*10)+5,Results,$F$4,FALSE)</f>
        <v>Ella Dyer</v>
      </c>
      <c r="P63" s="482"/>
      <c r="Q63" s="483" t="str">
        <f>VLOOKUP(($B62*10)+6,Results,$F$4,FALSE)</f>
        <v>Elizabeth Fowler</v>
      </c>
      <c r="R63" s="484"/>
      <c r="S63" s="485" t="str">
        <f>VLOOKUP(($B62*10)+7,Results,$F$4,FALSE)</f>
        <v xml:space="preserve">Polly Richards </v>
      </c>
      <c r="T63" s="482"/>
      <c r="U63" s="483" t="str">
        <f>VLOOKUP(($B62*10)+8,Results,$F$4,FALSE)</f>
        <v/>
      </c>
      <c r="V63" s="486"/>
      <c r="W63" s="487"/>
      <c r="X63" s="488"/>
      <c r="Y63" s="488"/>
      <c r="Z63" s="488"/>
      <c r="AA63" s="488"/>
      <c r="AB63" s="488"/>
      <c r="AC63" s="488"/>
      <c r="AD63" s="489"/>
    </row>
    <row r="64" spans="1:30" ht="15" thickBot="1" x14ac:dyDescent="0.35">
      <c r="A64" s="118" t="str">
        <f>B62&amp;"B"</f>
        <v>40B</v>
      </c>
      <c r="B64" s="506"/>
      <c r="C64" s="501"/>
      <c r="D64" s="502"/>
      <c r="E64" s="523"/>
      <c r="F64" s="503"/>
      <c r="G64" s="493" t="str">
        <f>VLOOKUP(($B62*10)+1,Results,$G$4,FALSE)</f>
        <v>Rugby</v>
      </c>
      <c r="H64" s="573">
        <f>VLOOKUP(($B62*10)+1,Results,$H$4,FALSE)</f>
        <v>3.56</v>
      </c>
      <c r="I64" s="495" t="str">
        <f>VLOOKUP(($B62*10)+2,Results,$G$4,FALSE)</f>
        <v>Strat</v>
      </c>
      <c r="J64" s="573">
        <f>VLOOKUP(($B62*10)+2,Results,$H$4,FALSE)</f>
        <v>3.48</v>
      </c>
      <c r="K64" s="495" t="str">
        <f>VLOOKUP(($B62*10)+3,Results,$G$4,FALSE)</f>
        <v>Royal</v>
      </c>
      <c r="L64" s="573">
        <f>VLOOKUP(($B62*10)+3,Results,$H$4,FALSE)</f>
        <v>3.36</v>
      </c>
      <c r="M64" s="495" t="str">
        <f>VLOOKUP(($B62*10)+4,Results,$G$4,FALSE)</f>
        <v>Tam</v>
      </c>
      <c r="N64" s="573">
        <f>VLOOKUP(($B62*10)+4,Results,$H$4,FALSE)</f>
        <v>2.98</v>
      </c>
      <c r="O64" s="495" t="str">
        <f>VLOOKUP(($B62*10)+5,Results,$G$4,FALSE)</f>
        <v>Worc</v>
      </c>
      <c r="P64" s="573">
        <f>VLOOKUP(($B62*10)+5,Results,$H$4,FALSE)</f>
        <v>2.83</v>
      </c>
      <c r="Q64" s="495" t="str">
        <f>VLOOKUP(($B62*10)+6,Results,$G$4,FALSE)</f>
        <v>Sol</v>
      </c>
      <c r="R64" s="574">
        <f>VLOOKUP(($B62*10)+6,Results,$H$4,FALSE)</f>
        <v>2.76</v>
      </c>
      <c r="S64" s="496" t="str">
        <f>VLOOKUP(($B62*10)+7,Results,$G$4,FALSE)</f>
        <v>K&amp;S</v>
      </c>
      <c r="T64" s="573">
        <f>VLOOKUP(($B62*10)+7,Results,$H$4,FALSE)</f>
        <v>2.63</v>
      </c>
      <c r="U64" s="495">
        <f>VLOOKUP(($B62*10)+8,Results,$G$4,FALSE)</f>
        <v>0</v>
      </c>
      <c r="V64" s="528">
        <f>VLOOKUP(($B62*10)+8,Results,$H$4,FALSE)</f>
        <v>0</v>
      </c>
      <c r="W64" s="498">
        <f>VLOOKUP(($B62*10)+1,Results,$I$4,FALSE)</f>
        <v>0</v>
      </c>
      <c r="X64" s="499">
        <f>VLOOKUP(($B62*10)+2,Results,$I$4,FALSE)</f>
        <v>2</v>
      </c>
      <c r="Y64" s="499">
        <f>VLOOKUP(($B62*10)+3,Results,$I$4,FALSE)</f>
        <v>6</v>
      </c>
      <c r="Z64" s="499">
        <f>VLOOKUP(($B62*10)+4,Results,$I$4,FALSE)</f>
        <v>8</v>
      </c>
      <c r="AA64" s="499">
        <f>VLOOKUP(($B62*10)+5,Results,$I$4,FALSE)</f>
        <v>3</v>
      </c>
      <c r="AB64" s="499">
        <f>VLOOKUP(($B62*10)+6,Results,$I$4,FALSE)</f>
        <v>7</v>
      </c>
      <c r="AC64" s="499">
        <f>VLOOKUP(($B62*10)+7,Results,$I$4,FALSE)</f>
        <v>5</v>
      </c>
      <c r="AD64" s="500">
        <f>VLOOKUP(($B62*10)+8,Results,$I$4,FALSE)</f>
        <v>4</v>
      </c>
    </row>
    <row r="65" spans="1:30" x14ac:dyDescent="0.3">
      <c r="A65" s="118" t="str">
        <f>B66&amp;"A"</f>
        <v>50A</v>
      </c>
      <c r="B65" s="506"/>
      <c r="C65" s="478"/>
      <c r="D65" s="479" t="str">
        <f>VLOOKUP(B66,EventsOrder,4,FALSE)</f>
        <v>U12 Female</v>
      </c>
      <c r="E65" s="515" t="s">
        <v>149</v>
      </c>
      <c r="F65" s="480"/>
      <c r="G65" s="481" t="str">
        <f>VLOOKUP(($B66*10)+1,Results,$F$3,FALSE)</f>
        <v xml:space="preserve">Lila Wilmore </v>
      </c>
      <c r="H65" s="482"/>
      <c r="I65" s="483" t="str">
        <f>VLOOKUP(($B66*10)+2,Results,$F$3,FALSE)</f>
        <v>Tavayah Lennox</v>
      </c>
      <c r="J65" s="482"/>
      <c r="K65" s="483" t="str">
        <f>VLOOKUP(($B66*10)+3,Results,$F$3,FALSE)</f>
        <v>Megan White</v>
      </c>
      <c r="L65" s="482"/>
      <c r="M65" s="483" t="str">
        <f>VLOOKUP(($B66*10)+4,Results,$F$3,FALSE)</f>
        <v>Eden Farmer</v>
      </c>
      <c r="N65" s="482"/>
      <c r="O65" s="483" t="str">
        <f>VLOOKUP(($B66*10)+5,Results,$F$3,FALSE)</f>
        <v>Molly Dale</v>
      </c>
      <c r="P65" s="482"/>
      <c r="Q65" s="483" t="str">
        <f>VLOOKUP(($B66*10)+6,Results,$F$3,FALSE)</f>
        <v>Beatrice-Rosie Follows</v>
      </c>
      <c r="R65" s="484"/>
      <c r="S65" s="485" t="str">
        <f>VLOOKUP(($B66*10)+7,Results,$F$3,FALSE)</f>
        <v>Ella Dyer</v>
      </c>
      <c r="T65" s="482"/>
      <c r="U65" s="483" t="str">
        <f>VLOOKUP(($B66*10)+8,Results,$F$3,FALSE)</f>
        <v xml:space="preserve">Amelija Mendelyte </v>
      </c>
      <c r="V65" s="486"/>
      <c r="W65" s="487"/>
      <c r="X65" s="488"/>
      <c r="Y65" s="488"/>
      <c r="Z65" s="488"/>
      <c r="AA65" s="488"/>
      <c r="AB65" s="488"/>
      <c r="AC65" s="488"/>
      <c r="AD65" s="489"/>
    </row>
    <row r="66" spans="1:30" ht="15" thickBot="1" x14ac:dyDescent="0.35">
      <c r="A66" s="118" t="str">
        <f>B66&amp;"A"</f>
        <v>50A</v>
      </c>
      <c r="B66" s="24">
        <v>50</v>
      </c>
      <c r="C66" s="221">
        <f>VLOOKUP(B66,EventsOrder,2,FALSE)</f>
        <v>3</v>
      </c>
      <c r="D66" s="490"/>
      <c r="E66" s="11"/>
      <c r="F66" s="492"/>
      <c r="G66" s="493" t="str">
        <f>VLOOKUP(($B66*10)+1,Results,$G$3,FALSE)</f>
        <v>Royal</v>
      </c>
      <c r="H66" s="505">
        <f>VLOOKUP(($B66*10)+1,Results,$H$3,FALSE)</f>
        <v>10.9</v>
      </c>
      <c r="I66" s="495" t="str">
        <f>VLOOKUP(($B66*10)+2,Results,$G$3,FALSE)</f>
        <v>Rugby</v>
      </c>
      <c r="J66" s="505">
        <f>VLOOKUP(($B66*10)+2,Results,$H$3,FALSE)</f>
        <v>11.1</v>
      </c>
      <c r="K66" s="495" t="str">
        <f>VLOOKUP(($B66*10)+3,Results,$G$3,FALSE)</f>
        <v>Strat</v>
      </c>
      <c r="L66" s="505">
        <f>VLOOKUP(($B66*10)+3,Results,$H$3,FALSE)</f>
        <v>11.3</v>
      </c>
      <c r="M66" s="495" t="str">
        <f>VLOOKUP(($B66*10)+4,Results,$G$3,FALSE)</f>
        <v>Tam</v>
      </c>
      <c r="N66" s="505">
        <f>VLOOKUP(($B66*10)+4,Results,$H$3,FALSE)</f>
        <v>11.4</v>
      </c>
      <c r="O66" s="495" t="str">
        <f>VLOOKUP(($B66*10)+5,Results,$G$3,FALSE)</f>
        <v>Sol</v>
      </c>
      <c r="P66" s="505">
        <f>VLOOKUP(($B66*10)+5,Results,$H$3,FALSE)</f>
        <v>11.7</v>
      </c>
      <c r="Q66" s="495" t="str">
        <f>VLOOKUP(($B66*10)+6,Results,$G$3,FALSE)</f>
        <v>BRAT</v>
      </c>
      <c r="R66" s="1009">
        <f>VLOOKUP(($B66*10)+6,Results,$H$3,FALSE)</f>
        <v>11.9</v>
      </c>
      <c r="S66" s="496" t="str">
        <f>VLOOKUP(($B66*10)+7,Results,$G$3,FALSE)</f>
        <v>Worc</v>
      </c>
      <c r="T66" s="505">
        <f>VLOOKUP(($B66*10)+7,Results,$H$3,FALSE)</f>
        <v>12.3</v>
      </c>
      <c r="U66" s="495" t="str">
        <f>VLOOKUP(($B66*10)+8,Results,$G$3,FALSE)</f>
        <v>K&amp;S</v>
      </c>
      <c r="V66" s="601">
        <f>VLOOKUP(($B66*10)+8,Results,$H$3,FALSE)</f>
        <v>12.4</v>
      </c>
      <c r="W66" s="498">
        <f>VLOOKUP(($B66*10)+1,Results,$I$3,FALSE)</f>
        <v>3</v>
      </c>
      <c r="X66" s="499">
        <f>VLOOKUP(($B66*10)+2,Results,$I$3,FALSE)</f>
        <v>1</v>
      </c>
      <c r="Y66" s="499">
        <f>VLOOKUP(($B66*10)+3,Results,$I$3,FALSE)</f>
        <v>8</v>
      </c>
      <c r="Z66" s="499">
        <f>VLOOKUP(($B66*10)+4,Results,$I$3,FALSE)</f>
        <v>7</v>
      </c>
      <c r="AA66" s="499">
        <f>VLOOKUP(($B66*10)+5,Results,$I$3,FALSE)</f>
        <v>4</v>
      </c>
      <c r="AB66" s="499">
        <f>VLOOKUP(($B66*10)+6,Results,$I$3,FALSE)</f>
        <v>6</v>
      </c>
      <c r="AC66" s="499">
        <f>VLOOKUP(($B66*10)+7,Results,$I$3,FALSE)</f>
        <v>5</v>
      </c>
      <c r="AD66" s="500">
        <f>VLOOKUP(($B66*10)+8,Results,$I$3,FALSE)</f>
        <v>2</v>
      </c>
    </row>
    <row r="67" spans="1:30" x14ac:dyDescent="0.3">
      <c r="A67" s="118" t="str">
        <f>B66&amp;"B"</f>
        <v>50B</v>
      </c>
      <c r="B67" s="506"/>
      <c r="D67" s="479" t="str">
        <f>VLOOKUP(B66,EventsOrder,3,FALSE)</f>
        <v>75m</v>
      </c>
      <c r="E67" s="515" t="s">
        <v>94</v>
      </c>
      <c r="F67" s="68" t="str">
        <f>VLOOKUP(B66,EventsOrder,5,FALSE)</f>
        <v/>
      </c>
      <c r="G67" s="481" t="str">
        <f>VLOOKUP(($B66*10)+1,Results,$F$4,FALSE)</f>
        <v>Ava Lawrence</v>
      </c>
      <c r="H67" s="482"/>
      <c r="I67" s="483" t="str">
        <f>VLOOKUP(($B66*10)+2,Results,$F$4,FALSE)</f>
        <v>Elsie Gould</v>
      </c>
      <c r="J67" s="482"/>
      <c r="K67" s="483" t="str">
        <f>VLOOKUP(($B66*10)+3,Results,$F$4,FALSE)</f>
        <v>Alica Bland</v>
      </c>
      <c r="L67" s="482"/>
      <c r="M67" s="483" t="str">
        <f>VLOOKUP(($B66*10)+4,Results,$F$4,FALSE)</f>
        <v>Annabelle Hadland</v>
      </c>
      <c r="N67" s="482"/>
      <c r="O67" s="483" t="str">
        <f>VLOOKUP(($B66*10)+5,Results,$F$4,FALSE)</f>
        <v>Peppi-Rose Sweet</v>
      </c>
      <c r="P67" s="482"/>
      <c r="Q67" s="483" t="str">
        <f>VLOOKUP(($B66*10)+6,Results,$F$4,FALSE)</f>
        <v xml:space="preserve">Isabelle Wakeman </v>
      </c>
      <c r="R67" s="484"/>
      <c r="S67" s="485" t="str">
        <f>VLOOKUP(($B66*10)+7,Results,$F$4,FALSE)</f>
        <v>Khushi Chanal</v>
      </c>
      <c r="T67" s="482"/>
      <c r="U67" s="483" t="str">
        <f>VLOOKUP(($B66*10)+8,Results,$F$4,FALSE)</f>
        <v>Seren Dhami</v>
      </c>
      <c r="V67" s="486"/>
      <c r="W67" s="487"/>
      <c r="X67" s="488"/>
      <c r="Y67" s="488"/>
      <c r="Z67" s="488"/>
      <c r="AA67" s="488"/>
      <c r="AB67" s="488"/>
      <c r="AC67" s="488"/>
      <c r="AD67" s="489"/>
    </row>
    <row r="68" spans="1:30" ht="15" thickBot="1" x14ac:dyDescent="0.35">
      <c r="A68" s="118" t="str">
        <f>B66&amp;"B"</f>
        <v>50B</v>
      </c>
      <c r="B68" s="506"/>
      <c r="C68" s="501"/>
      <c r="D68" s="502"/>
      <c r="E68" s="523"/>
      <c r="F68" s="503"/>
      <c r="G68" s="493" t="str">
        <f>VLOOKUP(($B66*10)+1,Results,$G$4,FALSE)</f>
        <v>Rugby</v>
      </c>
      <c r="H68" s="505">
        <f>VLOOKUP(($B66*10)+1,Results,$H$4,FALSE)</f>
        <v>11.1</v>
      </c>
      <c r="I68" s="495" t="str">
        <f>VLOOKUP(($B66*10)+2,Results,$G$4,FALSE)</f>
        <v>Strat</v>
      </c>
      <c r="J68" s="505">
        <f>VLOOKUP(($B66*10)+2,Results,$H$4,FALSE)</f>
        <v>11.4</v>
      </c>
      <c r="K68" s="495" t="str">
        <f>VLOOKUP(($B66*10)+3,Results,$G$4,FALSE)</f>
        <v>K&amp;S</v>
      </c>
      <c r="L68" s="505">
        <f>VLOOKUP(($B66*10)+3,Results,$H$4,FALSE)</f>
        <v>11.9</v>
      </c>
      <c r="M68" s="495" t="str">
        <f>VLOOKUP(($B66*10)+4,Results,$G$4,FALSE)</f>
        <v>Worc</v>
      </c>
      <c r="N68" s="505">
        <f>VLOOKUP(($B66*10)+4,Results,$H$4,FALSE)</f>
        <v>12.1</v>
      </c>
      <c r="O68" s="495" t="str">
        <f>VLOOKUP(($B66*10)+5,Results,$G$4,FALSE)</f>
        <v>Tam</v>
      </c>
      <c r="P68" s="505">
        <f>VLOOKUP(($B66*10)+5,Results,$H$4,FALSE)</f>
        <v>12.2</v>
      </c>
      <c r="Q68" s="495" t="str">
        <f>VLOOKUP(($B66*10)+6,Results,$G$4,FALSE)</f>
        <v>Royal</v>
      </c>
      <c r="R68" s="1009">
        <f>VLOOKUP(($B66*10)+6,Results,$H$4,FALSE)</f>
        <v>12.2</v>
      </c>
      <c r="S68" s="496" t="str">
        <f>VLOOKUP(($B66*10)+7,Results,$G$4,FALSE)</f>
        <v>BRAT</v>
      </c>
      <c r="T68" s="505">
        <f>VLOOKUP(($B66*10)+7,Results,$H$4,FALSE)</f>
        <v>13.1</v>
      </c>
      <c r="U68" s="495" t="str">
        <f>VLOOKUP(($B66*10)+8,Results,$G$4,FALSE)</f>
        <v>Sol</v>
      </c>
      <c r="V68" s="601">
        <f>VLOOKUP(($B66*10)+8,Results,$H$4,FALSE)</f>
        <v>13.4</v>
      </c>
      <c r="W68" s="498">
        <f>VLOOKUP(($B66*10)+1,Results,$I$4,FALSE)</f>
        <v>2</v>
      </c>
      <c r="X68" s="499">
        <f>VLOOKUP(($B66*10)+2,Results,$I$4,FALSE)</f>
        <v>6</v>
      </c>
      <c r="Y68" s="499">
        <f>VLOOKUP(($B66*10)+3,Results,$I$4,FALSE)</f>
        <v>3</v>
      </c>
      <c r="Z68" s="499">
        <f>VLOOKUP(($B66*10)+4,Results,$I$4,FALSE)</f>
        <v>8</v>
      </c>
      <c r="AA68" s="499">
        <f>VLOOKUP(($B66*10)+5,Results,$I$4,FALSE)</f>
        <v>1</v>
      </c>
      <c r="AB68" s="499">
        <f>VLOOKUP(($B66*10)+6,Results,$I$4,FALSE)</f>
        <v>7</v>
      </c>
      <c r="AC68" s="499">
        <f>VLOOKUP(($B66*10)+7,Results,$I$4,FALSE)</f>
        <v>4</v>
      </c>
      <c r="AD68" s="500">
        <f>VLOOKUP(($B66*10)+8,Results,$I$4,FALSE)</f>
        <v>5</v>
      </c>
    </row>
    <row r="69" spans="1:30" x14ac:dyDescent="0.3">
      <c r="A69" s="118" t="str">
        <f>B70&amp;"A"</f>
        <v>51A</v>
      </c>
      <c r="B69" s="506"/>
      <c r="C69" s="478"/>
      <c r="D69" s="479" t="str">
        <f>VLOOKUP(B70,EventsOrder,4,FALSE)</f>
        <v>U12 Female</v>
      </c>
      <c r="E69" s="515" t="s">
        <v>149</v>
      </c>
      <c r="F69" s="480"/>
      <c r="G69" s="481" t="str">
        <f>VLOOKUP(($B70*10)+1,Results,$F$3,FALSE)</f>
        <v xml:space="preserve">Lila Wilmore </v>
      </c>
      <c r="H69" s="482"/>
      <c r="I69" s="483" t="str">
        <f>VLOOKUP(($B70*10)+2,Results,$F$3,FALSE)</f>
        <v>Anabel Amankwah</v>
      </c>
      <c r="J69" s="482"/>
      <c r="K69" s="483" t="str">
        <f>VLOOKUP(($B70*10)+3,Results,$F$3,FALSE)</f>
        <v>Layla Phelan</v>
      </c>
      <c r="L69" s="482"/>
      <c r="M69" s="483" t="str">
        <f>VLOOKUP(($B70*10)+4,Results,$F$3,FALSE)</f>
        <v>Saskia Atkins</v>
      </c>
      <c r="N69" s="482"/>
      <c r="O69" s="483" t="str">
        <f>VLOOKUP(($B70*10)+5,Results,$F$3,FALSE)</f>
        <v>Jessica Blundell</v>
      </c>
      <c r="P69" s="482"/>
      <c r="Q69" s="483" t="str">
        <f>VLOOKUP(($B70*10)+6,Results,$F$3,FALSE)</f>
        <v xml:space="preserve">Polly Richards </v>
      </c>
      <c r="R69" s="484"/>
      <c r="S69" s="485" t="str">
        <f>VLOOKUP(($B70*10)+7,Results,$F$3,FALSE)</f>
        <v>Daisy Lawes</v>
      </c>
      <c r="T69" s="482"/>
      <c r="U69" s="483" t="str">
        <f>VLOOKUP(($B70*10)+8,Results,$F$3,FALSE)</f>
        <v xml:space="preserve">
Beatrice Rosie Follows</v>
      </c>
      <c r="V69" s="486"/>
      <c r="W69" s="487"/>
      <c r="X69" s="488"/>
      <c r="Y69" s="488"/>
      <c r="Z69" s="488"/>
      <c r="AA69" s="488"/>
      <c r="AB69" s="488"/>
      <c r="AC69" s="488"/>
      <c r="AD69" s="489"/>
    </row>
    <row r="70" spans="1:30" ht="15" thickBot="1" x14ac:dyDescent="0.35">
      <c r="A70" s="118" t="str">
        <f>B70&amp;"A"</f>
        <v>51A</v>
      </c>
      <c r="B70" s="24">
        <v>51</v>
      </c>
      <c r="C70" s="221">
        <f>VLOOKUP(B70,EventsOrder,2,FALSE)</f>
        <v>3.4</v>
      </c>
      <c r="D70" s="490"/>
      <c r="E70" s="11"/>
      <c r="F70" s="492"/>
      <c r="G70" s="493" t="str">
        <f>VLOOKUP(($B70*10)+1,Results,$G$3,FALSE)</f>
        <v>Royal</v>
      </c>
      <c r="H70" s="505">
        <f>VLOOKUP(($B70*10)+1,Results,$H$3,FALSE)</f>
        <v>21.7</v>
      </c>
      <c r="I70" s="495" t="str">
        <f>VLOOKUP(($B70*10)+2,Results,$G$3,FALSE)</f>
        <v>Tam</v>
      </c>
      <c r="J70" s="505">
        <f>VLOOKUP(($B70*10)+2,Results,$H$3,FALSE)</f>
        <v>22</v>
      </c>
      <c r="K70" s="495" t="str">
        <f>VLOOKUP(($B70*10)+3,Results,$G$3,FALSE)</f>
        <v>Rugby</v>
      </c>
      <c r="L70" s="505">
        <f>VLOOKUP(($B70*10)+3,Results,$H$3,FALSE)</f>
        <v>22.3</v>
      </c>
      <c r="M70" s="495" t="str">
        <f>VLOOKUP(($B70*10)+4,Results,$G$3,FALSE)</f>
        <v>Strat</v>
      </c>
      <c r="N70" s="505">
        <f>VLOOKUP(($B70*10)+4,Results,$H$3,FALSE)</f>
        <v>23</v>
      </c>
      <c r="O70" s="495" t="str">
        <f>VLOOKUP(($B70*10)+5,Results,$G$3,FALSE)</f>
        <v>Sol</v>
      </c>
      <c r="P70" s="505">
        <f>VLOOKUP(($B70*10)+5,Results,$H$3,FALSE)</f>
        <v>23.1</v>
      </c>
      <c r="Q70" s="495" t="str">
        <f>VLOOKUP(($B70*10)+6,Results,$G$3,FALSE)</f>
        <v>K&amp;S</v>
      </c>
      <c r="R70" s="1009">
        <f>VLOOKUP(($B70*10)+6,Results,$H$3,FALSE)</f>
        <v>23.8</v>
      </c>
      <c r="S70" s="496" t="str">
        <f>VLOOKUP(($B70*10)+7,Results,$G$3,FALSE)</f>
        <v>Worc</v>
      </c>
      <c r="T70" s="505">
        <f>VLOOKUP(($B70*10)+7,Results,$H$3,FALSE)</f>
        <v>24.2</v>
      </c>
      <c r="U70" s="495" t="str">
        <f>VLOOKUP(($B70*10)+8,Results,$G$3,FALSE)</f>
        <v>BRAT</v>
      </c>
      <c r="V70" s="601">
        <f>VLOOKUP(($B70*10)+8,Results,$H$3,FALSE)</f>
        <v>24.4</v>
      </c>
      <c r="W70" s="498">
        <f>VLOOKUP(($B70*10)+1,Results,$I$3,FALSE)</f>
        <v>1</v>
      </c>
      <c r="X70" s="499">
        <f>VLOOKUP(($B70*10)+2,Results,$I$3,FALSE)</f>
        <v>3</v>
      </c>
      <c r="Y70" s="499">
        <f>VLOOKUP(($B70*10)+3,Results,$I$3,FALSE)</f>
        <v>8</v>
      </c>
      <c r="Z70" s="499">
        <f>VLOOKUP(($B70*10)+4,Results,$I$3,FALSE)</f>
        <v>6</v>
      </c>
      <c r="AA70" s="499">
        <f>VLOOKUP(($B70*10)+5,Results,$I$3,FALSE)</f>
        <v>4</v>
      </c>
      <c r="AB70" s="499">
        <f>VLOOKUP(($B70*10)+6,Results,$I$3,FALSE)</f>
        <v>5</v>
      </c>
      <c r="AC70" s="499">
        <f>VLOOKUP(($B70*10)+7,Results,$I$3,FALSE)</f>
        <v>7</v>
      </c>
      <c r="AD70" s="500">
        <f>VLOOKUP(($B70*10)+8,Results,$I$3,FALSE)</f>
        <v>2</v>
      </c>
    </row>
    <row r="71" spans="1:30" x14ac:dyDescent="0.3">
      <c r="A71" s="118" t="str">
        <f>B70&amp;"B"</f>
        <v>51B</v>
      </c>
      <c r="B71" s="506"/>
      <c r="D71" s="479" t="str">
        <f>VLOOKUP(B70,EventsOrder,3,FALSE)</f>
        <v>150m</v>
      </c>
      <c r="E71" s="515" t="s">
        <v>94</v>
      </c>
      <c r="F71" s="68" t="str">
        <f>VLOOKUP(B70,EventsOrder,5,FALSE)</f>
        <v/>
      </c>
      <c r="G71" s="481" t="str">
        <f>VLOOKUP(($B70*10)+1,Results,$F$4,FALSE)</f>
        <v>Saffron Davies</v>
      </c>
      <c r="H71" s="482"/>
      <c r="I71" s="483" t="str">
        <f>VLOOKUP(($B70*10)+2,Results,$F$4,FALSE)</f>
        <v xml:space="preserve">Indie Upton </v>
      </c>
      <c r="J71" s="482"/>
      <c r="K71" s="483" t="str">
        <f>VLOOKUP(($B70*10)+3,Results,$F$4,FALSE)</f>
        <v>Elizabeth Fowler</v>
      </c>
      <c r="L71" s="482"/>
      <c r="M71" s="483" t="str">
        <f>VLOOKUP(($B70*10)+4,Results,$F$4,FALSE)</f>
        <v>Megan Mabey</v>
      </c>
      <c r="N71" s="482"/>
      <c r="O71" s="483" t="str">
        <f>VLOOKUP(($B70*10)+5,Results,$F$4,FALSE)</f>
        <v xml:space="preserve">Isabelle Evans </v>
      </c>
      <c r="P71" s="482"/>
      <c r="Q71" s="483" t="str">
        <f>VLOOKUP(($B70*10)+6,Results,$F$4,FALSE)</f>
        <v>Quinn Lancaster</v>
      </c>
      <c r="R71" s="484"/>
      <c r="S71" s="485" t="str">
        <f>VLOOKUP(($B70*10)+7,Results,$F$4,FALSE)</f>
        <v>Clara Knight-Dutton</v>
      </c>
      <c r="T71" s="482"/>
      <c r="U71" s="483" t="str">
        <f>VLOOKUP(($B70*10)+8,Results,$F$4,FALSE)</f>
        <v>Azucena Cereceda</v>
      </c>
      <c r="V71" s="486"/>
      <c r="W71" s="487"/>
      <c r="X71" s="488"/>
      <c r="Y71" s="488"/>
      <c r="Z71" s="488"/>
      <c r="AA71" s="488"/>
      <c r="AB71" s="488"/>
      <c r="AC71" s="488"/>
      <c r="AD71" s="489"/>
    </row>
    <row r="72" spans="1:30" ht="15" thickBot="1" x14ac:dyDescent="0.35">
      <c r="A72" s="118" t="str">
        <f>B70&amp;"B"</f>
        <v>51B</v>
      </c>
      <c r="B72" s="506"/>
      <c r="C72" s="501"/>
      <c r="D72" s="502"/>
      <c r="E72" s="523"/>
      <c r="F72" s="503"/>
      <c r="G72" s="493" t="str">
        <f>VLOOKUP(($B70*10)+1,Results,$G$4,FALSE)</f>
        <v>Rugby</v>
      </c>
      <c r="H72" s="505">
        <f>VLOOKUP(($B70*10)+1,Results,$H$4,FALSE)</f>
        <v>21.1</v>
      </c>
      <c r="I72" s="495" t="str">
        <f>VLOOKUP(($B70*10)+2,Results,$G$4,FALSE)</f>
        <v>Royal</v>
      </c>
      <c r="J72" s="505">
        <f>VLOOKUP(($B70*10)+2,Results,$H$4,FALSE)</f>
        <v>22.6</v>
      </c>
      <c r="K72" s="495" t="str">
        <f>VLOOKUP(($B70*10)+3,Results,$G$4,FALSE)</f>
        <v>Sol</v>
      </c>
      <c r="L72" s="505">
        <f>VLOOKUP(($B70*10)+3,Results,$H$4,FALSE)</f>
        <v>22.8</v>
      </c>
      <c r="M72" s="495" t="str">
        <f>VLOOKUP(($B70*10)+4,Results,$G$4,FALSE)</f>
        <v>Worc</v>
      </c>
      <c r="N72" s="505">
        <f>VLOOKUP(($B70*10)+4,Results,$H$4,FALSE)</f>
        <v>23.2</v>
      </c>
      <c r="O72" s="495" t="str">
        <f>VLOOKUP(($B70*10)+5,Results,$G$4,FALSE)</f>
        <v>K&amp;S</v>
      </c>
      <c r="P72" s="505">
        <f>VLOOKUP(($B70*10)+5,Results,$H$4,FALSE)</f>
        <v>23.3</v>
      </c>
      <c r="Q72" s="495" t="str">
        <f>VLOOKUP(($B70*10)+6,Results,$G$4,FALSE)</f>
        <v>Strat</v>
      </c>
      <c r="R72" s="1009">
        <f>VLOOKUP(($B70*10)+6,Results,$H$4,FALSE)</f>
        <v>23.3</v>
      </c>
      <c r="S72" s="496" t="str">
        <f>VLOOKUP(($B70*10)+7,Results,$G$4,FALSE)</f>
        <v>Tam</v>
      </c>
      <c r="T72" s="505">
        <f>VLOOKUP(($B70*10)+7,Results,$H$4,FALSE)</f>
        <v>23.4</v>
      </c>
      <c r="U72" s="495" t="str">
        <f>VLOOKUP(($B70*10)+8,Results,$G$4,FALSE)</f>
        <v>BRAT</v>
      </c>
      <c r="V72" s="601">
        <f>VLOOKUP(($B70*10)+8,Results,$H$4,FALSE)</f>
        <v>26</v>
      </c>
      <c r="W72" s="498">
        <f>VLOOKUP(($B70*10)+1,Results,$I$4,FALSE)</f>
        <v>1</v>
      </c>
      <c r="X72" s="499">
        <f>VLOOKUP(($B70*10)+2,Results,$I$4,FALSE)</f>
        <v>4</v>
      </c>
      <c r="Y72" s="499">
        <f>VLOOKUP(($B70*10)+3,Results,$I$4,FALSE)</f>
        <v>7</v>
      </c>
      <c r="Z72" s="499">
        <f>VLOOKUP(($B70*10)+4,Results,$I$4,FALSE)</f>
        <v>8</v>
      </c>
      <c r="AA72" s="499">
        <f>VLOOKUP(($B70*10)+5,Results,$I$4,FALSE)</f>
        <v>6</v>
      </c>
      <c r="AB72" s="499">
        <f>VLOOKUP(($B70*10)+6,Results,$I$4,FALSE)</f>
        <v>3</v>
      </c>
      <c r="AC72" s="499">
        <f>VLOOKUP(($B70*10)+7,Results,$I$4,FALSE)</f>
        <v>2</v>
      </c>
      <c r="AD72" s="500">
        <f>VLOOKUP(($B70*10)+8,Results,$I$4,FALSE)</f>
        <v>5</v>
      </c>
    </row>
    <row r="73" spans="1:30" x14ac:dyDescent="0.3">
      <c r="A73" s="118" t="str">
        <f>B74&amp;"A"</f>
        <v>0A</v>
      </c>
      <c r="B73" s="506"/>
      <c r="C73" s="478"/>
      <c r="D73" s="479">
        <f>VLOOKUP(B74,EventsOrder,4,FALSE)</f>
        <v>0</v>
      </c>
      <c r="E73" s="515" t="s">
        <v>149</v>
      </c>
      <c r="F73" s="480"/>
      <c r="G73" s="481">
        <f>VLOOKUP(($B74*10)+1,Results,$F$3,FALSE)</f>
        <v>0</v>
      </c>
      <c r="H73" s="482"/>
      <c r="I73" s="483">
        <f>VLOOKUP(($B74*10)+2,Results,$F$3,FALSE)</f>
        <v>0</v>
      </c>
      <c r="J73" s="482"/>
      <c r="K73" s="483">
        <f>VLOOKUP(($B74*10)+3,Results,$F$3,FALSE)</f>
        <v>0</v>
      </c>
      <c r="L73" s="482"/>
      <c r="M73" s="483">
        <f>VLOOKUP(($B74*10)+4,Results,$F$3,FALSE)</f>
        <v>0</v>
      </c>
      <c r="N73" s="482"/>
      <c r="O73" s="483">
        <f>VLOOKUP(($B74*10)+5,Results,$F$3,FALSE)</f>
        <v>0</v>
      </c>
      <c r="P73" s="482"/>
      <c r="Q73" s="483">
        <f>VLOOKUP(($B74*10)+6,Results,$F$3,FALSE)</f>
        <v>0</v>
      </c>
      <c r="R73" s="484"/>
      <c r="S73" s="485">
        <f>VLOOKUP(($B74*10)+7,Results,$F$3,FALSE)</f>
        <v>0</v>
      </c>
      <c r="T73" s="482"/>
      <c r="U73" s="483">
        <f>VLOOKUP(($B74*10)+8,Results,$F$3,FALSE)</f>
        <v>0</v>
      </c>
      <c r="V73" s="486"/>
      <c r="W73" s="487"/>
      <c r="X73" s="488"/>
      <c r="Y73" s="488"/>
      <c r="Z73" s="488"/>
      <c r="AA73" s="488"/>
      <c r="AB73" s="488"/>
      <c r="AC73" s="488"/>
      <c r="AD73" s="489"/>
    </row>
    <row r="74" spans="1:30" ht="15" thickBot="1" x14ac:dyDescent="0.35">
      <c r="A74" s="118" t="str">
        <f>B74&amp;"A"</f>
        <v>0A</v>
      </c>
      <c r="B74" s="1358">
        <v>0</v>
      </c>
      <c r="C74" s="221">
        <f>VLOOKUP(B74,EventsOrder,2,FALSE)</f>
        <v>0</v>
      </c>
      <c r="D74" s="490"/>
      <c r="E74" s="11"/>
      <c r="F74" s="492"/>
      <c r="G74" s="493">
        <f>VLOOKUP(($B74*10)+1,Results,$G$3,FALSE)</f>
        <v>0</v>
      </c>
      <c r="H74" s="505">
        <f>VLOOKUP(($B74*10)+1,Results,$H$3,FALSE)</f>
        <v>0</v>
      </c>
      <c r="I74" s="495">
        <f>VLOOKUP(($B74*10)+2,Results,$G$3,FALSE)</f>
        <v>0</v>
      </c>
      <c r="J74" s="505">
        <f>VLOOKUP(($B74*10)+2,Results,$H$3,FALSE)</f>
        <v>0</v>
      </c>
      <c r="K74" s="495">
        <f>VLOOKUP(($B74*10)+3,Results,$G$3,FALSE)</f>
        <v>0</v>
      </c>
      <c r="L74" s="505">
        <f>VLOOKUP(($B74*10)+3,Results,$H$3,FALSE)</f>
        <v>0</v>
      </c>
      <c r="M74" s="495">
        <f>VLOOKUP(($B74*10)+4,Results,$G$3,FALSE)</f>
        <v>0</v>
      </c>
      <c r="N74" s="505">
        <f>VLOOKUP(($B74*10)+4,Results,$H$3,FALSE)</f>
        <v>0</v>
      </c>
      <c r="O74" s="495">
        <f>VLOOKUP(($B74*10)+5,Results,$G$3,FALSE)</f>
        <v>0</v>
      </c>
      <c r="P74" s="505">
        <f>VLOOKUP(($B74*10)+5,Results,$H$3,FALSE)</f>
        <v>0</v>
      </c>
      <c r="Q74" s="495">
        <f>VLOOKUP(($B74*10)+6,Results,$G$3,FALSE)</f>
        <v>0</v>
      </c>
      <c r="R74" s="1009">
        <f>VLOOKUP(($B74*10)+6,Results,$H$3,FALSE)</f>
        <v>0</v>
      </c>
      <c r="S74" s="496">
        <f>VLOOKUP(($B74*10)+7,Results,$G$3,FALSE)</f>
        <v>0</v>
      </c>
      <c r="T74" s="505">
        <f>VLOOKUP(($B74*10)+7,Results,$H$3,FALSE)</f>
        <v>0</v>
      </c>
      <c r="U74" s="495">
        <f>VLOOKUP(($B74*10)+8,Results,$G$3,FALSE)</f>
        <v>0</v>
      </c>
      <c r="V74" s="601">
        <f>VLOOKUP(($B74*10)+8,Results,$H$3,FALSE)</f>
        <v>0</v>
      </c>
      <c r="W74" s="498">
        <f>VLOOKUP(($B74*10)+1,Results,$I$3,FALSE)</f>
        <v>0</v>
      </c>
      <c r="X74" s="499">
        <f>VLOOKUP(($B74*10)+2,Results,$I$3,FALSE)</f>
        <v>0</v>
      </c>
      <c r="Y74" s="499">
        <f>VLOOKUP(($B74*10)+3,Results,$I$3,FALSE)</f>
        <v>0</v>
      </c>
      <c r="Z74" s="499">
        <f>VLOOKUP(($B74*10)+4,Results,$I$3,FALSE)</f>
        <v>0</v>
      </c>
      <c r="AA74" s="499">
        <f>VLOOKUP(($B74*10)+5,Results,$I$3,FALSE)</f>
        <v>0</v>
      </c>
      <c r="AB74" s="499">
        <f>VLOOKUP(($B74*10)+6,Results,$I$3,FALSE)</f>
        <v>0</v>
      </c>
      <c r="AC74" s="499">
        <f>VLOOKUP(($B74*10)+7,Results,$I$3,FALSE)</f>
        <v>0</v>
      </c>
      <c r="AD74" s="500">
        <f>VLOOKUP(($B74*10)+8,Results,$I$3,FALSE)</f>
        <v>0</v>
      </c>
    </row>
    <row r="75" spans="1:30" x14ac:dyDescent="0.3">
      <c r="A75" s="118" t="str">
        <f>B74&amp;"B"</f>
        <v>0B</v>
      </c>
      <c r="B75" s="506"/>
      <c r="D75" s="479">
        <f>VLOOKUP(B74,EventsOrder,3,FALSE)</f>
        <v>0</v>
      </c>
      <c r="E75" s="515" t="s">
        <v>94</v>
      </c>
      <c r="F75" s="68" t="str">
        <f>VLOOKUP(B74,EventsOrder,5,FALSE)</f>
        <v xml:space="preserve"> </v>
      </c>
      <c r="G75" s="481">
        <f>VLOOKUP(($B74*10)+1,Results,$F$4,FALSE)</f>
        <v>0</v>
      </c>
      <c r="H75" s="482"/>
      <c r="I75" s="483">
        <f>VLOOKUP(($B74*10)+2,Results,$F$4,FALSE)</f>
        <v>0</v>
      </c>
      <c r="J75" s="482"/>
      <c r="K75" s="483">
        <f>VLOOKUP(($B74*10)+3,Results,$F$4,FALSE)</f>
        <v>0</v>
      </c>
      <c r="L75" s="482"/>
      <c r="M75" s="483">
        <f>VLOOKUP(($B74*10)+4,Results,$F$4,FALSE)</f>
        <v>0</v>
      </c>
      <c r="N75" s="482"/>
      <c r="O75" s="483">
        <f>VLOOKUP(($B74*10)+5,Results,$F$4,FALSE)</f>
        <v>0</v>
      </c>
      <c r="P75" s="482"/>
      <c r="Q75" s="483">
        <f>VLOOKUP(($B74*10)+6,Results,$F$4,FALSE)</f>
        <v>0</v>
      </c>
      <c r="R75" s="484"/>
      <c r="S75" s="485">
        <f>VLOOKUP(($B74*10)+7,Results,$F$4,FALSE)</f>
        <v>0</v>
      </c>
      <c r="T75" s="482"/>
      <c r="U75" s="483">
        <f>VLOOKUP(($B74*10)+8,Results,$F$4,FALSE)</f>
        <v>0</v>
      </c>
      <c r="V75" s="486"/>
      <c r="W75" s="487"/>
      <c r="X75" s="488"/>
      <c r="Y75" s="488"/>
      <c r="Z75" s="488"/>
      <c r="AA75" s="488"/>
      <c r="AB75" s="488"/>
      <c r="AC75" s="488"/>
      <c r="AD75" s="489"/>
    </row>
    <row r="76" spans="1:30" ht="15" thickBot="1" x14ac:dyDescent="0.35">
      <c r="A76" s="118" t="str">
        <f>B74&amp;"B"</f>
        <v>0B</v>
      </c>
      <c r="B76" s="506"/>
      <c r="C76" s="501"/>
      <c r="D76" s="502"/>
      <c r="E76" s="523"/>
      <c r="F76" s="503"/>
      <c r="G76" s="493">
        <f>VLOOKUP(($B74*10)+1,Results,$G$4,FALSE)</f>
        <v>0</v>
      </c>
      <c r="H76" s="505">
        <f>VLOOKUP(($B74*10)+1,Results,$H$4,FALSE)</f>
        <v>0</v>
      </c>
      <c r="I76" s="495">
        <f>VLOOKUP(($B74*10)+2,Results,$G$4,FALSE)</f>
        <v>0</v>
      </c>
      <c r="J76" s="505">
        <f>VLOOKUP(($B74*10)+2,Results,$H$4,FALSE)</f>
        <v>0</v>
      </c>
      <c r="K76" s="495">
        <f>VLOOKUP(($B74*10)+3,Results,$G$4,FALSE)</f>
        <v>0</v>
      </c>
      <c r="L76" s="505">
        <f>VLOOKUP(($B74*10)+3,Results,$H$4,FALSE)</f>
        <v>0</v>
      </c>
      <c r="M76" s="495">
        <f>VLOOKUP(($B74*10)+4,Results,$G$4,FALSE)</f>
        <v>0</v>
      </c>
      <c r="N76" s="505">
        <f>VLOOKUP(($B74*10)+4,Results,$H$4,FALSE)</f>
        <v>0</v>
      </c>
      <c r="O76" s="495">
        <f>VLOOKUP(($B74*10)+5,Results,$G$4,FALSE)</f>
        <v>0</v>
      </c>
      <c r="P76" s="505">
        <f>VLOOKUP(($B74*10)+5,Results,$H$4,FALSE)</f>
        <v>0</v>
      </c>
      <c r="Q76" s="495">
        <f>VLOOKUP(($B74*10)+6,Results,$G$4,FALSE)</f>
        <v>0</v>
      </c>
      <c r="R76" s="1009">
        <f>VLOOKUP(($B74*10)+6,Results,$H$4,FALSE)</f>
        <v>0</v>
      </c>
      <c r="S76" s="496">
        <f>VLOOKUP(($B74*10)+7,Results,$G$4,FALSE)</f>
        <v>0</v>
      </c>
      <c r="T76" s="505">
        <f>VLOOKUP(($B74*10)+7,Results,$H$4,FALSE)</f>
        <v>0</v>
      </c>
      <c r="U76" s="495">
        <f>VLOOKUP(($B74*10)+8,Results,$G$4,FALSE)</f>
        <v>0</v>
      </c>
      <c r="V76" s="601">
        <f>VLOOKUP(($B74*10)+8,Results,$H$4,FALSE)</f>
        <v>0</v>
      </c>
      <c r="W76" s="498">
        <f>VLOOKUP(($B74*10)+1,Results,$I$4,FALSE)</f>
        <v>0</v>
      </c>
      <c r="X76" s="499">
        <f>VLOOKUP(($B74*10)+2,Results,$I$4,FALSE)</f>
        <v>0</v>
      </c>
      <c r="Y76" s="499">
        <f>VLOOKUP(($B74*10)+3,Results,$I$4,FALSE)</f>
        <v>0</v>
      </c>
      <c r="Z76" s="499">
        <f>VLOOKUP(($B74*10)+4,Results,$I$4,FALSE)</f>
        <v>0</v>
      </c>
      <c r="AA76" s="499">
        <f>VLOOKUP(($B74*10)+5,Results,$I$4,FALSE)</f>
        <v>0</v>
      </c>
      <c r="AB76" s="499">
        <f>VLOOKUP(($B74*10)+6,Results,$I$4,FALSE)</f>
        <v>0</v>
      </c>
      <c r="AC76" s="499">
        <f>VLOOKUP(($B74*10)+7,Results,$I$4,FALSE)</f>
        <v>0</v>
      </c>
      <c r="AD76" s="500">
        <f>VLOOKUP(($B74*10)+8,Results,$I$4,FALSE)</f>
        <v>0</v>
      </c>
    </row>
    <row r="77" spans="1:30" x14ac:dyDescent="0.3">
      <c r="A77" s="118" t="str">
        <f>B78&amp;"A"</f>
        <v>A</v>
      </c>
      <c r="B77" s="506"/>
      <c r="D77" s="514"/>
      <c r="F77" s="68"/>
      <c r="G77" s="481">
        <f>VLOOKUP(($B78*10)+1,Results,$F$3,FALSE)</f>
        <v>0</v>
      </c>
      <c r="H77" s="482"/>
      <c r="I77" s="483">
        <f>VLOOKUP(($B78*10)+2,Results,$F$3,FALSE)</f>
        <v>0</v>
      </c>
      <c r="J77" s="482"/>
      <c r="K77" s="483">
        <f>VLOOKUP(($B78*10)+3,Results,$F$3,FALSE)</f>
        <v>0</v>
      </c>
      <c r="L77" s="482"/>
      <c r="M77" s="483">
        <f>VLOOKUP(($B78*10)+4,Results,$F$3,FALSE)</f>
        <v>0</v>
      </c>
      <c r="N77" s="482"/>
      <c r="O77" s="483">
        <f>VLOOKUP(($B78*10)+5,Results,$F$3,FALSE)</f>
        <v>0</v>
      </c>
      <c r="P77" s="482"/>
      <c r="Q77" s="483">
        <f>VLOOKUP(($B78*10)+6,Results,$F$3,FALSE)</f>
        <v>0</v>
      </c>
      <c r="R77" s="482"/>
      <c r="S77" s="483">
        <f>VLOOKUP(($B78*10)+7,Results,$F$3,FALSE)</f>
        <v>0</v>
      </c>
      <c r="T77" s="482"/>
      <c r="U77" s="483">
        <f>VLOOKUP(($B78*10)+8,Results,$F$3,FALSE)</f>
        <v>0</v>
      </c>
      <c r="V77" s="486"/>
      <c r="W77" s="1355"/>
      <c r="X77" s="1356"/>
      <c r="Y77" s="1356"/>
      <c r="Z77" s="1356"/>
      <c r="AA77" s="1356"/>
      <c r="AB77" s="1356"/>
      <c r="AC77" s="1356"/>
      <c r="AD77" s="1357"/>
    </row>
    <row r="78" spans="1:30" x14ac:dyDescent="0.3">
      <c r="A78" s="118" t="str">
        <f>B78&amp;"A"</f>
        <v>A</v>
      </c>
      <c r="B78" s="24"/>
      <c r="C78" s="221">
        <f>VLOOKUP(B78,EventsOrder,2,FALSE)</f>
        <v>0</v>
      </c>
      <c r="D78" s="479">
        <f>VLOOKUP(B78,EventsOrder,4,FALSE)</f>
        <v>0</v>
      </c>
      <c r="E78" s="515" t="s">
        <v>149</v>
      </c>
      <c r="F78" s="68" t="str">
        <f>VLOOKUP(B78,EventsOrder,5,FALSE)</f>
        <v xml:space="preserve"> </v>
      </c>
      <c r="G78" s="516">
        <f>VLOOKUP(($B78*10)+1,Results,$L$3,FALSE)</f>
        <v>0</v>
      </c>
      <c r="H78" s="517"/>
      <c r="I78" s="518">
        <f>VLOOKUP(($B78*10)+2,Results,$L$3,FALSE)</f>
        <v>0</v>
      </c>
      <c r="J78" s="517"/>
      <c r="K78" s="518">
        <f>VLOOKUP(($B78*10)+3,Results,$L$3,FALSE)</f>
        <v>0</v>
      </c>
      <c r="L78" s="517"/>
      <c r="M78" s="518">
        <f>VLOOKUP(($B78*10)+4,Results,$L$3,FALSE)</f>
        <v>0</v>
      </c>
      <c r="N78" s="517"/>
      <c r="O78" s="518">
        <f>VLOOKUP(($B78*10)+5,Results,$L$3,FALSE)</f>
        <v>0</v>
      </c>
      <c r="P78" s="517"/>
      <c r="Q78" s="518">
        <f>VLOOKUP(($B78*10)+6,Results,$L$3,FALSE)</f>
        <v>0</v>
      </c>
      <c r="R78" s="517"/>
      <c r="S78" s="518">
        <f>VLOOKUP(($B78*10)+7,Results,$L$3,FALSE)</f>
        <v>0</v>
      </c>
      <c r="T78" s="517"/>
      <c r="U78" s="518">
        <f>VLOOKUP(($B78*10)+8,Results,$L$3,FALSE)</f>
        <v>0</v>
      </c>
      <c r="V78" s="519"/>
      <c r="W78" s="1355"/>
      <c r="X78" s="1356"/>
      <c r="Y78" s="1356"/>
      <c r="Z78" s="1356"/>
      <c r="AA78" s="1356"/>
      <c r="AB78" s="1356"/>
      <c r="AC78" s="1356"/>
      <c r="AD78" s="1357"/>
    </row>
    <row r="79" spans="1:30" ht="15" thickBot="1" x14ac:dyDescent="0.35">
      <c r="A79" s="118" t="str">
        <f>B78&amp;"A"</f>
        <v>A</v>
      </c>
      <c r="B79" s="417"/>
      <c r="D79" s="490"/>
      <c r="E79" s="11"/>
      <c r="F79" s="15"/>
      <c r="G79" s="525">
        <f>VLOOKUP(($B78*10)+1,Results,$G$3,FALSE)</f>
        <v>0</v>
      </c>
      <c r="H79" s="526">
        <f>VLOOKUP(($B78*10)+1,Results,$H$3,FALSE)</f>
        <v>0</v>
      </c>
      <c r="I79" s="527">
        <f>VLOOKUP(($B78*10)+2,Results,$G$3,FALSE)</f>
        <v>0</v>
      </c>
      <c r="J79" s="526">
        <f>VLOOKUP(($B78*10)+2,Results,$H$3,FALSE)</f>
        <v>0</v>
      </c>
      <c r="K79" s="527">
        <f>VLOOKUP(($B78*10)+3,Results,$G$3,FALSE)</f>
        <v>0</v>
      </c>
      <c r="L79" s="526">
        <f>VLOOKUP(($B78*10)+3,Results,$H$3,FALSE)</f>
        <v>0</v>
      </c>
      <c r="M79" s="527">
        <f>VLOOKUP(($B78*10)+4,Results,$G$3,FALSE)</f>
        <v>0</v>
      </c>
      <c r="N79" s="526">
        <f>VLOOKUP(($B78*10)+4,Results,$H$3,FALSE)</f>
        <v>0</v>
      </c>
      <c r="O79" s="527">
        <f>VLOOKUP(($B78*10)+5,Results,$G$3,FALSE)</f>
        <v>0</v>
      </c>
      <c r="P79" s="526">
        <f>VLOOKUP(($B78*10)+5,Results,$H$3,FALSE)</f>
        <v>0</v>
      </c>
      <c r="Q79" s="527">
        <f>VLOOKUP(($B78*10)+6,Results,$G$3,FALSE)</f>
        <v>0</v>
      </c>
      <c r="R79" s="526">
        <f>VLOOKUP(($B78*10)+6,Results,$H$3,FALSE)</f>
        <v>0</v>
      </c>
      <c r="S79" s="527">
        <f>VLOOKUP(($B78*10)+7,Results,$G$3,FALSE)</f>
        <v>0</v>
      </c>
      <c r="T79" s="526">
        <f>VLOOKUP(($B78*10)+7,Results,$H$3,FALSE)</f>
        <v>0</v>
      </c>
      <c r="U79" s="527">
        <f>VLOOKUP(($B78*10)+8,Results,$G$3,FALSE)</f>
        <v>0</v>
      </c>
      <c r="V79" s="528">
        <f>VLOOKUP(($B78*10)+8,Results,$H$3,FALSE)</f>
        <v>0</v>
      </c>
      <c r="W79" s="498"/>
      <c r="X79" s="499"/>
      <c r="Y79" s="499"/>
      <c r="Z79" s="499"/>
      <c r="AA79" s="499"/>
      <c r="AB79" s="499"/>
      <c r="AC79" s="499"/>
      <c r="AD79" s="500"/>
    </row>
    <row r="80" spans="1:30" x14ac:dyDescent="0.3">
      <c r="A80" s="118" t="str">
        <f>B78&amp;"B"</f>
        <v>B</v>
      </c>
      <c r="B80" s="506"/>
      <c r="D80" s="479"/>
      <c r="E80" s="515"/>
      <c r="F80" s="82"/>
      <c r="G80" s="481">
        <f>VLOOKUP(($B78*10)+1,Results,$F$4,FALSE)</f>
        <v>0</v>
      </c>
      <c r="H80" s="482"/>
      <c r="I80" s="483">
        <f>VLOOKUP(($B78*10)+2,Results,$F$4,FALSE)</f>
        <v>0</v>
      </c>
      <c r="J80" s="482"/>
      <c r="K80" s="483">
        <f>VLOOKUP(($B78*10)+3,Results,$F$4,FALSE)</f>
        <v>0</v>
      </c>
      <c r="L80" s="482"/>
      <c r="M80" s="483">
        <f>VLOOKUP(($B78*10)+4,Results,$F$4,FALSE)</f>
        <v>0</v>
      </c>
      <c r="N80" s="482"/>
      <c r="O80" s="483">
        <f>VLOOKUP(($B78*10)+5,Results,$F$4,FALSE)</f>
        <v>0</v>
      </c>
      <c r="P80" s="482"/>
      <c r="Q80" s="483">
        <f>VLOOKUP(($B78*10)+6,Results,$F$4,FALSE)</f>
        <v>0</v>
      </c>
      <c r="R80" s="482"/>
      <c r="S80" s="483">
        <f>VLOOKUP(($B78*10)+7,Results,$F$4,FALSE)</f>
        <v>0</v>
      </c>
      <c r="T80" s="482"/>
      <c r="U80" s="483">
        <f>VLOOKUP(($B78*10)+8,Results,$F$4,FALSE)</f>
        <v>0</v>
      </c>
      <c r="V80" s="486"/>
      <c r="W80" s="1010"/>
      <c r="X80" s="605"/>
      <c r="Y80" s="605"/>
      <c r="Z80" s="605"/>
      <c r="AA80" s="605"/>
      <c r="AB80" s="605"/>
      <c r="AC80" s="605"/>
      <c r="AD80" s="1273"/>
    </row>
    <row r="81" spans="1:30" x14ac:dyDescent="0.3">
      <c r="A81" s="118" t="str">
        <f>B78&amp;"B"</f>
        <v>B</v>
      </c>
      <c r="B81" s="506"/>
      <c r="D81" s="479">
        <f>VLOOKUP(B78,EventsOrder,3,FALSE)</f>
        <v>0</v>
      </c>
      <c r="E81" s="515" t="s">
        <v>94</v>
      </c>
      <c r="F81" s="68" t="str">
        <f>VLOOKUP(B78,EventsOrder,5,FALSE)</f>
        <v xml:space="preserve"> </v>
      </c>
      <c r="G81" s="516">
        <f>VLOOKUP(($B78*10)+1,Results,$L$4,FALSE)</f>
        <v>0</v>
      </c>
      <c r="H81" s="517"/>
      <c r="I81" s="518">
        <f>VLOOKUP(($B78*10)+2,Results,$L$4,FALSE)</f>
        <v>0</v>
      </c>
      <c r="J81" s="517"/>
      <c r="K81" s="518">
        <f>VLOOKUP(($B78*10)+3,Results,$L$4,FALSE)</f>
        <v>0</v>
      </c>
      <c r="L81" s="517"/>
      <c r="M81" s="518">
        <f>VLOOKUP(($B78*10)+4,Results,$L$4,FALSE)</f>
        <v>0</v>
      </c>
      <c r="N81" s="517"/>
      <c r="O81" s="518">
        <f>VLOOKUP(($B78*10)+5,Results,$L$4,FALSE)</f>
        <v>0</v>
      </c>
      <c r="P81" s="517"/>
      <c r="Q81" s="518">
        <f>VLOOKUP(($B78*10)+6,Results,$L$4,FALSE)</f>
        <v>0</v>
      </c>
      <c r="R81" s="517"/>
      <c r="S81" s="518">
        <f>VLOOKUP(($B78*10)+7,Results,$L$4,FALSE)</f>
        <v>0</v>
      </c>
      <c r="T81" s="517"/>
      <c r="U81" s="518">
        <f>VLOOKUP(($B78*10)+8,Results,$L$4,FALSE)</f>
        <v>0</v>
      </c>
      <c r="V81" s="517"/>
      <c r="W81" s="1010"/>
      <c r="X81" s="1356"/>
      <c r="Y81" s="1356"/>
      <c r="Z81" s="1356"/>
      <c r="AA81" s="1356"/>
      <c r="AB81" s="1356"/>
      <c r="AC81" s="1356"/>
      <c r="AD81" s="1357"/>
    </row>
    <row r="82" spans="1:30" ht="15" thickBot="1" x14ac:dyDescent="0.35">
      <c r="A82" s="118" t="str">
        <f>B78&amp;"B"</f>
        <v>B</v>
      </c>
      <c r="B82" s="506"/>
      <c r="C82" s="501"/>
      <c r="D82" s="502"/>
      <c r="E82" s="523"/>
      <c r="F82" s="16"/>
      <c r="G82" s="525">
        <f>VLOOKUP(($B78*10)+1,Results,$G$4,FALSE)</f>
        <v>0</v>
      </c>
      <c r="H82" s="526">
        <f>VLOOKUP(($B78*10)+1,Results,$H$4,FALSE)</f>
        <v>0</v>
      </c>
      <c r="I82" s="527">
        <f>VLOOKUP(($B78*10)+2,Results,$G$4,FALSE)</f>
        <v>0</v>
      </c>
      <c r="J82" s="526">
        <f>VLOOKUP(($B78*10)+2,Results,$H$4,FALSE)</f>
        <v>0</v>
      </c>
      <c r="K82" s="527">
        <f>VLOOKUP(($B78*10)+3,Results,$G$4,FALSE)</f>
        <v>0</v>
      </c>
      <c r="L82" s="526">
        <f>VLOOKUP(($B78*10)+3,Results,$H$4,FALSE)</f>
        <v>0</v>
      </c>
      <c r="M82" s="527">
        <f>VLOOKUP(($B78*10)+4,Results,$G$4,FALSE)</f>
        <v>0</v>
      </c>
      <c r="N82" s="526">
        <f>VLOOKUP(($B78*10)+4,Results,$H$4,FALSE)</f>
        <v>0</v>
      </c>
      <c r="O82" s="527">
        <f>VLOOKUP(($B78*10)+5,Results,$G$4,FALSE)</f>
        <v>0</v>
      </c>
      <c r="P82" s="526">
        <f>VLOOKUP(($B78*10)+5,Results,$H$4,FALSE)</f>
        <v>0</v>
      </c>
      <c r="Q82" s="527">
        <f>VLOOKUP(($B78*10)+6,Results,$G$4,FALSE)</f>
        <v>0</v>
      </c>
      <c r="R82" s="526">
        <f>VLOOKUP(($B78*10)+6,Results,$H$4,FALSE)</f>
        <v>0</v>
      </c>
      <c r="S82" s="527">
        <f>VLOOKUP(($B78*10)+7,Results,$G$4,FALSE)</f>
        <v>0</v>
      </c>
      <c r="T82" s="526">
        <f>VLOOKUP(($B78*10)+7,Results,$H$4,FALSE)</f>
        <v>0</v>
      </c>
      <c r="U82" s="527">
        <f>VLOOKUP(($B78*10)+8,Results,$G$4,FALSE)</f>
        <v>0</v>
      </c>
      <c r="V82" s="526">
        <f>VLOOKUP(($B78*10)+8,Results,$H$4,FALSE)</f>
        <v>0</v>
      </c>
      <c r="W82" s="498"/>
      <c r="X82" s="499"/>
      <c r="Y82" s="499"/>
      <c r="Z82" s="499"/>
      <c r="AA82" s="499"/>
      <c r="AB82" s="499"/>
      <c r="AC82" s="499"/>
      <c r="AD82" s="500"/>
    </row>
    <row r="83" spans="1:30" x14ac:dyDescent="0.3">
      <c r="A83" s="118" t="str">
        <f>B84&amp;"A"</f>
        <v>A</v>
      </c>
      <c r="B83" s="506"/>
      <c r="C83" s="478"/>
      <c r="D83" s="514"/>
      <c r="F83" s="9"/>
      <c r="G83" s="481">
        <f>VLOOKUP(($B84*10)+1,Results,$F$3,FALSE)</f>
        <v>0</v>
      </c>
      <c r="H83" s="482"/>
      <c r="I83" s="483">
        <f>VLOOKUP(($B84*10)+2,Results,$F$3,FALSE)</f>
        <v>0</v>
      </c>
      <c r="J83" s="482"/>
      <c r="K83" s="483">
        <f>VLOOKUP(($B84*10)+3,Results,$F$3,FALSE)</f>
        <v>0</v>
      </c>
      <c r="L83" s="482"/>
      <c r="M83" s="483">
        <f>VLOOKUP(($B84*10)+4,Results,$F$3,FALSE)</f>
        <v>0</v>
      </c>
      <c r="N83" s="482"/>
      <c r="O83" s="483">
        <f>VLOOKUP(($B84*10)+5,Results,$F$3,FALSE)</f>
        <v>0</v>
      </c>
      <c r="P83" s="482"/>
      <c r="Q83" s="483">
        <f>VLOOKUP(($B84*10)+6,Results,$F$3,FALSE)</f>
        <v>0</v>
      </c>
      <c r="R83" s="482"/>
      <c r="S83" s="483">
        <f>VLOOKUP(($B84*10)+7,Results,$F$3,FALSE)</f>
        <v>0</v>
      </c>
      <c r="T83" s="482"/>
      <c r="U83" s="483">
        <f>VLOOKUP(($B84*10)+8,Results,$F$3,FALSE)</f>
        <v>0</v>
      </c>
      <c r="V83" s="486"/>
      <c r="W83" s="1355"/>
      <c r="X83" s="1356"/>
      <c r="Y83" s="1356"/>
      <c r="Z83" s="1356"/>
      <c r="AA83" s="1356"/>
      <c r="AB83" s="1356"/>
      <c r="AC83" s="1356"/>
      <c r="AD83" s="1357"/>
    </row>
    <row r="84" spans="1:30" x14ac:dyDescent="0.3">
      <c r="A84" s="118" t="str">
        <f>B84&amp;"A"</f>
        <v>A</v>
      </c>
      <c r="B84" s="24"/>
      <c r="C84" s="221">
        <f>VLOOKUP(B84,EventsOrder,2,FALSE)</f>
        <v>0</v>
      </c>
      <c r="D84" s="479">
        <f>VLOOKUP(B84,EventsOrder,4,FALSE)</f>
        <v>0</v>
      </c>
      <c r="E84" s="515" t="s">
        <v>149</v>
      </c>
      <c r="F84" s="68" t="str">
        <f>VLOOKUP(B84,EventsOrder,5,FALSE)</f>
        <v xml:space="preserve"> </v>
      </c>
      <c r="G84" s="516">
        <f>VLOOKUP(($B84*10)+1,Results,$L$3,FALSE)</f>
        <v>0</v>
      </c>
      <c r="H84" s="517"/>
      <c r="I84" s="518">
        <f>VLOOKUP(($B84*10)+2,Results,$L$3,FALSE)</f>
        <v>0</v>
      </c>
      <c r="J84" s="517"/>
      <c r="K84" s="518">
        <f>VLOOKUP(($B84*10)+3,Results,$L$3,FALSE)</f>
        <v>0</v>
      </c>
      <c r="L84" s="517"/>
      <c r="M84" s="518">
        <f>VLOOKUP(($B84*10)+4,Results,$L$3,FALSE)</f>
        <v>0</v>
      </c>
      <c r="N84" s="517"/>
      <c r="O84" s="518">
        <f>VLOOKUP(($B84*10)+5,Results,$L$3,FALSE)</f>
        <v>0</v>
      </c>
      <c r="P84" s="517"/>
      <c r="Q84" s="518">
        <f>VLOOKUP(($B84*10)+6,Results,$L$3,FALSE)</f>
        <v>0</v>
      </c>
      <c r="R84" s="517"/>
      <c r="S84" s="518">
        <f>VLOOKUP(($B84*10)+7,Results,$L$3,FALSE)</f>
        <v>0</v>
      </c>
      <c r="T84" s="517"/>
      <c r="U84" s="518">
        <f>VLOOKUP(($B84*10)+8,Results,$L$3,FALSE)</f>
        <v>0</v>
      </c>
      <c r="V84" s="519"/>
      <c r="W84" s="1355"/>
      <c r="X84" s="1356"/>
      <c r="Y84" s="1356"/>
      <c r="Z84" s="1356"/>
      <c r="AA84" s="1356"/>
      <c r="AB84" s="1356"/>
      <c r="AC84" s="1356"/>
      <c r="AD84" s="1357"/>
    </row>
    <row r="85" spans="1:30" ht="15" thickBot="1" x14ac:dyDescent="0.35">
      <c r="A85" s="118" t="str">
        <f>B84&amp;"A"</f>
        <v>A</v>
      </c>
      <c r="B85" s="417"/>
      <c r="D85" s="490"/>
      <c r="E85" s="11"/>
      <c r="F85" s="15"/>
      <c r="G85" s="525">
        <f>VLOOKUP(($B84*10)+1,Results,$G$3,FALSE)</f>
        <v>0</v>
      </c>
      <c r="H85" s="526">
        <f>VLOOKUP(($B84*10)+1,Results,$H$3,FALSE)</f>
        <v>0</v>
      </c>
      <c r="I85" s="527">
        <f>VLOOKUP(($B84*10)+2,Results,$G$3,FALSE)</f>
        <v>0</v>
      </c>
      <c r="J85" s="526">
        <f>VLOOKUP(($B84*10)+2,Results,$H$3,FALSE)</f>
        <v>0</v>
      </c>
      <c r="K85" s="527">
        <f>VLOOKUP(($B84*10)+3,Results,$G$3,FALSE)</f>
        <v>0</v>
      </c>
      <c r="L85" s="526">
        <f>VLOOKUP(($B84*10)+3,Results,$H$3,FALSE)</f>
        <v>0</v>
      </c>
      <c r="M85" s="527">
        <f>VLOOKUP(($B84*10)+4,Results,$G$3,FALSE)</f>
        <v>0</v>
      </c>
      <c r="N85" s="526">
        <f>VLOOKUP(($B84*10)+4,Results,$H$3,FALSE)</f>
        <v>0</v>
      </c>
      <c r="O85" s="527">
        <f>VLOOKUP(($B84*10)+5,Results,$G$3,FALSE)</f>
        <v>0</v>
      </c>
      <c r="P85" s="526">
        <f>VLOOKUP(($B84*10)+5,Results,$H$3,FALSE)</f>
        <v>0</v>
      </c>
      <c r="Q85" s="527">
        <f>VLOOKUP(($B84*10)+6,Results,$G$3,FALSE)</f>
        <v>0</v>
      </c>
      <c r="R85" s="526">
        <f>VLOOKUP(($B84*10)+6,Results,$H$3,FALSE)</f>
        <v>0</v>
      </c>
      <c r="S85" s="527">
        <f>VLOOKUP(($B84*10)+7,Results,$G$3,FALSE)</f>
        <v>0</v>
      </c>
      <c r="T85" s="526">
        <f>VLOOKUP(($B84*10)+7,Results,$H$3,FALSE)</f>
        <v>0</v>
      </c>
      <c r="U85" s="527">
        <f>VLOOKUP(($B84*10)+8,Results,$G$3,FALSE)</f>
        <v>0</v>
      </c>
      <c r="V85" s="528">
        <f>VLOOKUP(($B84*10)+8,Results,$H$3,FALSE)</f>
        <v>0</v>
      </c>
      <c r="W85" s="498"/>
      <c r="X85" s="499"/>
      <c r="Y85" s="499"/>
      <c r="Z85" s="499"/>
      <c r="AA85" s="499"/>
      <c r="AB85" s="499"/>
      <c r="AC85" s="499"/>
      <c r="AD85" s="500"/>
    </row>
    <row r="86" spans="1:30" x14ac:dyDescent="0.3">
      <c r="A86" s="118" t="str">
        <f>B84&amp;"B"</f>
        <v>B</v>
      </c>
      <c r="B86" s="506"/>
      <c r="D86" s="479"/>
      <c r="E86" s="515"/>
      <c r="F86" s="82"/>
      <c r="G86" s="481">
        <f>VLOOKUP(($B84*10)+1,Results,$F$4,FALSE)</f>
        <v>0</v>
      </c>
      <c r="H86" s="482"/>
      <c r="I86" s="483">
        <f>VLOOKUP(($B84*10)+2,Results,$F$4,FALSE)</f>
        <v>0</v>
      </c>
      <c r="J86" s="482"/>
      <c r="K86" s="483">
        <f>VLOOKUP(($B84*10)+3,Results,$F$4,FALSE)</f>
        <v>0</v>
      </c>
      <c r="L86" s="482"/>
      <c r="M86" s="483">
        <f>VLOOKUP(($B84*10)+4,Results,$F$4,FALSE)</f>
        <v>0</v>
      </c>
      <c r="N86" s="482"/>
      <c r="O86" s="483">
        <f>VLOOKUP(($B84*10)+5,Results,$F$4,FALSE)</f>
        <v>0</v>
      </c>
      <c r="P86" s="482"/>
      <c r="Q86" s="483">
        <f>VLOOKUP(($B84*10)+6,Results,$F$4,FALSE)</f>
        <v>0</v>
      </c>
      <c r="R86" s="482"/>
      <c r="S86" s="483">
        <f>VLOOKUP(($B84*10)+7,Results,$F$4,FALSE)</f>
        <v>0</v>
      </c>
      <c r="T86" s="482"/>
      <c r="U86" s="483">
        <f>VLOOKUP(($B84*10)+8,Results,$F$4,FALSE)</f>
        <v>0</v>
      </c>
      <c r="V86" s="486"/>
      <c r="W86" s="1010"/>
      <c r="X86" s="605"/>
      <c r="Y86" s="605"/>
      <c r="Z86" s="605"/>
      <c r="AA86" s="605"/>
      <c r="AB86" s="605"/>
      <c r="AC86" s="605"/>
      <c r="AD86" s="1273"/>
    </row>
    <row r="87" spans="1:30" x14ac:dyDescent="0.3">
      <c r="A87" s="118" t="str">
        <f>B84&amp;"B"</f>
        <v>B</v>
      </c>
      <c r="B87" s="506"/>
      <c r="D87" s="479">
        <f>VLOOKUP(B84,EventsOrder,3,FALSE)</f>
        <v>0</v>
      </c>
      <c r="E87" s="515" t="s">
        <v>94</v>
      </c>
      <c r="F87" s="68" t="str">
        <f>VLOOKUP(B84,EventsOrder,5,FALSE)</f>
        <v xml:space="preserve"> </v>
      </c>
      <c r="G87" s="516">
        <f>VLOOKUP(($B84*10)+1,Results,$L$4,FALSE)</f>
        <v>0</v>
      </c>
      <c r="H87" s="517"/>
      <c r="I87" s="518">
        <f>VLOOKUP(($B84*10)+2,Results,$L$4,FALSE)</f>
        <v>0</v>
      </c>
      <c r="J87" s="517"/>
      <c r="K87" s="518">
        <f>VLOOKUP(($B84*10)+3,Results,$L$4,FALSE)</f>
        <v>0</v>
      </c>
      <c r="L87" s="517"/>
      <c r="M87" s="518">
        <f>VLOOKUP(($B84*10)+4,Results,$L$4,FALSE)</f>
        <v>0</v>
      </c>
      <c r="N87" s="517"/>
      <c r="O87" s="518">
        <f>VLOOKUP(($B84*10)+5,Results,$L$4,FALSE)</f>
        <v>0</v>
      </c>
      <c r="P87" s="517"/>
      <c r="Q87" s="518">
        <f>VLOOKUP(($B84*10)+6,Results,$L$4,FALSE)</f>
        <v>0</v>
      </c>
      <c r="R87" s="517"/>
      <c r="S87" s="518">
        <f>VLOOKUP(($B84*10)+7,Results,$L$4,FALSE)</f>
        <v>0</v>
      </c>
      <c r="T87" s="517"/>
      <c r="U87" s="518">
        <f>VLOOKUP(($B84*10)+8,Results,$L$4,FALSE)</f>
        <v>0</v>
      </c>
      <c r="V87" s="519"/>
      <c r="W87" s="1010"/>
      <c r="X87" s="1356"/>
      <c r="Y87" s="1356"/>
      <c r="Z87" s="1356"/>
      <c r="AA87" s="1356"/>
      <c r="AB87" s="1356"/>
      <c r="AC87" s="1356"/>
      <c r="AD87" s="1357"/>
    </row>
    <row r="88" spans="1:30" ht="15" thickBot="1" x14ac:dyDescent="0.35">
      <c r="A88" s="118" t="str">
        <f>B84&amp;"B"</f>
        <v>B</v>
      </c>
      <c r="B88" s="506"/>
      <c r="C88" s="501"/>
      <c r="D88" s="502"/>
      <c r="E88" s="523"/>
      <c r="F88" s="25"/>
      <c r="G88" s="531">
        <f>VLOOKUP(($B84*10)+1,Results,$G$4,FALSE)</f>
        <v>0</v>
      </c>
      <c r="H88" s="526">
        <f>VLOOKUP(($B84*10)+1,Results,$H$4,FALSE)</f>
        <v>0</v>
      </c>
      <c r="I88" s="532">
        <f>VLOOKUP(($B84*10)+2,Results,$G$4,FALSE)</f>
        <v>0</v>
      </c>
      <c r="J88" s="526">
        <f>VLOOKUP(($B84*10)+2,Results,$H$4,FALSE)</f>
        <v>0</v>
      </c>
      <c r="K88" s="532">
        <f>VLOOKUP(($B84*10)+3,Results,$G$4,FALSE)</f>
        <v>0</v>
      </c>
      <c r="L88" s="526">
        <f>VLOOKUP(($B84*10)+3,Results,$H$4,FALSE)</f>
        <v>0</v>
      </c>
      <c r="M88" s="532">
        <f>VLOOKUP(($B84*10)+4,Results,$G$4,FALSE)</f>
        <v>0</v>
      </c>
      <c r="N88" s="526">
        <f>VLOOKUP(($B84*10)+4,Results,$H$4,FALSE)</f>
        <v>0</v>
      </c>
      <c r="O88" s="532">
        <f>VLOOKUP(($B84*10)+5,Results,$G$4,FALSE)</f>
        <v>0</v>
      </c>
      <c r="P88" s="526">
        <f>VLOOKUP(($B84*10)+5,Results,$H$4,FALSE)</f>
        <v>0</v>
      </c>
      <c r="Q88" s="532">
        <f>VLOOKUP(($B84*10)+6,Results,$G$4,FALSE)</f>
        <v>0</v>
      </c>
      <c r="R88" s="526">
        <f>VLOOKUP(($B84*10)+6,Results,$H$4,FALSE)</f>
        <v>0</v>
      </c>
      <c r="S88" s="532">
        <f>VLOOKUP(($B84*10)+7,Results,$G$4,FALSE)</f>
        <v>0</v>
      </c>
      <c r="T88" s="526">
        <f>VLOOKUP(($B84*10)+7,Results,$H$4,FALSE)</f>
        <v>0</v>
      </c>
      <c r="U88" s="532">
        <f>VLOOKUP(($B84*10)+8,Results,$G$4,FALSE)</f>
        <v>0</v>
      </c>
      <c r="V88" s="533">
        <f>VLOOKUP(($B84*10)+8,Results,$H$4,FALSE)</f>
        <v>0</v>
      </c>
      <c r="W88" s="498"/>
      <c r="X88" s="499"/>
      <c r="Y88" s="499"/>
      <c r="Z88" s="499"/>
      <c r="AA88" s="499"/>
      <c r="AB88" s="499"/>
      <c r="AC88" s="499"/>
      <c r="AD88" s="500"/>
    </row>
    <row r="89" spans="1:30" ht="16.2" thickBot="1" x14ac:dyDescent="0.35">
      <c r="A89" s="118"/>
      <c r="B89" s="506"/>
      <c r="C89" s="507"/>
      <c r="D89" s="508" t="s">
        <v>296</v>
      </c>
      <c r="E89" s="476"/>
      <c r="F89" s="503"/>
      <c r="G89" s="547"/>
      <c r="H89" s="517"/>
      <c r="I89" s="548"/>
      <c r="J89" s="517"/>
      <c r="K89" s="548"/>
      <c r="L89" s="517"/>
      <c r="M89" s="548"/>
      <c r="N89" s="517"/>
      <c r="O89" s="548"/>
      <c r="P89" s="517"/>
      <c r="Q89" s="548"/>
      <c r="R89" s="517"/>
      <c r="S89" s="548"/>
      <c r="T89" s="517"/>
      <c r="U89" s="548"/>
      <c r="V89" s="549"/>
      <c r="W89" s="1010"/>
      <c r="X89" s="605"/>
      <c r="Y89" s="605"/>
      <c r="Z89" s="605"/>
      <c r="AA89" s="605"/>
      <c r="AB89" s="605"/>
      <c r="AC89" s="605"/>
      <c r="AD89" s="1273"/>
    </row>
    <row r="90" spans="1:30" x14ac:dyDescent="0.3">
      <c r="A90" s="118" t="str">
        <f>B91&amp;"A"</f>
        <v>81A</v>
      </c>
      <c r="B90" s="506"/>
      <c r="C90" s="550"/>
      <c r="F90" s="480"/>
      <c r="G90" s="551" t="str">
        <f>VLOOKUP(($B91*10)+1,Results,$F$3,FALSE)</f>
        <v>Royal Sutton</v>
      </c>
      <c r="H90" s="552"/>
      <c r="I90" s="553" t="str">
        <f>VLOOKUP(($B91*10)+2,Results,$F$3,FALSE)</f>
        <v>Rugby &amp; N'hampton</v>
      </c>
      <c r="J90" s="552"/>
      <c r="K90" s="553" t="str">
        <f>VLOOKUP(($B91*10)+3,Results,$F$3,FALSE)</f>
        <v>Stratford</v>
      </c>
      <c r="L90" s="552"/>
      <c r="M90" s="553" t="str">
        <f>VLOOKUP(($B91*10)+4,Results,$F$3,FALSE)</f>
        <v>Tamworth</v>
      </c>
      <c r="N90" s="552"/>
      <c r="O90" s="553" t="str">
        <f>VLOOKUP(($B91*10)+5,Results,$F$3,FALSE)</f>
        <v>Kidder &amp; Stourport</v>
      </c>
      <c r="P90" s="552"/>
      <c r="Q90" s="553" t="str">
        <f>VLOOKUP(($B91*10)+6,Results,$F$3,FALSE)</f>
        <v>Worcester</v>
      </c>
      <c r="R90" s="552"/>
      <c r="S90" s="553" t="str">
        <f>VLOOKUP(($B91*10)+7,Results,$F$3,FALSE)</f>
        <v>Solihull &amp; S.Heath</v>
      </c>
      <c r="T90" s="552"/>
      <c r="U90" s="553" t="str">
        <f>VLOOKUP(($B91*10)+8,Results,$F$3,FALSE)</f>
        <v>BRAT</v>
      </c>
      <c r="V90" s="549"/>
      <c r="W90" s="487"/>
      <c r="X90" s="488"/>
      <c r="Y90" s="488"/>
      <c r="Z90" s="488"/>
      <c r="AA90" s="488"/>
      <c r="AB90" s="488"/>
      <c r="AC90" s="488"/>
      <c r="AD90" s="489"/>
    </row>
    <row r="91" spans="1:30" ht="15" thickBot="1" x14ac:dyDescent="0.35">
      <c r="A91" s="118" t="str">
        <f>B91&amp;"A"</f>
        <v>81A</v>
      </c>
      <c r="B91" s="24">
        <v>81</v>
      </c>
      <c r="C91" s="221">
        <f>VLOOKUP(B91,EventsOrder,2,FALSE)</f>
        <v>4.4000000000000004</v>
      </c>
      <c r="D91" s="490" t="str">
        <f>VLOOKUP(B91,EventsOrder,4,FALSE)</f>
        <v>U12 Female</v>
      </c>
      <c r="E91" s="11" t="s">
        <v>149</v>
      </c>
      <c r="F91" s="492"/>
      <c r="G91" s="554" t="str">
        <f>VLOOKUP(($B91*10)+1,Results,$F$3-1,FALSE)</f>
        <v>G - Royal</v>
      </c>
      <c r="H91" s="555">
        <f>VLOOKUP(($B91*10)+1,Results,$H$3,FALSE)</f>
        <v>59.2</v>
      </c>
      <c r="I91" s="556" t="str">
        <f>VLOOKUP(($B91*10)+2,Results,$F$3-1,FALSE)</f>
        <v>R - Rugby</v>
      </c>
      <c r="J91" s="555">
        <f>VLOOKUP(($B91*10)+2,Results,$H$3,FALSE)</f>
        <v>61.3</v>
      </c>
      <c r="K91" s="556" t="str">
        <f>VLOOKUP(($B91*10)+3,Results,$F$3-1,FALSE)</f>
        <v>D - Strat</v>
      </c>
      <c r="L91" s="555">
        <f>VLOOKUP(($B91*10)+3,Results,$H$3,FALSE)</f>
        <v>62.4</v>
      </c>
      <c r="M91" s="556" t="str">
        <f>VLOOKUP(($B91*10)+4,Results,$F$3-1,FALSE)</f>
        <v>F - Tam</v>
      </c>
      <c r="N91" s="555">
        <f>VLOOKUP(($B91*10)+4,Results,$H$3,FALSE)</f>
        <v>63.6</v>
      </c>
      <c r="O91" s="556" t="str">
        <f>VLOOKUP(($B91*10)+5,Results,$F$3-1,FALSE)</f>
        <v>U - K&amp;S</v>
      </c>
      <c r="P91" s="555">
        <f>VLOOKUP(($B91*10)+5,Results,$H$3,FALSE)</f>
        <v>63.7</v>
      </c>
      <c r="Q91" s="556" t="str">
        <f>VLOOKUP(($B91*10)+6,Results,$F$3-1,FALSE)</f>
        <v>Y - Worc</v>
      </c>
      <c r="R91" s="555">
        <f>VLOOKUP(($B91*10)+6,Results,$H$3,FALSE)</f>
        <v>64.400000000000006</v>
      </c>
      <c r="S91" s="556" t="str">
        <f>VLOOKUP(($B91*10)+7,Results,$F$3-1,FALSE)</f>
        <v>M - Sol</v>
      </c>
      <c r="T91" s="555">
        <f>VLOOKUP(($B91*10)+7,Results,$H$3,FALSE)</f>
        <v>65.5</v>
      </c>
      <c r="U91" s="556" t="str">
        <f>VLOOKUP(($B91*10)+8,Results,$F$3-1,FALSE)</f>
        <v>S - BRAT</v>
      </c>
      <c r="V91" s="555">
        <f>VLOOKUP(($B91*10)+8,Results,$H$3,FALSE)</f>
        <v>69.2</v>
      </c>
      <c r="W91" s="498">
        <f>VLOOKUP(($B91*10)+1,Results,$I$3,FALSE)</f>
        <v>1</v>
      </c>
      <c r="X91" s="499">
        <f>VLOOKUP(($B91*10)+2,Results,$I$3,FALSE)</f>
        <v>4</v>
      </c>
      <c r="Y91" s="499">
        <f>VLOOKUP(($B91*10)+3,Results,$I$3,FALSE)</f>
        <v>8</v>
      </c>
      <c r="Z91" s="499">
        <f>VLOOKUP(($B91*10)+4,Results,$I$3,FALSE)</f>
        <v>7</v>
      </c>
      <c r="AA91" s="499">
        <f>VLOOKUP(($B91*10)+5,Results,$I$3,FALSE)</f>
        <v>2</v>
      </c>
      <c r="AB91" s="499">
        <f>VLOOKUP(($B91*10)+6,Results,$I$3,FALSE)</f>
        <v>6</v>
      </c>
      <c r="AC91" s="499">
        <f>VLOOKUP(($B91*10)+7,Results,$I$3,FALSE)</f>
        <v>5</v>
      </c>
      <c r="AD91" s="500">
        <f>VLOOKUP(($B91*10)+8,Results,$I$3,FALSE)</f>
        <v>3</v>
      </c>
    </row>
    <row r="92" spans="1:30" x14ac:dyDescent="0.3">
      <c r="A92" s="118" t="str">
        <f>B91&amp;"B"</f>
        <v>81B</v>
      </c>
      <c r="B92" s="417"/>
      <c r="C92" s="550"/>
      <c r="D92" s="85"/>
      <c r="E92" s="56"/>
      <c r="F92" s="534">
        <v>1</v>
      </c>
      <c r="G92" s="557" t="str">
        <f>IF(LEN(G$91)&gt;1,HLOOKUP(G$91,Relays,$A488,FALSE),"")</f>
        <v xml:space="preserve">Taylor Upton </v>
      </c>
      <c r="H92" s="558"/>
      <c r="I92" s="559" t="str">
        <f>IF(LEN(I$91)&gt;1,HLOOKUP(I$91,Relays,$A488,FALSE),"")</f>
        <v>Ava Lawrence</v>
      </c>
      <c r="J92" s="560"/>
      <c r="K92" s="557" t="str">
        <f>IF(LEN(K$91)&gt;1,HLOOKUP(K$91,Relays,$A488,FALSE),"")</f>
        <v>Megan White</v>
      </c>
      <c r="L92" s="560"/>
      <c r="M92" s="557" t="str">
        <f>IF(LEN(M$91)&gt;1,HLOOKUP(M$91,Relays,$A488,FALSE),"")</f>
        <v>Izzy Jaques</v>
      </c>
      <c r="N92" s="561"/>
      <c r="O92" s="557" t="str">
        <f>IF(LEN(O$91)&gt;1,HLOOKUP(O$91,Relays,$A488,FALSE),"")</f>
        <v xml:space="preserve">Isabelle Evans </v>
      </c>
      <c r="P92" s="561"/>
      <c r="Q92" s="557" t="str">
        <f>IF(LEN(Q$91)&gt;1,HLOOKUP(Q$91,Relays,$A488,FALSE),"")</f>
        <v>Bethany Gromski</v>
      </c>
      <c r="R92" s="561"/>
      <c r="S92" s="557" t="str">
        <f>IF(LEN(S$91)&gt;1,HLOOKUP(S$91,Relays,$A488,FALSE),"")</f>
        <v>Jessica Blundell</v>
      </c>
      <c r="T92" s="561"/>
      <c r="U92" s="557" t="str">
        <f>IF(LEN(U$91)&gt;1,HLOOKUP(U$91,Relays,$A488,FALSE),"")</f>
        <v>Beatrice-Rosie Follows</v>
      </c>
      <c r="V92" s="518"/>
      <c r="W92" s="487"/>
      <c r="X92" s="488"/>
      <c r="Y92" s="488"/>
      <c r="Z92" s="488"/>
      <c r="AA92" s="488"/>
      <c r="AB92" s="488"/>
      <c r="AC92" s="488"/>
      <c r="AD92" s="489"/>
    </row>
    <row r="93" spans="1:30" x14ac:dyDescent="0.3">
      <c r="A93" s="118" t="str">
        <f>B91&amp;"B"</f>
        <v>81B</v>
      </c>
      <c r="B93" s="506"/>
      <c r="D93" s="479" t="str">
        <f>VLOOKUP(B91,EventsOrder,3,FALSE)</f>
        <v xml:space="preserve">4 x 100m </v>
      </c>
      <c r="E93" s="515"/>
      <c r="F93" s="534">
        <v>2</v>
      </c>
      <c r="G93" s="557" t="str">
        <f>IF(LEN(G$91)&gt;1,HLOOKUP(G$91,Relays,$A489,FALSE),"")</f>
        <v xml:space="preserve">Isabelle wakeman </v>
      </c>
      <c r="H93" s="562"/>
      <c r="I93" s="557" t="str">
        <f>IF(LEN(I$91)&gt;1,HLOOKUP(I$91,Relays,$A489,FALSE),"")</f>
        <v>Sophie Lawrence</v>
      </c>
      <c r="J93" s="562"/>
      <c r="K93" s="557" t="str">
        <f>IF(LEN(K$91)&gt;1,HLOOKUP(K$91,Relays,$A489,FALSE),"")</f>
        <v>Saskia Atkins</v>
      </c>
      <c r="L93" s="562"/>
      <c r="M93" s="557" t="str">
        <f>IF(LEN(M$91)&gt;1,HLOOKUP(M$91,Relays,$A489,FALSE),"")</f>
        <v>Eden Farmer</v>
      </c>
      <c r="N93" s="562"/>
      <c r="O93" s="557" t="str">
        <f>IF(LEN(O$91)&gt;1,HLOOKUP(O$91,Relays,$A489,FALSE),"")</f>
        <v xml:space="preserve">Amelija Mendelyte </v>
      </c>
      <c r="P93" s="562"/>
      <c r="Q93" s="557" t="str">
        <f>IF(LEN(Q$91)&gt;1,HLOOKUP(Q$91,Relays,$A489,FALSE),"")</f>
        <v>Ella Dyer</v>
      </c>
      <c r="R93" s="562"/>
      <c r="S93" s="557" t="str">
        <f>IF(LEN(S$91)&gt;1,HLOOKUP(S$91,Relays,$A489,FALSE),"")</f>
        <v>Elizabeth Fowler</v>
      </c>
      <c r="T93" s="562"/>
      <c r="U93" s="557" t="str">
        <f>IF(LEN(U$91)&gt;1,HLOOKUP(U$91,Relays,$A489,FALSE),"")</f>
        <v>Azucena Cereceda</v>
      </c>
      <c r="V93" s="549"/>
      <c r="W93" s="487"/>
      <c r="X93" s="488"/>
      <c r="Y93" s="488"/>
      <c r="Z93" s="488"/>
      <c r="AA93" s="488"/>
      <c r="AB93" s="488"/>
      <c r="AC93" s="488"/>
      <c r="AD93" s="489"/>
    </row>
    <row r="94" spans="1:30" x14ac:dyDescent="0.3">
      <c r="A94" s="118" t="str">
        <f>B91&amp;"R"</f>
        <v>81R</v>
      </c>
      <c r="B94" s="506"/>
      <c r="C94" s="550"/>
      <c r="E94" s="515" t="s">
        <v>94</v>
      </c>
      <c r="F94" s="534">
        <v>3</v>
      </c>
      <c r="G94" s="557" t="str">
        <f>IF(LEN(G$91)&gt;1,HLOOKUP(G$91,Relays,$A490,FALSE),"")</f>
        <v xml:space="preserve">Indie Upton </v>
      </c>
      <c r="H94" s="560"/>
      <c r="I94" s="557" t="str">
        <f>IF(LEN(I$91)&gt;1,HLOOKUP(I$91,Relays,$A490,FALSE),"")</f>
        <v>Saffron Davies</v>
      </c>
      <c r="J94" s="560"/>
      <c r="K94" s="557" t="str">
        <f>IF(LEN(K$91)&gt;1,HLOOKUP(K$91,Relays,$A490,FALSE),"")</f>
        <v>Florence Castle</v>
      </c>
      <c r="L94" s="560"/>
      <c r="M94" s="557" t="str">
        <f>IF(LEN(M$91)&gt;1,HLOOKUP(M$91,Relays,$A490,FALSE),"")</f>
        <v>Clara Knight-Dutton</v>
      </c>
      <c r="N94" s="560"/>
      <c r="O94" s="557" t="str">
        <f>IF(LEN(O$91)&gt;1,HLOOKUP(O$91,Relays,$A490,FALSE),"")</f>
        <v xml:space="preserve">Polly Richards </v>
      </c>
      <c r="P94" s="560"/>
      <c r="Q94" s="557" t="str">
        <f>IF(LEN(Q$91)&gt;1,HLOOKUP(Q$91,Relays,$A490,FALSE),"")</f>
        <v>Megan Mabey</v>
      </c>
      <c r="R94" s="560"/>
      <c r="S94" s="557" t="str">
        <f>IF(LEN(S$91)&gt;1,HLOOKUP(S$91,Relays,$A490,FALSE),"")</f>
        <v>Molly Dale</v>
      </c>
      <c r="T94" s="560"/>
      <c r="U94" s="557" t="str">
        <f>IF(LEN(U$91)&gt;1,HLOOKUP(U$91,Relays,$A490,FALSE),"")</f>
        <v>Khushi Chanal</v>
      </c>
      <c r="V94" s="549"/>
      <c r="W94" s="487"/>
      <c r="X94" s="488"/>
      <c r="Y94" s="488"/>
      <c r="Z94" s="488"/>
      <c r="AA94" s="488"/>
      <c r="AB94" s="488"/>
      <c r="AC94" s="488"/>
      <c r="AD94" s="489"/>
    </row>
    <row r="95" spans="1:30" ht="15" thickBot="1" x14ac:dyDescent="0.35">
      <c r="A95" s="118" t="str">
        <f>B91&amp;"S"</f>
        <v>81S</v>
      </c>
      <c r="B95" s="506"/>
      <c r="C95" s="501"/>
      <c r="D95" s="502"/>
      <c r="E95" s="523"/>
      <c r="F95" s="563">
        <v>4</v>
      </c>
      <c r="G95" s="564" t="str">
        <f>IF(LEN(G$91)&gt;1,HLOOKUP(G$91,Relays,$A491,FALSE),"")</f>
        <v xml:space="preserve">Lila Wilmore </v>
      </c>
      <c r="H95" s="565"/>
      <c r="I95" s="564" t="str">
        <f>IF(LEN(I$91)&gt;1,HLOOKUP(I$91,Relays,$A491,FALSE),"")</f>
        <v>Tavayah Lennox</v>
      </c>
      <c r="J95" s="565"/>
      <c r="K95" s="564" t="str">
        <f>IF(LEN(K$91)&gt;1,HLOOKUP(K$91,Relays,$A491,FALSE),"")</f>
        <v>Elsie Gould</v>
      </c>
      <c r="L95" s="565"/>
      <c r="M95" s="564" t="str">
        <f>IF(LEN(M$91)&gt;1,HLOOKUP(M$91,Relays,$A491,FALSE),"")</f>
        <v>Anabel Amankwah</v>
      </c>
      <c r="N95" s="565"/>
      <c r="O95" s="564" t="str">
        <f>IF(LEN(O$91)&gt;1,HLOOKUP(O$91,Relays,$A491,FALSE),"")</f>
        <v xml:space="preserve">Alice Thompson </v>
      </c>
      <c r="P95" s="565"/>
      <c r="Q95" s="564" t="str">
        <f>IF(LEN(Q$91)&gt;1,HLOOKUP(Q$91,Relays,$A491,FALSE),"")</f>
        <v>Annabelle Hadland</v>
      </c>
      <c r="R95" s="565"/>
      <c r="S95" s="564" t="str">
        <f>IF(LEN(S$91)&gt;1,HLOOKUP(S$91,Relays,$A491,FALSE),"")</f>
        <v>Seren Dhami</v>
      </c>
      <c r="T95" s="565"/>
      <c r="U95" s="564" t="str">
        <f>IF(LEN(U$91)&gt;1,HLOOKUP(U$91,Relays,$A491,FALSE),"")</f>
        <v>Beatrix Thompson</v>
      </c>
      <c r="V95" s="556"/>
      <c r="W95" s="520"/>
      <c r="X95" s="521"/>
      <c r="Y95" s="521"/>
      <c r="Z95" s="521"/>
      <c r="AA95" s="521"/>
      <c r="AB95" s="521"/>
      <c r="AC95" s="521"/>
      <c r="AD95" s="522"/>
    </row>
    <row r="96" spans="1:30" ht="15" thickBot="1" x14ac:dyDescent="0.35">
      <c r="B96" s="534">
        <f>COUNTIF(B54:B95,"&gt;0")</f>
        <v>6</v>
      </c>
      <c r="C96" s="566"/>
      <c r="D96" s="566"/>
      <c r="E96" s="566"/>
      <c r="F96" s="535"/>
      <c r="G96" s="85"/>
      <c r="H96" s="85"/>
      <c r="I96" s="85"/>
      <c r="J96" s="85"/>
      <c r="K96" s="85"/>
      <c r="L96" s="85"/>
      <c r="M96" s="85"/>
      <c r="N96" s="85"/>
      <c r="O96" s="85"/>
      <c r="P96" s="85"/>
      <c r="Q96" s="85"/>
      <c r="R96" s="85"/>
      <c r="S96" s="85"/>
      <c r="T96" s="85"/>
      <c r="U96" s="85" t="s">
        <v>295</v>
      </c>
      <c r="V96" s="85"/>
      <c r="W96" s="536">
        <f t="shared" ref="W96:AD96" si="6">SUM(W53:W95)</f>
        <v>27</v>
      </c>
      <c r="X96" s="537">
        <f t="shared" si="6"/>
        <v>48</v>
      </c>
      <c r="Y96" s="537">
        <f t="shared" si="6"/>
        <v>67</v>
      </c>
      <c r="Z96" s="537">
        <f t="shared" si="6"/>
        <v>70</v>
      </c>
      <c r="AA96" s="537">
        <f t="shared" si="6"/>
        <v>41</v>
      </c>
      <c r="AB96" s="537">
        <f t="shared" si="6"/>
        <v>53</v>
      </c>
      <c r="AC96" s="537">
        <f t="shared" si="6"/>
        <v>50</v>
      </c>
      <c r="AD96" s="538">
        <f t="shared" si="6"/>
        <v>39</v>
      </c>
    </row>
    <row r="97" spans="1:30" ht="15.6" thickTop="1" thickBot="1" x14ac:dyDescent="0.35">
      <c r="B97" s="566"/>
      <c r="C97" s="566"/>
      <c r="D97" s="566"/>
      <c r="E97" s="566"/>
      <c r="F97" s="535"/>
      <c r="G97" s="85"/>
      <c r="H97" s="85"/>
      <c r="I97" s="85"/>
      <c r="J97" s="85"/>
      <c r="K97" s="85"/>
      <c r="L97" s="85"/>
      <c r="M97" s="85"/>
      <c r="N97" s="85"/>
      <c r="O97" s="85"/>
      <c r="P97" s="85"/>
      <c r="Q97" s="85"/>
      <c r="R97" s="85"/>
      <c r="S97" s="85"/>
      <c r="T97" s="85"/>
      <c r="U97" s="85" t="s">
        <v>27</v>
      </c>
      <c r="V97" s="535"/>
      <c r="W97" s="540">
        <f t="shared" ref="W97:AD97" si="7">RANK(W96,$W96:$AD96)</f>
        <v>8</v>
      </c>
      <c r="X97" s="541">
        <f t="shared" si="7"/>
        <v>5</v>
      </c>
      <c r="Y97" s="541">
        <f t="shared" si="7"/>
        <v>2</v>
      </c>
      <c r="Z97" s="541">
        <f t="shared" si="7"/>
        <v>1</v>
      </c>
      <c r="AA97" s="541">
        <f t="shared" si="7"/>
        <v>6</v>
      </c>
      <c r="AB97" s="541">
        <f t="shared" si="7"/>
        <v>3</v>
      </c>
      <c r="AC97" s="541">
        <f t="shared" si="7"/>
        <v>4</v>
      </c>
      <c r="AD97" s="542">
        <f t="shared" si="7"/>
        <v>7</v>
      </c>
    </row>
    <row r="98" spans="1:30" ht="15" thickBot="1" x14ac:dyDescent="0.35">
      <c r="C98" s="32"/>
      <c r="D98" s="32"/>
      <c r="G98" s="55"/>
      <c r="H98" s="55"/>
      <c r="I98" s="55"/>
      <c r="J98" s="55"/>
      <c r="K98" s="55"/>
      <c r="L98" s="55"/>
      <c r="M98" s="55"/>
      <c r="N98" s="55"/>
      <c r="O98" s="55"/>
      <c r="P98" s="55"/>
      <c r="Q98" s="55"/>
      <c r="R98" s="55"/>
      <c r="S98" s="55"/>
      <c r="T98" s="55"/>
      <c r="U98" s="543"/>
      <c r="V98" s="535"/>
      <c r="W98" s="544"/>
      <c r="X98" s="544"/>
      <c r="Y98" s="544"/>
      <c r="Z98" s="544"/>
      <c r="AA98" s="544"/>
      <c r="AB98" s="544"/>
      <c r="AC98" s="544"/>
      <c r="AD98" s="544"/>
    </row>
    <row r="99" spans="1:30" ht="35.25" customHeight="1" x14ac:dyDescent="0.3">
      <c r="A99" s="424"/>
      <c r="B99" s="1415" t="s">
        <v>258</v>
      </c>
      <c r="C99" s="448"/>
      <c r="D99" s="468"/>
      <c r="E99" s="469"/>
      <c r="F99" s="467"/>
      <c r="G99" s="567"/>
      <c r="H99" s="567"/>
      <c r="I99" s="568"/>
      <c r="J99" s="567"/>
      <c r="K99" s="689" t="s">
        <v>294</v>
      </c>
      <c r="L99" s="569"/>
      <c r="M99" s="568"/>
      <c r="N99" s="567"/>
      <c r="O99" s="567"/>
      <c r="P99" s="569"/>
      <c r="Q99" s="568"/>
      <c r="R99" s="569"/>
      <c r="S99" s="473"/>
      <c r="T99" s="569"/>
      <c r="U99" s="568"/>
      <c r="V99" s="569"/>
      <c r="W99" s="1411" t="str">
        <f>W$8</f>
        <v>BRAT</v>
      </c>
      <c r="X99" s="1411" t="str">
        <f t="shared" ref="X99:AD99" si="8">X$8</f>
        <v>Kidder &amp; Stourport</v>
      </c>
      <c r="Y99" s="1411" t="str">
        <f t="shared" si="8"/>
        <v>Royal Sutton</v>
      </c>
      <c r="Z99" s="1411" t="str">
        <f t="shared" si="8"/>
        <v>Rugby &amp; N'hampton</v>
      </c>
      <c r="AA99" s="1411" t="str">
        <f t="shared" si="8"/>
        <v>Solihull &amp; S.Heath</v>
      </c>
      <c r="AB99" s="1411" t="str">
        <f t="shared" si="8"/>
        <v>Stratford</v>
      </c>
      <c r="AC99" s="1411" t="str">
        <f t="shared" si="8"/>
        <v>Tamworth</v>
      </c>
      <c r="AD99" s="1411" t="str">
        <f t="shared" si="8"/>
        <v>Worcester</v>
      </c>
    </row>
    <row r="100" spans="1:30" ht="37.5" customHeight="1" thickBot="1" x14ac:dyDescent="0.35">
      <c r="A100" s="424"/>
      <c r="B100" s="1416"/>
      <c r="C100" s="455"/>
      <c r="D100" s="456" t="s">
        <v>64</v>
      </c>
      <c r="E100" s="457">
        <f>'Event Details'!E$9</f>
        <v>1</v>
      </c>
      <c r="F100" s="457"/>
      <c r="G100" s="56"/>
      <c r="H100" s="474" t="s">
        <v>459</v>
      </c>
      <c r="I100" s="459"/>
      <c r="J100" s="433"/>
      <c r="K100" s="460" t="s">
        <v>67</v>
      </c>
      <c r="L100" s="461" t="str">
        <f>'Event Details'!G$17</f>
        <v>Rugby &amp; N'hampton</v>
      </c>
      <c r="M100" s="459"/>
      <c r="N100" s="459"/>
      <c r="O100" s="459"/>
      <c r="P100" s="456"/>
      <c r="Q100" s="460" t="s">
        <v>66</v>
      </c>
      <c r="R100" s="463" t="str">
        <f>'Event Details'!C$17</f>
        <v>17th May 2026</v>
      </c>
      <c r="S100" s="459"/>
      <c r="T100" s="459"/>
      <c r="U100" s="459"/>
      <c r="V100" s="459"/>
      <c r="W100" s="1412"/>
      <c r="X100" s="1412"/>
      <c r="Y100" s="1412"/>
      <c r="Z100" s="1412"/>
      <c r="AA100" s="1412"/>
      <c r="AB100" s="1412"/>
      <c r="AC100" s="1412"/>
      <c r="AD100" s="1412"/>
    </row>
    <row r="101" spans="1:30" ht="15" thickBot="1" x14ac:dyDescent="0.35">
      <c r="B101" s="506"/>
      <c r="C101" s="570" t="s">
        <v>168</v>
      </c>
      <c r="D101" s="33" t="s">
        <v>165</v>
      </c>
      <c r="E101" s="476"/>
      <c r="F101" s="1342" t="s">
        <v>177</v>
      </c>
      <c r="G101" s="1413" t="s">
        <v>286</v>
      </c>
      <c r="H101" s="1413"/>
      <c r="I101" s="1414" t="s">
        <v>287</v>
      </c>
      <c r="J101" s="1414"/>
      <c r="K101" s="1414" t="s">
        <v>288</v>
      </c>
      <c r="L101" s="1414"/>
      <c r="M101" s="1414" t="s">
        <v>289</v>
      </c>
      <c r="N101" s="1414"/>
      <c r="O101" s="1414" t="s">
        <v>290</v>
      </c>
      <c r="P101" s="1414"/>
      <c r="Q101" s="1414" t="s">
        <v>291</v>
      </c>
      <c r="R101" s="1414"/>
      <c r="S101" s="1414" t="s">
        <v>292</v>
      </c>
      <c r="T101" s="1414"/>
      <c r="U101" s="1414" t="s">
        <v>293</v>
      </c>
      <c r="V101" s="1414"/>
      <c r="W101" s="477" t="str">
        <f>W$10</f>
        <v>S</v>
      </c>
      <c r="X101" s="477" t="str">
        <f t="shared" ref="X101:AD101" si="9">X$10</f>
        <v>U</v>
      </c>
      <c r="Y101" s="477" t="str">
        <f t="shared" si="9"/>
        <v>G</v>
      </c>
      <c r="Z101" s="477" t="str">
        <f t="shared" si="9"/>
        <v>R</v>
      </c>
      <c r="AA101" s="477" t="str">
        <f t="shared" si="9"/>
        <v>M</v>
      </c>
      <c r="AB101" s="477" t="str">
        <f t="shared" si="9"/>
        <v>D</v>
      </c>
      <c r="AC101" s="477" t="str">
        <f t="shared" si="9"/>
        <v>F</v>
      </c>
      <c r="AD101" s="477" t="str">
        <f t="shared" si="9"/>
        <v>Y</v>
      </c>
    </row>
    <row r="102" spans="1:30" x14ac:dyDescent="0.3">
      <c r="A102" s="118" t="str">
        <f>B103&amp;"A"</f>
        <v>1A</v>
      </c>
      <c r="B102" s="506"/>
      <c r="C102" s="571"/>
      <c r="D102" s="479" t="str">
        <f>VLOOKUP(B103,EventsOrder,4,FALSE)</f>
        <v>U14 Male</v>
      </c>
      <c r="E102" s="515" t="s">
        <v>149</v>
      </c>
      <c r="F102" s="480"/>
      <c r="G102" s="481" t="str">
        <f>VLOOKUP(($B103*10)+1,Results,$F$3,FALSE)</f>
        <v xml:space="preserve">William Tse </v>
      </c>
      <c r="H102" s="482"/>
      <c r="I102" s="483" t="str">
        <f>VLOOKUP(($B103*10)+2,Results,$F$3,FALSE)</f>
        <v>Joe Walden</v>
      </c>
      <c r="J102" s="482"/>
      <c r="K102" s="483" t="str">
        <f>VLOOKUP(($B103*10)+3,Results,$F$3,FALSE)</f>
        <v>Fynn Allen</v>
      </c>
      <c r="L102" s="482"/>
      <c r="M102" s="483" t="str">
        <f>VLOOKUP(($B103*10)+4,Results,$F$3,FALSE)</f>
        <v>Finley Aldridge-Cox</v>
      </c>
      <c r="N102" s="482"/>
      <c r="O102" s="483" t="str">
        <f>VLOOKUP(($B103*10)+5,Results,$F$3,FALSE)</f>
        <v>Matthew Payne</v>
      </c>
      <c r="P102" s="482"/>
      <c r="Q102" s="483" t="str">
        <f>VLOOKUP(($B103*10)+6,Results,$F$3,FALSE)</f>
        <v>Joseph Sizer</v>
      </c>
      <c r="R102" s="484"/>
      <c r="S102" s="485" t="str">
        <f>VLOOKUP(($B103*10)+7,Results,$F$3,FALSE)</f>
        <v/>
      </c>
      <c r="T102" s="482"/>
      <c r="U102" s="483" t="str">
        <f>VLOOKUP(($B103*10)+8,Results,$F$3,FALSE)</f>
        <v/>
      </c>
      <c r="V102" s="486"/>
      <c r="W102" s="487"/>
      <c r="X102" s="488"/>
      <c r="Y102" s="488"/>
      <c r="Z102" s="488"/>
      <c r="AA102" s="488"/>
      <c r="AB102" s="488"/>
      <c r="AC102" s="488"/>
      <c r="AD102" s="489"/>
    </row>
    <row r="103" spans="1:30" x14ac:dyDescent="0.3">
      <c r="A103" s="118" t="str">
        <f>B103&amp;"A"</f>
        <v>1A</v>
      </c>
      <c r="B103" s="24">
        <v>1</v>
      </c>
      <c r="C103" s="572">
        <f>VLOOKUP(B103,EventsOrder,2,FALSE)</f>
        <v>11.3</v>
      </c>
      <c r="D103" s="490"/>
      <c r="E103" s="11"/>
      <c r="F103" s="492"/>
      <c r="G103" s="493" t="str">
        <f>VLOOKUP(($B103*10)+1,Results,$G$3,FALSE)</f>
        <v>BRAT</v>
      </c>
      <c r="H103" s="573">
        <f>VLOOKUP(($B103*10)+1,Results,$H$3,FALSE)</f>
        <v>1.65</v>
      </c>
      <c r="I103" s="495" t="str">
        <f>VLOOKUP(($B103*10)+2,Results,$G$3,FALSE)</f>
        <v>Rugby</v>
      </c>
      <c r="J103" s="573">
        <f>VLOOKUP(($B103*10)+2,Results,$H$3,FALSE)</f>
        <v>1.65</v>
      </c>
      <c r="K103" s="495" t="str">
        <f>VLOOKUP(($B103*10)+3,Results,$G$3,FALSE)</f>
        <v>Strat</v>
      </c>
      <c r="L103" s="573">
        <f>VLOOKUP(($B103*10)+3,Results,$H$3,FALSE)</f>
        <v>1.55</v>
      </c>
      <c r="M103" s="495" t="str">
        <f>VLOOKUP(($B103*10)+4,Results,$G$3,FALSE)</f>
        <v>Royal</v>
      </c>
      <c r="N103" s="573">
        <f>VLOOKUP(($B103*10)+4,Results,$H$3,FALSE)</f>
        <v>1.5</v>
      </c>
      <c r="O103" s="495" t="str">
        <f>VLOOKUP(($B103*10)+5,Results,$G$3,FALSE)</f>
        <v>Sol</v>
      </c>
      <c r="P103" s="573">
        <f>VLOOKUP(($B103*10)+5,Results,$H$3,FALSE)</f>
        <v>1.35</v>
      </c>
      <c r="Q103" s="495" t="str">
        <f>VLOOKUP(($B103*10)+6,Results,$G$3,FALSE)</f>
        <v>Tam</v>
      </c>
      <c r="R103" s="574">
        <f>VLOOKUP(($B103*10)+6,Results,$H$3,FALSE)</f>
        <v>1.1000000000000001</v>
      </c>
      <c r="S103" s="496">
        <f>VLOOKUP(($B103*10)+7,Results,$G$3,FALSE)</f>
        <v>0</v>
      </c>
      <c r="T103" s="573">
        <f>VLOOKUP(($B103*10)+7,Results,$H$3,FALSE)</f>
        <v>0</v>
      </c>
      <c r="U103" s="495">
        <f>VLOOKUP(($B103*10)+8,Results,$G$3,FALSE)</f>
        <v>0</v>
      </c>
      <c r="V103" s="574">
        <f>VLOOKUP(($B103*10)+8,Results,$H$3,FALSE)</f>
        <v>0</v>
      </c>
      <c r="W103" s="498">
        <f>VLOOKUP(($B103*10)+1,Results,$I$3,FALSE)</f>
        <v>8</v>
      </c>
      <c r="X103" s="499">
        <f>VLOOKUP(($B103*10)+2,Results,$I$3,FALSE)</f>
        <v>0</v>
      </c>
      <c r="Y103" s="499">
        <f>VLOOKUP(($B103*10)+3,Results,$I$3,FALSE)</f>
        <v>5</v>
      </c>
      <c r="Z103" s="499">
        <f>VLOOKUP(($B103*10)+4,Results,$I$3,FALSE)</f>
        <v>7</v>
      </c>
      <c r="AA103" s="499">
        <f>VLOOKUP(($B103*10)+5,Results,$I$3,FALSE)</f>
        <v>4</v>
      </c>
      <c r="AB103" s="499">
        <f>VLOOKUP(($B103*10)+6,Results,$I$3,FALSE)</f>
        <v>6</v>
      </c>
      <c r="AC103" s="499">
        <f>VLOOKUP(($B103*10)+7,Results,$I$3,FALSE)</f>
        <v>3</v>
      </c>
      <c r="AD103" s="500">
        <f>VLOOKUP(($B103*10)+8,Results,$I$3,FALSE)</f>
        <v>0</v>
      </c>
    </row>
    <row r="104" spans="1:30" x14ac:dyDescent="0.3">
      <c r="A104" s="118" t="str">
        <f>B103&amp;"B"</f>
        <v>1B</v>
      </c>
      <c r="B104" s="506"/>
      <c r="C104" s="572"/>
      <c r="D104" s="479" t="str">
        <f>VLOOKUP(B103,EventsOrder,3,FALSE)</f>
        <v>High Jump</v>
      </c>
      <c r="E104" s="515" t="s">
        <v>94</v>
      </c>
      <c r="F104" s="529"/>
      <c r="G104" s="547" t="str">
        <f>VLOOKUP(($B103*10)+1,Results,$F$4,FALSE)</f>
        <v>Lewis Deffley</v>
      </c>
      <c r="H104" s="517"/>
      <c r="I104" s="548" t="str">
        <f>VLOOKUP(($B103*10)+2,Results,$F$4,FALSE)</f>
        <v xml:space="preserve">Thomas Woodward </v>
      </c>
      <c r="J104" s="517"/>
      <c r="K104" s="548" t="str">
        <f>VLOOKUP(($B103*10)+3,Results,$F$4,FALSE)</f>
        <v>Jasper Hadley</v>
      </c>
      <c r="L104" s="517"/>
      <c r="M104" s="548" t="str">
        <f>VLOOKUP(($B103*10)+4,Results,$F$4,FALSE)</f>
        <v/>
      </c>
      <c r="N104" s="517"/>
      <c r="O104" s="548" t="str">
        <f>VLOOKUP(($B103*10)+5,Results,$F$4,FALSE)</f>
        <v/>
      </c>
      <c r="P104" s="517"/>
      <c r="Q104" s="548" t="str">
        <f>VLOOKUP(($B103*10)+6,Results,$F$4,FALSE)</f>
        <v/>
      </c>
      <c r="R104" s="549"/>
      <c r="S104" s="575" t="str">
        <f>VLOOKUP(($B103*10)+7,Results,$F$4,FALSE)</f>
        <v/>
      </c>
      <c r="T104" s="517"/>
      <c r="U104" s="548" t="str">
        <f>VLOOKUP(($B103*10)+8,Results,$F$4,FALSE)</f>
        <v/>
      </c>
      <c r="V104" s="549"/>
      <c r="W104" s="487"/>
      <c r="X104" s="488"/>
      <c r="Y104" s="488"/>
      <c r="Z104" s="488"/>
      <c r="AA104" s="488"/>
      <c r="AB104" s="488"/>
      <c r="AC104" s="488"/>
      <c r="AD104" s="489"/>
    </row>
    <row r="105" spans="1:30" ht="15" thickBot="1" x14ac:dyDescent="0.35">
      <c r="A105" s="118" t="str">
        <f>B103&amp;"B"</f>
        <v>1B</v>
      </c>
      <c r="B105" s="506"/>
      <c r="C105" s="576"/>
      <c r="D105" s="502"/>
      <c r="E105" s="523"/>
      <c r="F105" s="503"/>
      <c r="G105" s="554" t="str">
        <f>VLOOKUP(($B103*10)+1,Results,$G$4,FALSE)</f>
        <v>Royal</v>
      </c>
      <c r="H105" s="573">
        <f>VLOOKUP(($B103*10)+1,Results,$H$4,FALSE)</f>
        <v>1.3</v>
      </c>
      <c r="I105" s="495" t="str">
        <f>VLOOKUP(($B103*10)+2,Results,$G$4,FALSE)</f>
        <v>BRAT</v>
      </c>
      <c r="J105" s="573">
        <f>VLOOKUP(($B103*10)+2,Results,$H$4,FALSE)</f>
        <v>1.3</v>
      </c>
      <c r="K105" s="495" t="str">
        <f>VLOOKUP(($B103*10)+3,Results,$G$4,FALSE)</f>
        <v>Strat</v>
      </c>
      <c r="L105" s="573">
        <f>VLOOKUP(($B103*10)+3,Results,$H$4,FALSE)</f>
        <v>1.3</v>
      </c>
      <c r="M105" s="495">
        <f>VLOOKUP(($B103*10)+4,Results,$G$4,FALSE)</f>
        <v>0</v>
      </c>
      <c r="N105" s="573">
        <f>VLOOKUP(($B103*10)+4,Results,$H$4,FALSE)</f>
        <v>0</v>
      </c>
      <c r="O105" s="495">
        <f>VLOOKUP(($B103*10)+5,Results,$G$4,FALSE)</f>
        <v>0</v>
      </c>
      <c r="P105" s="573">
        <f>VLOOKUP(($B103*10)+5,Results,$H$4,FALSE)</f>
        <v>0</v>
      </c>
      <c r="Q105" s="495">
        <f>VLOOKUP(($B103*10)+6,Results,$G$4,FALSE)</f>
        <v>0</v>
      </c>
      <c r="R105" s="574">
        <f>VLOOKUP(($B103*10)+6,Results,$H$4,FALSE)</f>
        <v>0</v>
      </c>
      <c r="S105" s="496">
        <f>VLOOKUP(($B103*10)+7,Results,$G$4,FALSE)</f>
        <v>0</v>
      </c>
      <c r="T105" s="573">
        <f>VLOOKUP(($B103*10)+7,Results,$H$4,FALSE)</f>
        <v>0</v>
      </c>
      <c r="U105" s="495">
        <f>VLOOKUP(($B103*10)+8,Results,$G$4,FALSE)</f>
        <v>0</v>
      </c>
      <c r="V105" s="574">
        <f>VLOOKUP(($B103*10)+8,Results,$H$4,FALSE)</f>
        <v>0</v>
      </c>
      <c r="W105" s="498">
        <f>VLOOKUP(($B103*10)+1,Results,$I$4,FALSE)</f>
        <v>7</v>
      </c>
      <c r="X105" s="499">
        <f>VLOOKUP(($B103*10)+2,Results,$I$4,FALSE)</f>
        <v>0</v>
      </c>
      <c r="Y105" s="499">
        <f>VLOOKUP(($B103*10)+3,Results,$I$4,FALSE)</f>
        <v>8</v>
      </c>
      <c r="Z105" s="499">
        <f>VLOOKUP(($B103*10)+4,Results,$I$4,FALSE)</f>
        <v>0</v>
      </c>
      <c r="AA105" s="499">
        <f>VLOOKUP(($B103*10)+5,Results,$I$4,FALSE)</f>
        <v>0</v>
      </c>
      <c r="AB105" s="499">
        <f>VLOOKUP(($B103*10)+6,Results,$I$4,FALSE)</f>
        <v>6</v>
      </c>
      <c r="AC105" s="499">
        <f>VLOOKUP(($B103*10)+7,Results,$I$4,FALSE)</f>
        <v>0</v>
      </c>
      <c r="AD105" s="500">
        <f>VLOOKUP(($B103*10)+8,Results,$I$4,FALSE)</f>
        <v>0</v>
      </c>
    </row>
    <row r="106" spans="1:30" x14ac:dyDescent="0.3">
      <c r="A106" s="118" t="str">
        <f>B107&amp;"A"</f>
        <v>9A</v>
      </c>
      <c r="B106" s="506"/>
      <c r="C106" s="571"/>
      <c r="D106" s="479" t="str">
        <f>VLOOKUP(B107,EventsOrder,4,FALSE)</f>
        <v>U14 Male</v>
      </c>
      <c r="E106" s="515" t="s">
        <v>149</v>
      </c>
      <c r="F106" s="480"/>
      <c r="G106" s="481" t="str">
        <f>VLOOKUP(($B107*10)+1,Results,$F$3,FALSE)</f>
        <v>Joshua Baylis</v>
      </c>
      <c r="H106" s="482"/>
      <c r="I106" s="483" t="str">
        <f>VLOOKUP(($B107*10)+2,Results,$F$3,FALSE)</f>
        <v>Sebastian Lees</v>
      </c>
      <c r="J106" s="482"/>
      <c r="K106" s="483" t="str">
        <f>VLOOKUP(($B107*10)+3,Results,$F$3,FALSE)</f>
        <v>Rayan Faci</v>
      </c>
      <c r="L106" s="482"/>
      <c r="M106" s="483" t="str">
        <f>VLOOKUP(($B107*10)+4,Results,$F$3,FALSE)</f>
        <v>Albert Moore</v>
      </c>
      <c r="N106" s="482"/>
      <c r="O106" s="483" t="str">
        <f>VLOOKUP(($B107*10)+5,Results,$F$3,FALSE)</f>
        <v>Lenny Harris</v>
      </c>
      <c r="P106" s="482"/>
      <c r="Q106" s="483" t="str">
        <f>VLOOKUP(($B107*10)+6,Results,$F$3,FALSE)</f>
        <v>Sebastien Emerey</v>
      </c>
      <c r="R106" s="484"/>
      <c r="S106" s="485" t="str">
        <f>VLOOKUP(($B107*10)+7,Results,$F$3,FALSE)</f>
        <v>Alexander Bird</v>
      </c>
      <c r="T106" s="482"/>
      <c r="U106" s="483" t="str">
        <f>VLOOKUP(($B107*10)+8,Results,$F$3,FALSE)</f>
        <v/>
      </c>
      <c r="V106" s="486"/>
      <c r="W106" s="487"/>
      <c r="X106" s="488"/>
      <c r="Y106" s="488"/>
      <c r="Z106" s="488"/>
      <c r="AA106" s="488"/>
      <c r="AB106" s="488"/>
      <c r="AC106" s="488"/>
      <c r="AD106" s="489"/>
    </row>
    <row r="107" spans="1:30" x14ac:dyDescent="0.3">
      <c r="A107" s="118" t="str">
        <f>B107&amp;"A"</f>
        <v>9A</v>
      </c>
      <c r="B107" s="24">
        <v>9</v>
      </c>
      <c r="C107" s="572">
        <f>VLOOKUP(B107,EventsOrder,2,FALSE)</f>
        <v>11.4</v>
      </c>
      <c r="D107" s="490"/>
      <c r="E107" s="11"/>
      <c r="F107" s="492"/>
      <c r="G107" s="493" t="str">
        <f>VLOOKUP(($B107*10)+1,Results,$G$3,FALSE)</f>
        <v>Sol</v>
      </c>
      <c r="H107" s="494" t="str">
        <f>VLOOKUP(($B107*10)+1,Results,$H$3,FALSE)</f>
        <v>2.22.0</v>
      </c>
      <c r="I107" s="495" t="str">
        <f>VLOOKUP(($B107*10)+2,Results,$G$3,FALSE)</f>
        <v>Royal</v>
      </c>
      <c r="J107" s="494" t="str">
        <f>VLOOKUP(($B107*10)+2,Results,$H$3,FALSE)</f>
        <v>2.26.6</v>
      </c>
      <c r="K107" s="495" t="str">
        <f>VLOOKUP(($B107*10)+3,Results,$G$3,FALSE)</f>
        <v>Worc</v>
      </c>
      <c r="L107" s="494" t="str">
        <f>VLOOKUP(($B107*10)+3,Results,$H$3,FALSE)</f>
        <v>2.28.6</v>
      </c>
      <c r="M107" s="495" t="str">
        <f>VLOOKUP(($B107*10)+4,Results,$G$3,FALSE)</f>
        <v>Strat</v>
      </c>
      <c r="N107" s="494" t="str">
        <f>VLOOKUP(($B107*10)+4,Results,$H$3,FALSE)</f>
        <v>2.30.6</v>
      </c>
      <c r="O107" s="495" t="str">
        <f>VLOOKUP(($B107*10)+5,Results,$G$3,FALSE)</f>
        <v>Rugby</v>
      </c>
      <c r="P107" s="494" t="str">
        <f>VLOOKUP(($B107*10)+5,Results,$H$3,FALSE)</f>
        <v>2.36.3</v>
      </c>
      <c r="Q107" s="495" t="str">
        <f>VLOOKUP(($B107*10)+6,Results,$G$3,FALSE)</f>
        <v>BRAT</v>
      </c>
      <c r="R107" s="495" t="str">
        <f>VLOOKUP(($B107*10)+6,Results,$H$3,FALSE)</f>
        <v>2.36.8</v>
      </c>
      <c r="S107" s="496" t="str">
        <f>VLOOKUP(($B107*10)+7,Results,$G$3,FALSE)</f>
        <v>K&amp;S</v>
      </c>
      <c r="T107" s="494" t="str">
        <f>VLOOKUP(($B107*10)+7,Results,$H$3,FALSE)</f>
        <v>2.37.3</v>
      </c>
      <c r="U107" s="495">
        <f>VLOOKUP(($B107*10)+8,Results,$G$3,FALSE)</f>
        <v>0</v>
      </c>
      <c r="V107" s="497">
        <f>VLOOKUP(($B107*10)+8,Results,$H$3,FALSE)</f>
        <v>0</v>
      </c>
      <c r="W107" s="498">
        <f>VLOOKUP(($B107*10)+1,Results,$I$3,FALSE)</f>
        <v>3</v>
      </c>
      <c r="X107" s="499">
        <f>VLOOKUP(($B107*10)+2,Results,$I$3,FALSE)</f>
        <v>2</v>
      </c>
      <c r="Y107" s="499">
        <f>VLOOKUP(($B107*10)+3,Results,$I$3,FALSE)</f>
        <v>7</v>
      </c>
      <c r="Z107" s="499">
        <f>VLOOKUP(($B107*10)+4,Results,$I$3,FALSE)</f>
        <v>4</v>
      </c>
      <c r="AA107" s="499">
        <f>VLOOKUP(($B107*10)+5,Results,$I$3,FALSE)</f>
        <v>8</v>
      </c>
      <c r="AB107" s="499">
        <f>VLOOKUP(($B107*10)+6,Results,$I$3,FALSE)</f>
        <v>5</v>
      </c>
      <c r="AC107" s="499">
        <f>VLOOKUP(($B107*10)+7,Results,$I$3,FALSE)</f>
        <v>0</v>
      </c>
      <c r="AD107" s="500">
        <f>VLOOKUP(($B107*10)+8,Results,$I$3,FALSE)</f>
        <v>6</v>
      </c>
    </row>
    <row r="108" spans="1:30" x14ac:dyDescent="0.3">
      <c r="A108" s="118" t="str">
        <f>B107&amp;"B"</f>
        <v>9B</v>
      </c>
      <c r="B108" s="506"/>
      <c r="C108" s="572"/>
      <c r="D108" s="479" t="str">
        <f>VLOOKUP(B107,EventsOrder,3,FALSE)</f>
        <v>800m</v>
      </c>
      <c r="E108" s="515" t="s">
        <v>94</v>
      </c>
      <c r="F108" s="529"/>
      <c r="G108" s="547" t="str">
        <f>VLOOKUP(($B107*10)+1,Results,$F$4,FALSE)</f>
        <v>Andre Albarel</v>
      </c>
      <c r="H108" s="517"/>
      <c r="I108" s="548" t="str">
        <f>VLOOKUP(($B107*10)+2,Results,$F$4,FALSE)</f>
        <v>Jacob Fung</v>
      </c>
      <c r="J108" s="517"/>
      <c r="K108" s="548" t="str">
        <f>VLOOKUP(($B107*10)+3,Results,$F$4,FALSE)</f>
        <v>Micah Hakata</v>
      </c>
      <c r="L108" s="517"/>
      <c r="M108" s="548" t="str">
        <f>VLOOKUP(($B107*10)+4,Results,$F$4,FALSE)</f>
        <v xml:space="preserve">Henry Stacey Harper </v>
      </c>
      <c r="N108" s="517"/>
      <c r="O108" s="548" t="str">
        <f>VLOOKUP(($B107*10)+5,Results,$F$4,FALSE)</f>
        <v>Rohan Tummala</v>
      </c>
      <c r="P108" s="517"/>
      <c r="Q108" s="548" t="str">
        <f>VLOOKUP(($B107*10)+6,Results,$F$4,FALSE)</f>
        <v/>
      </c>
      <c r="R108" s="549"/>
      <c r="S108" s="575" t="str">
        <f>VLOOKUP(($B107*10)+7,Results,$F$4,FALSE)</f>
        <v/>
      </c>
      <c r="T108" s="517"/>
      <c r="U108" s="548" t="str">
        <f>VLOOKUP(($B107*10)+8,Results,$F$4,FALSE)</f>
        <v/>
      </c>
      <c r="V108" s="519"/>
      <c r="W108" s="487"/>
      <c r="X108" s="488"/>
      <c r="Y108" s="488"/>
      <c r="Z108" s="488"/>
      <c r="AA108" s="488"/>
      <c r="AB108" s="488"/>
      <c r="AC108" s="488"/>
      <c r="AD108" s="489"/>
    </row>
    <row r="109" spans="1:30" ht="15" thickBot="1" x14ac:dyDescent="0.35">
      <c r="A109" s="118" t="str">
        <f>B107&amp;"B"</f>
        <v>9B</v>
      </c>
      <c r="B109" s="506"/>
      <c r="C109" s="576"/>
      <c r="D109" s="502"/>
      <c r="E109" s="523"/>
      <c r="F109" s="503"/>
      <c r="G109" s="554" t="str">
        <f>VLOOKUP(($B107*10)+1,Results,$G$4,FALSE)</f>
        <v>Sol</v>
      </c>
      <c r="H109" s="577" t="str">
        <f>VLOOKUP(($B107*10)+1,Results,$H$4,FALSE)</f>
        <v>2.23.8</v>
      </c>
      <c r="I109" s="556" t="str">
        <f>VLOOKUP(($B107*10)+2,Results,$G$4,FALSE)</f>
        <v>BRAT</v>
      </c>
      <c r="J109" s="577" t="str">
        <f>VLOOKUP(($B107*10)+2,Results,$H$4,FALSE)</f>
        <v>2.29.1</v>
      </c>
      <c r="K109" s="556" t="str">
        <f>VLOOKUP(($B107*10)+3,Results,$G$4,FALSE)</f>
        <v>Royal</v>
      </c>
      <c r="L109" s="577" t="str">
        <f>VLOOKUP(($B107*10)+3,Results,$H$4,FALSE)</f>
        <v>2.32.2</v>
      </c>
      <c r="M109" s="556" t="str">
        <f>VLOOKUP(($B107*10)+4,Results,$G$4,FALSE)</f>
        <v>Strat</v>
      </c>
      <c r="N109" s="577" t="str">
        <f>VLOOKUP(($B107*10)+4,Results,$H$4,FALSE)</f>
        <v>2.44.7</v>
      </c>
      <c r="O109" s="556" t="str">
        <f>VLOOKUP(($B107*10)+5,Results,$G$4,FALSE)</f>
        <v>Rugby</v>
      </c>
      <c r="P109" s="577" t="str">
        <f>VLOOKUP(($B107*10)+5,Results,$H$4,FALSE)</f>
        <v>2.45.3</v>
      </c>
      <c r="Q109" s="556">
        <f>VLOOKUP(($B107*10)+6,Results,$G$4,FALSE)</f>
        <v>0</v>
      </c>
      <c r="R109" s="577">
        <f>VLOOKUP(($B107*10)+6,Results,$H$4,FALSE)</f>
        <v>0</v>
      </c>
      <c r="S109" s="556">
        <f>VLOOKUP(($B107*10)+7,Results,$G$4,FALSE)</f>
        <v>0</v>
      </c>
      <c r="T109" s="577">
        <f>VLOOKUP(($B107*10)+7,Results,$H$4,FALSE)</f>
        <v>0</v>
      </c>
      <c r="U109" s="556">
        <f>VLOOKUP(($B107*10)+8,Results,$G$4,FALSE)</f>
        <v>0</v>
      </c>
      <c r="V109" s="578">
        <f>VLOOKUP(($B107*10)+8,Results,$H$4,FALSE)</f>
        <v>0</v>
      </c>
      <c r="W109" s="498">
        <f>VLOOKUP(($B107*10)+1,Results,$I$4,FALSE)</f>
        <v>7</v>
      </c>
      <c r="X109" s="499">
        <f>VLOOKUP(($B107*10)+2,Results,$I$4,FALSE)</f>
        <v>0</v>
      </c>
      <c r="Y109" s="499">
        <f>VLOOKUP(($B107*10)+3,Results,$I$4,FALSE)</f>
        <v>6</v>
      </c>
      <c r="Z109" s="499">
        <f>VLOOKUP(($B107*10)+4,Results,$I$4,FALSE)</f>
        <v>4</v>
      </c>
      <c r="AA109" s="499">
        <f>VLOOKUP(($B107*10)+5,Results,$I$4,FALSE)</f>
        <v>8</v>
      </c>
      <c r="AB109" s="499">
        <f>VLOOKUP(($B107*10)+6,Results,$I$4,FALSE)</f>
        <v>5</v>
      </c>
      <c r="AC109" s="499">
        <f>VLOOKUP(($B107*10)+7,Results,$I$4,FALSE)</f>
        <v>0</v>
      </c>
      <c r="AD109" s="500">
        <f>VLOOKUP(($B107*10)+8,Results,$I$4,FALSE)</f>
        <v>0</v>
      </c>
    </row>
    <row r="110" spans="1:30" x14ac:dyDescent="0.3">
      <c r="A110" s="118" t="str">
        <f>B111&amp;"A"</f>
        <v>14A</v>
      </c>
      <c r="B110" s="506"/>
      <c r="C110" s="571"/>
      <c r="D110" s="479" t="str">
        <f>VLOOKUP(B111,EventsOrder,4,FALSE)</f>
        <v>U14 Male</v>
      </c>
      <c r="E110" s="515" t="s">
        <v>149</v>
      </c>
      <c r="F110" s="480"/>
      <c r="G110" s="481" t="str">
        <f>VLOOKUP(($B111*10)+1,Results,$F$3,FALSE)</f>
        <v xml:space="preserve">William Tse </v>
      </c>
      <c r="H110" s="482"/>
      <c r="I110" s="483" t="str">
        <f>VLOOKUP(($B111*10)+2,Results,$F$3,FALSE)</f>
        <v>Robert Copeland</v>
      </c>
      <c r="J110" s="482"/>
      <c r="K110" s="483" t="str">
        <f>VLOOKUP(($B111*10)+3,Results,$F$3,FALSE)</f>
        <v>Fynn Allen</v>
      </c>
      <c r="L110" s="482"/>
      <c r="M110" s="483" t="str">
        <f>VLOOKUP(($B111*10)+4,Results,$F$3,FALSE)</f>
        <v>Lewis Deffley</v>
      </c>
      <c r="N110" s="482"/>
      <c r="O110" s="483" t="str">
        <f>VLOOKUP(($B111*10)+5,Results,$F$3,FALSE)</f>
        <v>Ethan Miles</v>
      </c>
      <c r="P110" s="482"/>
      <c r="Q110" s="483" t="str">
        <f>VLOOKUP(($B111*10)+6,Results,$F$3,FALSE)</f>
        <v>Will Freeman</v>
      </c>
      <c r="R110" s="484"/>
      <c r="S110" s="485" t="str">
        <f>VLOOKUP(($B111*10)+7,Results,$F$3,FALSE)</f>
        <v>Alfie Kemp</v>
      </c>
      <c r="T110" s="482"/>
      <c r="U110" s="483" t="str">
        <f>VLOOKUP(($B111*10)+8,Results,$F$3,FALSE)</f>
        <v/>
      </c>
      <c r="V110" s="486"/>
      <c r="W110" s="487"/>
      <c r="X110" s="488"/>
      <c r="Y110" s="488"/>
      <c r="Z110" s="488"/>
      <c r="AA110" s="488"/>
      <c r="AB110" s="488"/>
      <c r="AC110" s="488"/>
      <c r="AD110" s="489"/>
    </row>
    <row r="111" spans="1:30" x14ac:dyDescent="0.3">
      <c r="A111" s="118" t="str">
        <f>B111&amp;"A"</f>
        <v>14A</v>
      </c>
      <c r="B111" s="24">
        <v>14</v>
      </c>
      <c r="C111" s="572">
        <f>VLOOKUP(B111,EventsOrder,2,FALSE)</f>
        <v>12</v>
      </c>
      <c r="D111" s="490"/>
      <c r="E111" s="11"/>
      <c r="F111" s="492"/>
      <c r="G111" s="493" t="str">
        <f>VLOOKUP(($B111*10)+1,Results,$G$3,FALSE)</f>
        <v>BRAT</v>
      </c>
      <c r="H111" s="505">
        <f>VLOOKUP(($B111*10)+1,Results,$H$3,FALSE)</f>
        <v>12.8</v>
      </c>
      <c r="I111" s="495" t="str">
        <f>VLOOKUP(($B111*10)+2,Results,$G$3,FALSE)</f>
        <v>Rugby</v>
      </c>
      <c r="J111" s="505">
        <f>VLOOKUP(($B111*10)+2,Results,$H$3,FALSE)</f>
        <v>13.4</v>
      </c>
      <c r="K111" s="495" t="str">
        <f>VLOOKUP(($B111*10)+3,Results,$G$3,FALSE)</f>
        <v>Strat</v>
      </c>
      <c r="L111" s="505">
        <f>VLOOKUP(($B111*10)+3,Results,$H$3,FALSE)</f>
        <v>13.9</v>
      </c>
      <c r="M111" s="495" t="str">
        <f>VLOOKUP(($B111*10)+4,Results,$G$3,FALSE)</f>
        <v>Royal</v>
      </c>
      <c r="N111" s="505">
        <f>VLOOKUP(($B111*10)+4,Results,$H$3,FALSE)</f>
        <v>15.3</v>
      </c>
      <c r="O111" s="495" t="str">
        <f>VLOOKUP(($B111*10)+5,Results,$G$3,FALSE)</f>
        <v>Sol</v>
      </c>
      <c r="P111" s="505">
        <f>VLOOKUP(($B111*10)+5,Results,$H$3,FALSE)</f>
        <v>15.4</v>
      </c>
      <c r="Q111" s="495" t="str">
        <f>VLOOKUP(($B111*10)+6,Results,$G$3,FALSE)</f>
        <v>K&amp;S</v>
      </c>
      <c r="R111" s="505">
        <f>VLOOKUP(($B111*10)+6,Results,$H$3,FALSE)</f>
        <v>15.8</v>
      </c>
      <c r="S111" s="496" t="str">
        <f>VLOOKUP(($B111*10)+7,Results,$G$3,FALSE)</f>
        <v>Tam</v>
      </c>
      <c r="T111" s="505">
        <f>VLOOKUP(($B111*10)+7,Results,$H$3,FALSE)</f>
        <v>18.899999999999999</v>
      </c>
      <c r="U111" s="495">
        <f>VLOOKUP(($B111*10)+8,Results,$G$3,FALSE)</f>
        <v>0</v>
      </c>
      <c r="V111" s="505">
        <f>VLOOKUP(($B111*10)+8,Results,$H$3,FALSE)</f>
        <v>0</v>
      </c>
      <c r="W111" s="498">
        <f>VLOOKUP(($B111*10)+1,Results,$I$3,FALSE)</f>
        <v>8</v>
      </c>
      <c r="X111" s="499">
        <f>VLOOKUP(($B111*10)+2,Results,$I$3,FALSE)</f>
        <v>3</v>
      </c>
      <c r="Y111" s="499">
        <f>VLOOKUP(($B111*10)+3,Results,$I$3,FALSE)</f>
        <v>5</v>
      </c>
      <c r="Z111" s="499">
        <f>VLOOKUP(($B111*10)+4,Results,$I$3,FALSE)</f>
        <v>7</v>
      </c>
      <c r="AA111" s="499">
        <f>VLOOKUP(($B111*10)+5,Results,$I$3,FALSE)</f>
        <v>4</v>
      </c>
      <c r="AB111" s="499">
        <f>VLOOKUP(($B111*10)+6,Results,$I$3,FALSE)</f>
        <v>6</v>
      </c>
      <c r="AC111" s="499">
        <f>VLOOKUP(($B111*10)+7,Results,$I$3,FALSE)</f>
        <v>2</v>
      </c>
      <c r="AD111" s="500">
        <f>VLOOKUP(($B111*10)+8,Results,$I$3,FALSE)</f>
        <v>0</v>
      </c>
    </row>
    <row r="112" spans="1:30" x14ac:dyDescent="0.3">
      <c r="A112" s="118" t="str">
        <f>B111&amp;"B"</f>
        <v>14B</v>
      </c>
      <c r="B112" s="506"/>
      <c r="C112" s="572"/>
      <c r="D112" s="479" t="str">
        <f>VLOOKUP(B111,EventsOrder,3,FALSE)</f>
        <v>80m hurdles</v>
      </c>
      <c r="E112" s="515" t="s">
        <v>94</v>
      </c>
      <c r="F112" s="529"/>
      <c r="G112" s="547" t="str">
        <f>VLOOKUP(($B111*10)+1,Results,$F$4,FALSE)</f>
        <v>Finley Aldridge-Cox</v>
      </c>
      <c r="H112" s="517"/>
      <c r="I112" s="548" t="str">
        <f>VLOOKUP(($B111*10)+2,Results,$F$4,FALSE)</f>
        <v>Otis Lesatele</v>
      </c>
      <c r="J112" s="517"/>
      <c r="K112" s="548" t="str">
        <f>VLOOKUP(($B111*10)+3,Results,$F$4,FALSE)</f>
        <v xml:space="preserve">Harvey Harris </v>
      </c>
      <c r="L112" s="517"/>
      <c r="M112" s="548" t="str">
        <f>VLOOKUP(($B111*10)+4,Results,$F$4,FALSE)</f>
        <v/>
      </c>
      <c r="N112" s="517"/>
      <c r="O112" s="548" t="str">
        <f>VLOOKUP(($B111*10)+5,Results,$F$4,FALSE)</f>
        <v/>
      </c>
      <c r="P112" s="517"/>
      <c r="Q112" s="548" t="str">
        <f>VLOOKUP(($B111*10)+6,Results,$F$4,FALSE)</f>
        <v/>
      </c>
      <c r="R112" s="549"/>
      <c r="S112" s="575" t="str">
        <f>VLOOKUP(($B111*10)+7,Results,$F$4,FALSE)</f>
        <v/>
      </c>
      <c r="T112" s="517"/>
      <c r="U112" s="548" t="str">
        <f>VLOOKUP(($B111*10)+8,Results,$F$4,FALSE)</f>
        <v/>
      </c>
      <c r="V112" s="549"/>
      <c r="W112" s="487"/>
      <c r="X112" s="488"/>
      <c r="Y112" s="488"/>
      <c r="Z112" s="488"/>
      <c r="AA112" s="488"/>
      <c r="AB112" s="488"/>
      <c r="AC112" s="488"/>
      <c r="AD112" s="489"/>
    </row>
    <row r="113" spans="1:30" ht="15" thickBot="1" x14ac:dyDescent="0.35">
      <c r="A113" s="118" t="str">
        <f>B111&amp;"B"</f>
        <v>14B</v>
      </c>
      <c r="B113" s="506"/>
      <c r="C113" s="576"/>
      <c r="D113" s="502"/>
      <c r="E113" s="523"/>
      <c r="F113" s="503"/>
      <c r="G113" s="554" t="str">
        <f>VLOOKUP(($B111*10)+1,Results,$G$4,FALSE)</f>
        <v>Royal</v>
      </c>
      <c r="H113" s="505">
        <f>VLOOKUP(($B111*10)+1,Results,$H$4,FALSE)</f>
        <v>14.2</v>
      </c>
      <c r="I113" s="556" t="str">
        <f>VLOOKUP(($B111*10)+2,Results,$G$4,FALSE)</f>
        <v>Strat</v>
      </c>
      <c r="J113" s="505">
        <f>VLOOKUP(($B111*10)+2,Results,$H$4,FALSE)</f>
        <v>14.8</v>
      </c>
      <c r="K113" s="556" t="str">
        <f>VLOOKUP(($B111*10)+3,Results,$G$4,FALSE)</f>
        <v>BRAT</v>
      </c>
      <c r="L113" s="505">
        <f>VLOOKUP(($B111*10)+3,Results,$H$4,FALSE)</f>
        <v>17</v>
      </c>
      <c r="M113" s="556">
        <f>VLOOKUP(($B111*10)+4,Results,$G$4,FALSE)</f>
        <v>0</v>
      </c>
      <c r="N113" s="505">
        <f>VLOOKUP(($B111*10)+4,Results,$H$4,FALSE)</f>
        <v>0</v>
      </c>
      <c r="O113" s="556">
        <f>VLOOKUP(($B111*10)+5,Results,$G$4,FALSE)</f>
        <v>0</v>
      </c>
      <c r="P113" s="505">
        <f>VLOOKUP(($B111*10)+5,Results,$H$4,FALSE)</f>
        <v>0</v>
      </c>
      <c r="Q113" s="556">
        <f>VLOOKUP(($B111*10)+6,Results,$G$4,FALSE)</f>
        <v>0</v>
      </c>
      <c r="R113" s="505">
        <f>VLOOKUP(($B111*10)+6,Results,$H$4,FALSE)</f>
        <v>0</v>
      </c>
      <c r="S113" s="556">
        <f>VLOOKUP(($B111*10)+7,Results,$G$4,FALSE)</f>
        <v>0</v>
      </c>
      <c r="T113" s="505">
        <f>VLOOKUP(($B111*10)+7,Results,$H$4,FALSE)</f>
        <v>0</v>
      </c>
      <c r="U113" s="556">
        <f>VLOOKUP(($B111*10)+8,Results,$G$4,FALSE)</f>
        <v>0</v>
      </c>
      <c r="V113" s="505">
        <f>VLOOKUP(($B111*10)+8,Results,$H$4,FALSE)</f>
        <v>0</v>
      </c>
      <c r="W113" s="498">
        <f>VLOOKUP(($B111*10)+1,Results,$I$4,FALSE)</f>
        <v>6</v>
      </c>
      <c r="X113" s="499">
        <f>VLOOKUP(($B111*10)+2,Results,$I$4,FALSE)</f>
        <v>0</v>
      </c>
      <c r="Y113" s="499">
        <f>VLOOKUP(($B111*10)+3,Results,$I$4,FALSE)</f>
        <v>8</v>
      </c>
      <c r="Z113" s="499">
        <f>VLOOKUP(($B111*10)+4,Results,$I$4,FALSE)</f>
        <v>0</v>
      </c>
      <c r="AA113" s="499">
        <f>VLOOKUP(($B111*10)+5,Results,$I$4,FALSE)</f>
        <v>0</v>
      </c>
      <c r="AB113" s="499">
        <f>VLOOKUP(($B111*10)+6,Results,$I$4,FALSE)</f>
        <v>7</v>
      </c>
      <c r="AC113" s="499">
        <f>VLOOKUP(($B111*10)+7,Results,$I$4,FALSE)</f>
        <v>0</v>
      </c>
      <c r="AD113" s="500">
        <f>VLOOKUP(($B111*10)+8,Results,$I$4,FALSE)</f>
        <v>0</v>
      </c>
    </row>
    <row r="114" spans="1:30" x14ac:dyDescent="0.3">
      <c r="A114" s="118" t="str">
        <f>B115&amp;"A"</f>
        <v>24A</v>
      </c>
      <c r="B114" s="506"/>
      <c r="C114" s="571"/>
      <c r="D114" s="479" t="str">
        <f>VLOOKUP(B115,EventsOrder,4,FALSE)</f>
        <v>U14 Male</v>
      </c>
      <c r="E114" s="515" t="s">
        <v>149</v>
      </c>
      <c r="F114" s="480"/>
      <c r="G114" s="481" t="str">
        <f>VLOOKUP(($B115*10)+1,Results,$F$3,FALSE)</f>
        <v>Robert Copeland</v>
      </c>
      <c r="H114" s="482"/>
      <c r="I114" s="483" t="str">
        <f>VLOOKUP(($B115*10)+2,Results,$F$3,FALSE)</f>
        <v>Charlie Keenan</v>
      </c>
      <c r="J114" s="482"/>
      <c r="K114" s="483" t="str">
        <f>VLOOKUP(($B115*10)+3,Results,$F$3,FALSE)</f>
        <v>Will Freeman</v>
      </c>
      <c r="L114" s="482"/>
      <c r="M114" s="483" t="str">
        <f>VLOOKUP(($B115*10)+4,Results,$F$3,FALSE)</f>
        <v>Lewis Deffley</v>
      </c>
      <c r="N114" s="482"/>
      <c r="O114" s="483" t="str">
        <f>VLOOKUP(($B115*10)+5,Results,$F$3,FALSE)</f>
        <v>Peter Holdsworth</v>
      </c>
      <c r="P114" s="482"/>
      <c r="Q114" s="483" t="str">
        <f>VLOOKUP(($B115*10)+6,Results,$F$3,FALSE)</f>
        <v>Felix Hickman</v>
      </c>
      <c r="R114" s="484"/>
      <c r="S114" s="485" t="str">
        <f>VLOOKUP(($B115*10)+7,Results,$F$3,FALSE)</f>
        <v>Rayan Faci</v>
      </c>
      <c r="T114" s="482"/>
      <c r="U114" s="483" t="str">
        <f>VLOOKUP(($B115*10)+8,Results,$F$3,FALSE)</f>
        <v/>
      </c>
      <c r="V114" s="486"/>
      <c r="W114" s="487"/>
      <c r="X114" s="488"/>
      <c r="Y114" s="488"/>
      <c r="Z114" s="488"/>
      <c r="AA114" s="488"/>
      <c r="AB114" s="488"/>
      <c r="AC114" s="488"/>
      <c r="AD114" s="489"/>
    </row>
    <row r="115" spans="1:30" x14ac:dyDescent="0.3">
      <c r="A115" s="118" t="str">
        <f>B115&amp;"A"</f>
        <v>24A</v>
      </c>
      <c r="B115" s="24">
        <v>24</v>
      </c>
      <c r="C115" s="572">
        <f>VLOOKUP(B115,EventsOrder,2,FALSE)</f>
        <v>1</v>
      </c>
      <c r="D115" s="490"/>
      <c r="E115" s="11"/>
      <c r="F115" s="492"/>
      <c r="G115" s="493" t="str">
        <f>VLOOKUP(($B115*10)+1,Results,$G$3,FALSE)</f>
        <v>Rugby</v>
      </c>
      <c r="H115" s="573">
        <f>VLOOKUP(($B115*10)+1,Results,$H$3,FALSE)</f>
        <v>34.65</v>
      </c>
      <c r="I115" s="495" t="str">
        <f>VLOOKUP(($B115*10)+2,Results,$G$3,FALSE)</f>
        <v>BRAT</v>
      </c>
      <c r="J115" s="573">
        <f>VLOOKUP(($B115*10)+2,Results,$H$3,FALSE)</f>
        <v>28.88</v>
      </c>
      <c r="K115" s="495" t="str">
        <f>VLOOKUP(($B115*10)+3,Results,$G$3,FALSE)</f>
        <v>K&amp;S</v>
      </c>
      <c r="L115" s="573">
        <f>VLOOKUP(($B115*10)+3,Results,$H$3,FALSE)</f>
        <v>27.81</v>
      </c>
      <c r="M115" s="495" t="str">
        <f>VLOOKUP(($B115*10)+4,Results,$G$3,FALSE)</f>
        <v>Royal</v>
      </c>
      <c r="N115" s="573">
        <f>VLOOKUP(($B115*10)+4,Results,$H$3,FALSE)</f>
        <v>19.88</v>
      </c>
      <c r="O115" s="495" t="str">
        <f>VLOOKUP(($B115*10)+5,Results,$G$3,FALSE)</f>
        <v>Sol</v>
      </c>
      <c r="P115" s="573">
        <f>VLOOKUP(($B115*10)+5,Results,$H$3,FALSE)</f>
        <v>18.78</v>
      </c>
      <c r="Q115" s="495" t="str">
        <f>VLOOKUP(($B115*10)+6,Results,$G$3,FALSE)</f>
        <v>Tam</v>
      </c>
      <c r="R115" s="574">
        <f>VLOOKUP(($B115*10)+6,Results,$H$3,FALSE)</f>
        <v>15.56</v>
      </c>
      <c r="S115" s="496" t="str">
        <f>VLOOKUP(($B115*10)+7,Results,$G$3,FALSE)</f>
        <v>Worc</v>
      </c>
      <c r="T115" s="573">
        <f>VLOOKUP(($B115*10)+7,Results,$H$3,FALSE)</f>
        <v>11.52</v>
      </c>
      <c r="U115" s="495">
        <f>VLOOKUP(($B115*10)+8,Results,$G$3,FALSE)</f>
        <v>0</v>
      </c>
      <c r="V115" s="574">
        <f>VLOOKUP(($B115*10)+8,Results,$H$3,FALSE)</f>
        <v>0</v>
      </c>
      <c r="W115" s="498">
        <f>VLOOKUP(($B115*10)+1,Results,$I$3,FALSE)</f>
        <v>7</v>
      </c>
      <c r="X115" s="499">
        <f>VLOOKUP(($B115*10)+2,Results,$I$3,FALSE)</f>
        <v>6</v>
      </c>
      <c r="Y115" s="499">
        <f>VLOOKUP(($B115*10)+3,Results,$I$3,FALSE)</f>
        <v>5</v>
      </c>
      <c r="Z115" s="499">
        <f>VLOOKUP(($B115*10)+4,Results,$I$3,FALSE)</f>
        <v>8</v>
      </c>
      <c r="AA115" s="499">
        <f>VLOOKUP(($B115*10)+5,Results,$I$3,FALSE)</f>
        <v>4</v>
      </c>
      <c r="AB115" s="499">
        <f>VLOOKUP(($B115*10)+6,Results,$I$3,FALSE)</f>
        <v>0</v>
      </c>
      <c r="AC115" s="499">
        <f>VLOOKUP(($B115*10)+7,Results,$I$3,FALSE)</f>
        <v>3</v>
      </c>
      <c r="AD115" s="500">
        <f>VLOOKUP(($B115*10)+8,Results,$I$3,FALSE)</f>
        <v>2</v>
      </c>
    </row>
    <row r="116" spans="1:30" x14ac:dyDescent="0.3">
      <c r="A116" s="118" t="str">
        <f>B115&amp;"B"</f>
        <v>24B</v>
      </c>
      <c r="B116" s="506"/>
      <c r="C116" s="572"/>
      <c r="D116" s="479" t="str">
        <f>VLOOKUP(B115,EventsOrder,3,FALSE)</f>
        <v>Javelin</v>
      </c>
      <c r="E116" s="515" t="s">
        <v>94</v>
      </c>
      <c r="F116" s="529"/>
      <c r="G116" s="547" t="str">
        <f>VLOOKUP(($B115*10)+1,Results,$F$4,FALSE)</f>
        <v>Wesley Hague</v>
      </c>
      <c r="H116" s="517"/>
      <c r="I116" s="548" t="str">
        <f>VLOOKUP(($B115*10)+2,Results,$F$4,FALSE)</f>
        <v>Lombe Lombe</v>
      </c>
      <c r="J116" s="517"/>
      <c r="K116" s="548" t="str">
        <f>VLOOKUP(($B115*10)+3,Results,$F$4,FALSE)</f>
        <v>Joshua Baylis</v>
      </c>
      <c r="L116" s="517"/>
      <c r="M116" s="548" t="str">
        <f>VLOOKUP(($B115*10)+4,Results,$F$4,FALSE)</f>
        <v>Benjamin Askey</v>
      </c>
      <c r="N116" s="517"/>
      <c r="O116" s="548" t="str">
        <f>VLOOKUP(($B115*10)+5,Results,$F$4,FALSE)</f>
        <v>Joseph Sizer</v>
      </c>
      <c r="P116" s="517"/>
      <c r="Q116" s="548" t="str">
        <f>VLOOKUP(($B115*10)+6,Results,$F$4,FALSE)</f>
        <v>Sam Gromski</v>
      </c>
      <c r="R116" s="549"/>
      <c r="S116" s="575" t="str">
        <f>VLOOKUP(($B115*10)+7,Results,$F$4,FALSE)</f>
        <v/>
      </c>
      <c r="T116" s="517"/>
      <c r="U116" s="548" t="str">
        <f>VLOOKUP(($B115*10)+8,Results,$F$4,FALSE)</f>
        <v/>
      </c>
      <c r="V116" s="549"/>
      <c r="W116" s="487"/>
      <c r="X116" s="488"/>
      <c r="Y116" s="488"/>
      <c r="Z116" s="488"/>
      <c r="AA116" s="488"/>
      <c r="AB116" s="488"/>
      <c r="AC116" s="488"/>
      <c r="AD116" s="489"/>
    </row>
    <row r="117" spans="1:30" ht="15" thickBot="1" x14ac:dyDescent="0.35">
      <c r="A117" s="118" t="str">
        <f>B115&amp;"B"</f>
        <v>24B</v>
      </c>
      <c r="B117" s="506"/>
      <c r="C117" s="576"/>
      <c r="D117" s="502"/>
      <c r="E117" s="523"/>
      <c r="F117" s="503"/>
      <c r="G117" s="554" t="str">
        <f>VLOOKUP(($B115*10)+1,Results,$G$4,FALSE)</f>
        <v>Rugby</v>
      </c>
      <c r="H117" s="573">
        <f>VLOOKUP(($B115*10)+1,Results,$H$4,FALSE)</f>
        <v>21.06</v>
      </c>
      <c r="I117" s="495" t="str">
        <f>VLOOKUP(($B115*10)+2,Results,$G$4,FALSE)</f>
        <v>BRAT</v>
      </c>
      <c r="J117" s="573">
        <f>VLOOKUP(($B115*10)+2,Results,$H$4,FALSE)</f>
        <v>20.7</v>
      </c>
      <c r="K117" s="495" t="str">
        <f>VLOOKUP(($B115*10)+3,Results,$G$4,FALSE)</f>
        <v>Sol</v>
      </c>
      <c r="L117" s="573">
        <f>VLOOKUP(($B115*10)+3,Results,$H$4,FALSE)</f>
        <v>15.33</v>
      </c>
      <c r="M117" s="495" t="str">
        <f>VLOOKUP(($B115*10)+4,Results,$G$4,FALSE)</f>
        <v>K&amp;S</v>
      </c>
      <c r="N117" s="573">
        <f>VLOOKUP(($B115*10)+4,Results,$H$4,FALSE)</f>
        <v>13.22</v>
      </c>
      <c r="O117" s="495" t="str">
        <f>VLOOKUP(($B115*10)+5,Results,$G$4,FALSE)</f>
        <v>Tam</v>
      </c>
      <c r="P117" s="573">
        <f>VLOOKUP(($B115*10)+5,Results,$H$4,FALSE)</f>
        <v>11.66</v>
      </c>
      <c r="Q117" s="495" t="str">
        <f>VLOOKUP(($B115*10)+6,Results,$G$4,FALSE)</f>
        <v>Worc</v>
      </c>
      <c r="R117" s="574">
        <f>VLOOKUP(($B115*10)+6,Results,$H$4,FALSE)</f>
        <v>7.16</v>
      </c>
      <c r="S117" s="496">
        <f>VLOOKUP(($B115*10)+7,Results,$G$4,FALSE)</f>
        <v>0</v>
      </c>
      <c r="T117" s="573">
        <f>VLOOKUP(($B115*10)+7,Results,$H$4,FALSE)</f>
        <v>0</v>
      </c>
      <c r="U117" s="495">
        <f>VLOOKUP(($B115*10)+8,Results,$G$4,FALSE)</f>
        <v>0</v>
      </c>
      <c r="V117" s="574">
        <f>VLOOKUP(($B115*10)+8,Results,$H$4,FALSE)</f>
        <v>0</v>
      </c>
      <c r="W117" s="498">
        <f>VLOOKUP(($B115*10)+1,Results,$I$4,FALSE)</f>
        <v>7</v>
      </c>
      <c r="X117" s="499">
        <f>VLOOKUP(($B115*10)+2,Results,$I$4,FALSE)</f>
        <v>5</v>
      </c>
      <c r="Y117" s="499">
        <f>VLOOKUP(($B115*10)+3,Results,$I$4,FALSE)</f>
        <v>0</v>
      </c>
      <c r="Z117" s="499">
        <f>VLOOKUP(($B115*10)+4,Results,$I$4,FALSE)</f>
        <v>8</v>
      </c>
      <c r="AA117" s="499">
        <f>VLOOKUP(($B115*10)+5,Results,$I$4,FALSE)</f>
        <v>6</v>
      </c>
      <c r="AB117" s="499">
        <f>VLOOKUP(($B115*10)+6,Results,$I$4,FALSE)</f>
        <v>0</v>
      </c>
      <c r="AC117" s="499">
        <f>VLOOKUP(($B115*10)+7,Results,$I$4,FALSE)</f>
        <v>4</v>
      </c>
      <c r="AD117" s="500">
        <f>VLOOKUP(($B115*10)+8,Results,$I$4,FALSE)</f>
        <v>3</v>
      </c>
    </row>
    <row r="118" spans="1:30" x14ac:dyDescent="0.3">
      <c r="A118" s="118" t="str">
        <f>B119&amp;"A"</f>
        <v>43A</v>
      </c>
      <c r="B118" s="506"/>
      <c r="C118" s="571"/>
      <c r="D118" s="479" t="str">
        <f>VLOOKUP(B119,EventsOrder,4,FALSE)</f>
        <v>U14 Male</v>
      </c>
      <c r="E118" s="515" t="s">
        <v>149</v>
      </c>
      <c r="F118" s="480"/>
      <c r="G118" s="481" t="str">
        <f>VLOOKUP(($B119*10)+1,Results,$F$3,FALSE)</f>
        <v>Ademiposi (Gideon) Aderibigbe</v>
      </c>
      <c r="H118" s="482"/>
      <c r="I118" s="483" t="str">
        <f>VLOOKUP(($B119*10)+2,Results,$F$3,FALSE)</f>
        <v xml:space="preserve">William Tse </v>
      </c>
      <c r="J118" s="482"/>
      <c r="K118" s="483" t="str">
        <f>VLOOKUP(($B119*10)+3,Results,$F$3,FALSE)</f>
        <v>Karram Sahota</v>
      </c>
      <c r="L118" s="482"/>
      <c r="M118" s="483" t="str">
        <f>VLOOKUP(($B119*10)+4,Results,$F$3,FALSE)</f>
        <v>Jasper Hadley</v>
      </c>
      <c r="N118" s="482"/>
      <c r="O118" s="483" t="str">
        <f>VLOOKUP(($B119*10)+5,Results,$F$3,FALSE)</f>
        <v>Peter Holdsworth</v>
      </c>
      <c r="P118" s="482"/>
      <c r="Q118" s="483" t="str">
        <f>VLOOKUP(($B119*10)+6,Results,$F$3,FALSE)</f>
        <v>Zachary Hope</v>
      </c>
      <c r="R118" s="484"/>
      <c r="S118" s="485" t="str">
        <f>VLOOKUP(($B119*10)+7,Results,$F$3,FALSE)</f>
        <v>Benjamin Askey</v>
      </c>
      <c r="T118" s="482"/>
      <c r="U118" s="483" t="str">
        <f>VLOOKUP(($B119*10)+8,Results,$F$3,FALSE)</f>
        <v/>
      </c>
      <c r="V118" s="486"/>
      <c r="W118" s="487"/>
      <c r="X118" s="488"/>
      <c r="Y118" s="488"/>
      <c r="Z118" s="488"/>
      <c r="AA118" s="488"/>
      <c r="AB118" s="488"/>
      <c r="AC118" s="488"/>
      <c r="AD118" s="489"/>
    </row>
    <row r="119" spans="1:30" x14ac:dyDescent="0.3">
      <c r="A119" s="118" t="str">
        <f>B119&amp;"A"</f>
        <v>43A</v>
      </c>
      <c r="B119" s="24">
        <v>43</v>
      </c>
      <c r="C119" s="572">
        <f>VLOOKUP(B119,EventsOrder,2,FALSE)</f>
        <v>2.35</v>
      </c>
      <c r="D119" s="490"/>
      <c r="E119" s="11"/>
      <c r="F119" s="492"/>
      <c r="G119" s="493" t="str">
        <f>VLOOKUP(($B119*10)+1,Results,$G$3,FALSE)</f>
        <v>Rugby</v>
      </c>
      <c r="H119" s="505">
        <f>VLOOKUP(($B119*10)+1,Results,$H$3,FALSE)</f>
        <v>13.2</v>
      </c>
      <c r="I119" s="495" t="str">
        <f>VLOOKUP(($B119*10)+2,Results,$G$3,FALSE)</f>
        <v>BRAT</v>
      </c>
      <c r="J119" s="505">
        <f>VLOOKUP(($B119*10)+2,Results,$H$3,FALSE)</f>
        <v>13.2</v>
      </c>
      <c r="K119" s="495" t="str">
        <f>VLOOKUP(($B119*10)+3,Results,$G$3,FALSE)</f>
        <v>Royal</v>
      </c>
      <c r="L119" s="505">
        <f>VLOOKUP(($B119*10)+3,Results,$H$3,FALSE)</f>
        <v>13.3</v>
      </c>
      <c r="M119" s="495" t="str">
        <f>VLOOKUP(($B119*10)+4,Results,$G$3,FALSE)</f>
        <v>Strat</v>
      </c>
      <c r="N119" s="505">
        <f>VLOOKUP(($B119*10)+4,Results,$H$3,FALSE)</f>
        <v>15</v>
      </c>
      <c r="O119" s="495" t="str">
        <f>VLOOKUP(($B119*10)+5,Results,$G$3,FALSE)</f>
        <v>Sol</v>
      </c>
      <c r="P119" s="505">
        <f>VLOOKUP(($B119*10)+5,Results,$H$3,FALSE)</f>
        <v>15.5</v>
      </c>
      <c r="Q119" s="495" t="str">
        <f>VLOOKUP(($B119*10)+6,Results,$G$3,FALSE)</f>
        <v>Worc</v>
      </c>
      <c r="R119" s="505">
        <f>VLOOKUP(($B119*10)+6,Results,$H$3,FALSE)</f>
        <v>16.3</v>
      </c>
      <c r="S119" s="496" t="str">
        <f>VLOOKUP(($B119*10)+7,Results,$G$3,FALSE)</f>
        <v>K&amp;S</v>
      </c>
      <c r="T119" s="505">
        <f>VLOOKUP(($B119*10)+7,Results,$H$3,FALSE)</f>
        <v>16.600000000000001</v>
      </c>
      <c r="U119" s="495">
        <f>VLOOKUP(($B119*10)+8,Results,$G$3,FALSE)</f>
        <v>0</v>
      </c>
      <c r="V119" s="505">
        <f>VLOOKUP(($B119*10)+8,Results,$H$3,FALSE)</f>
        <v>0</v>
      </c>
      <c r="W119" s="498">
        <f>VLOOKUP(($B119*10)+1,Results,$I$3,FALSE)</f>
        <v>7</v>
      </c>
      <c r="X119" s="499">
        <f>VLOOKUP(($B119*10)+2,Results,$I$3,FALSE)</f>
        <v>2</v>
      </c>
      <c r="Y119" s="499">
        <f>VLOOKUP(($B119*10)+3,Results,$I$3,FALSE)</f>
        <v>6</v>
      </c>
      <c r="Z119" s="499">
        <f>VLOOKUP(($B119*10)+4,Results,$I$3,FALSE)</f>
        <v>8</v>
      </c>
      <c r="AA119" s="499">
        <f>VLOOKUP(($B119*10)+5,Results,$I$3,FALSE)</f>
        <v>4</v>
      </c>
      <c r="AB119" s="499">
        <f>VLOOKUP(($B119*10)+6,Results,$I$3,FALSE)</f>
        <v>5</v>
      </c>
      <c r="AC119" s="499">
        <f>VLOOKUP(($B119*10)+7,Results,$I$3,FALSE)</f>
        <v>0</v>
      </c>
      <c r="AD119" s="500">
        <f>VLOOKUP(($B119*10)+8,Results,$I$3,FALSE)</f>
        <v>3</v>
      </c>
    </row>
    <row r="120" spans="1:30" x14ac:dyDescent="0.3">
      <c r="A120" s="118" t="str">
        <f>B119&amp;"B"</f>
        <v>43B</v>
      </c>
      <c r="B120" s="506"/>
      <c r="C120" s="572"/>
      <c r="D120" s="479" t="str">
        <f>VLOOKUP(B119,EventsOrder,3,FALSE)</f>
        <v>100m</v>
      </c>
      <c r="E120" s="515" t="s">
        <v>94</v>
      </c>
      <c r="F120" s="529"/>
      <c r="G120" s="547" t="str">
        <f>VLOOKUP(($B119*10)+1,Results,$F$4,FALSE)</f>
        <v>Joshua Smith</v>
      </c>
      <c r="H120" s="517"/>
      <c r="I120" s="548" t="str">
        <f>VLOOKUP(($B119*10)+2,Results,$F$4,FALSE)</f>
        <v>Elliot Jones</v>
      </c>
      <c r="J120" s="517"/>
      <c r="K120" s="548" t="str">
        <f>VLOOKUP(($B119*10)+3,Results,$F$4,FALSE)</f>
        <v>Joseph Sizer</v>
      </c>
      <c r="L120" s="517"/>
      <c r="M120" s="548" t="str">
        <f>VLOOKUP(($B119*10)+4,Results,$F$4,FALSE)</f>
        <v>Samuel Airhihen</v>
      </c>
      <c r="N120" s="517"/>
      <c r="O120" s="548" t="str">
        <f>VLOOKUP(($B119*10)+5,Results,$F$4,FALSE)</f>
        <v>Otis Lesatele</v>
      </c>
      <c r="P120" s="517"/>
      <c r="Q120" s="548" t="str">
        <f>VLOOKUP(($B119*10)+6,Results,$F$4,FALSE)</f>
        <v>Ethan Miles</v>
      </c>
      <c r="R120" s="549"/>
      <c r="S120" s="575" t="str">
        <f>VLOOKUP(($B119*10)+7,Results,$F$4,FALSE)</f>
        <v/>
      </c>
      <c r="T120" s="517"/>
      <c r="U120" s="548" t="str">
        <f>VLOOKUP(($B119*10)+8,Results,$F$4,FALSE)</f>
        <v/>
      </c>
      <c r="V120" s="549"/>
      <c r="W120" s="487"/>
      <c r="X120" s="488"/>
      <c r="Y120" s="488"/>
      <c r="Z120" s="488"/>
      <c r="AA120" s="488"/>
      <c r="AB120" s="488"/>
      <c r="AC120" s="488"/>
      <c r="AD120" s="489"/>
    </row>
    <row r="121" spans="1:30" ht="15" thickBot="1" x14ac:dyDescent="0.35">
      <c r="A121" s="118" t="str">
        <f>B119&amp;"B"</f>
        <v>43B</v>
      </c>
      <c r="B121" s="506"/>
      <c r="C121" s="576"/>
      <c r="D121" s="502"/>
      <c r="E121" s="523"/>
      <c r="F121" s="503"/>
      <c r="G121" s="554" t="str">
        <f>VLOOKUP(($B119*10)+1,Results,$G$4,FALSE)</f>
        <v>Royal</v>
      </c>
      <c r="H121" s="505">
        <f>VLOOKUP(($B119*10)+1,Results,$H$4,FALSE)</f>
        <v>13.3</v>
      </c>
      <c r="I121" s="556" t="str">
        <f>VLOOKUP(($B119*10)+2,Results,$G$4,FALSE)</f>
        <v>BRAT</v>
      </c>
      <c r="J121" s="505">
        <f>VLOOKUP(($B119*10)+2,Results,$H$4,FALSE)</f>
        <v>13.4</v>
      </c>
      <c r="K121" s="556" t="str">
        <f>VLOOKUP(($B119*10)+3,Results,$G$4,FALSE)</f>
        <v>Tam</v>
      </c>
      <c r="L121" s="505">
        <f>VLOOKUP(($B119*10)+3,Results,$H$4,FALSE)</f>
        <v>13.6</v>
      </c>
      <c r="M121" s="556" t="str">
        <f>VLOOKUP(($B119*10)+4,Results,$G$4,FALSE)</f>
        <v>Rugby</v>
      </c>
      <c r="N121" s="505">
        <f>VLOOKUP(($B119*10)+4,Results,$H$4,FALSE)</f>
        <v>14.1</v>
      </c>
      <c r="O121" s="556" t="str">
        <f>VLOOKUP(($B119*10)+5,Results,$G$4,FALSE)</f>
        <v>Strat</v>
      </c>
      <c r="P121" s="505">
        <f>VLOOKUP(($B119*10)+5,Results,$H$4,FALSE)</f>
        <v>14.4</v>
      </c>
      <c r="Q121" s="556" t="str">
        <f>VLOOKUP(($B119*10)+6,Results,$G$4,FALSE)</f>
        <v>Sol</v>
      </c>
      <c r="R121" s="505">
        <f>VLOOKUP(($B119*10)+6,Results,$H$4,FALSE)</f>
        <v>15.4</v>
      </c>
      <c r="S121" s="556">
        <f>VLOOKUP(($B119*10)+7,Results,$G$4,FALSE)</f>
        <v>0</v>
      </c>
      <c r="T121" s="505">
        <f>VLOOKUP(($B119*10)+7,Results,$H$4,FALSE)</f>
        <v>0</v>
      </c>
      <c r="U121" s="556">
        <f>VLOOKUP(($B119*10)+8,Results,$G$4,FALSE)</f>
        <v>0</v>
      </c>
      <c r="V121" s="505">
        <f>VLOOKUP(($B119*10)+8,Results,$H$4,FALSE)</f>
        <v>0</v>
      </c>
      <c r="W121" s="498">
        <f>VLOOKUP(($B119*10)+1,Results,$I$4,FALSE)</f>
        <v>7</v>
      </c>
      <c r="X121" s="499">
        <f>VLOOKUP(($B119*10)+2,Results,$I$4,FALSE)</f>
        <v>0</v>
      </c>
      <c r="Y121" s="499">
        <f>VLOOKUP(($B119*10)+3,Results,$I$4,FALSE)</f>
        <v>8</v>
      </c>
      <c r="Z121" s="499">
        <f>VLOOKUP(($B119*10)+4,Results,$I$4,FALSE)</f>
        <v>5</v>
      </c>
      <c r="AA121" s="499">
        <f>VLOOKUP(($B119*10)+5,Results,$I$4,FALSE)</f>
        <v>3</v>
      </c>
      <c r="AB121" s="499">
        <f>VLOOKUP(($B119*10)+6,Results,$I$4,FALSE)</f>
        <v>4</v>
      </c>
      <c r="AC121" s="499">
        <f>VLOOKUP(($B119*10)+7,Results,$I$4,FALSE)</f>
        <v>6</v>
      </c>
      <c r="AD121" s="500">
        <f>VLOOKUP(($B119*10)+8,Results,$I$4,FALSE)</f>
        <v>0</v>
      </c>
    </row>
    <row r="122" spans="1:30" x14ac:dyDescent="0.3">
      <c r="A122" s="118" t="str">
        <f>B123&amp;"A"</f>
        <v>47A</v>
      </c>
      <c r="B122" s="506"/>
      <c r="C122" s="571"/>
      <c r="D122" s="479" t="str">
        <f>VLOOKUP(B123,EventsOrder,4,FALSE)</f>
        <v>U14 Male</v>
      </c>
      <c r="E122" s="515" t="s">
        <v>149</v>
      </c>
      <c r="F122" s="480"/>
      <c r="G122" s="481" t="str">
        <f>VLOOKUP(($B123*10)+1,Results,$F$3,FALSE)</f>
        <v>Edward Burnell</v>
      </c>
      <c r="H122" s="482"/>
      <c r="I122" s="483" t="str">
        <f>VLOOKUP(($B123*10)+2,Results,$F$3,FALSE)</f>
        <v>Felix Hickman</v>
      </c>
      <c r="J122" s="482"/>
      <c r="K122" s="483" t="str">
        <f>VLOOKUP(($B123*10)+3,Results,$F$3,FALSE)</f>
        <v>Kye McCabe</v>
      </c>
      <c r="L122" s="482"/>
      <c r="M122" s="483" t="str">
        <f>VLOOKUP(($B123*10)+4,Results,$F$3,FALSE)</f>
        <v xml:space="preserve">Adrian Demanya </v>
      </c>
      <c r="N122" s="482"/>
      <c r="O122" s="483" t="str">
        <f>VLOOKUP(($B123*10)+5,Results,$F$3,FALSE)</f>
        <v>Otis Lesatele</v>
      </c>
      <c r="P122" s="482"/>
      <c r="Q122" s="483" t="str">
        <f>VLOOKUP(($B123*10)+6,Results,$F$3,FALSE)</f>
        <v>Sam Gromski</v>
      </c>
      <c r="R122" s="484"/>
      <c r="S122" s="485" t="str">
        <f>VLOOKUP(($B123*10)+7,Results,$F$3,FALSE)</f>
        <v>Jacob Austerberry</v>
      </c>
      <c r="T122" s="482"/>
      <c r="U122" s="483" t="str">
        <f>VLOOKUP(($B123*10)+8,Results,$F$3,FALSE)</f>
        <v/>
      </c>
      <c r="V122" s="486"/>
      <c r="W122" s="487"/>
      <c r="X122" s="488"/>
      <c r="Y122" s="488"/>
      <c r="Z122" s="488"/>
      <c r="AA122" s="488"/>
      <c r="AB122" s="488"/>
      <c r="AC122" s="488"/>
      <c r="AD122" s="489"/>
    </row>
    <row r="123" spans="1:30" x14ac:dyDescent="0.3">
      <c r="A123" s="118" t="str">
        <f>B123&amp;"A"</f>
        <v>47A</v>
      </c>
      <c r="B123" s="24">
        <v>47</v>
      </c>
      <c r="C123" s="572">
        <f>VLOOKUP(B123,EventsOrder,2,FALSE)</f>
        <v>2.4</v>
      </c>
      <c r="D123" s="490"/>
      <c r="E123" s="11"/>
      <c r="F123" s="492"/>
      <c r="G123" s="493" t="str">
        <f>VLOOKUP(($B123*10)+1,Results,$G$3,FALSE)</f>
        <v>Royal</v>
      </c>
      <c r="H123" s="573">
        <f>VLOOKUP(($B123*10)+1,Results,$H$3,FALSE)</f>
        <v>13.4</v>
      </c>
      <c r="I123" s="495" t="str">
        <f>VLOOKUP(($B123*10)+2,Results,$G$3,FALSE)</f>
        <v>Tam</v>
      </c>
      <c r="J123" s="573">
        <f>VLOOKUP(($B123*10)+2,Results,$H$3,FALSE)</f>
        <v>8.65</v>
      </c>
      <c r="K123" s="495" t="str">
        <f>VLOOKUP(($B123*10)+3,Results,$G$3,FALSE)</f>
        <v>Rugby</v>
      </c>
      <c r="L123" s="573">
        <f>VLOOKUP(($B123*10)+3,Results,$H$3,FALSE)</f>
        <v>8.41</v>
      </c>
      <c r="M123" s="495" t="str">
        <f>VLOOKUP(($B123*10)+4,Results,$G$3,FALSE)</f>
        <v>BRAT</v>
      </c>
      <c r="N123" s="573">
        <f>VLOOKUP(($B123*10)+4,Results,$H$3,FALSE)</f>
        <v>8.15</v>
      </c>
      <c r="O123" s="495" t="str">
        <f>VLOOKUP(($B123*10)+5,Results,$G$3,FALSE)</f>
        <v>Strat</v>
      </c>
      <c r="P123" s="573">
        <f>VLOOKUP(($B123*10)+5,Results,$H$3,FALSE)</f>
        <v>6.8</v>
      </c>
      <c r="Q123" s="495" t="str">
        <f>VLOOKUP(($B123*10)+6,Results,$G$3,FALSE)</f>
        <v>Worc</v>
      </c>
      <c r="R123" s="574">
        <f>VLOOKUP(($B123*10)+6,Results,$H$3,FALSE)</f>
        <v>6.13</v>
      </c>
      <c r="S123" s="496" t="str">
        <f>VLOOKUP(($B123*10)+7,Results,$G$3,FALSE)</f>
        <v>Sol</v>
      </c>
      <c r="T123" s="573">
        <f>VLOOKUP(($B123*10)+7,Results,$H$3,FALSE)</f>
        <v>4.9400000000000004</v>
      </c>
      <c r="U123" s="495">
        <f>VLOOKUP(($B123*10)+8,Results,$G$3,FALSE)</f>
        <v>0</v>
      </c>
      <c r="V123" s="574">
        <f>VLOOKUP(($B123*10)+8,Results,$H$3,FALSE)</f>
        <v>0</v>
      </c>
      <c r="W123" s="498">
        <f>VLOOKUP(($B123*10)+1,Results,$I$3,FALSE)</f>
        <v>5</v>
      </c>
      <c r="X123" s="499">
        <f>VLOOKUP(($B123*10)+2,Results,$I$3,FALSE)</f>
        <v>0</v>
      </c>
      <c r="Y123" s="499">
        <f>VLOOKUP(($B123*10)+3,Results,$I$3,FALSE)</f>
        <v>8</v>
      </c>
      <c r="Z123" s="499">
        <f>VLOOKUP(($B123*10)+4,Results,$I$3,FALSE)</f>
        <v>6</v>
      </c>
      <c r="AA123" s="499">
        <f>VLOOKUP(($B123*10)+5,Results,$I$3,FALSE)</f>
        <v>2</v>
      </c>
      <c r="AB123" s="499">
        <f>VLOOKUP(($B123*10)+6,Results,$I$3,FALSE)</f>
        <v>4</v>
      </c>
      <c r="AC123" s="499">
        <f>VLOOKUP(($B123*10)+7,Results,$I$3,FALSE)</f>
        <v>7</v>
      </c>
      <c r="AD123" s="500">
        <f>VLOOKUP(($B123*10)+8,Results,$I$3,FALSE)</f>
        <v>3</v>
      </c>
    </row>
    <row r="124" spans="1:30" x14ac:dyDescent="0.3">
      <c r="A124" s="118" t="str">
        <f>B123&amp;"B"</f>
        <v>47B</v>
      </c>
      <c r="B124" s="506"/>
      <c r="C124" s="572"/>
      <c r="D124" s="479" t="str">
        <f>VLOOKUP(B123,EventsOrder,3,FALSE)</f>
        <v>Shot</v>
      </c>
      <c r="E124" s="515" t="s">
        <v>94</v>
      </c>
      <c r="F124" s="529"/>
      <c r="G124" s="547" t="str">
        <f>VLOOKUP(($B123*10)+1,Results,$F$4,FALSE)</f>
        <v>Peton Godwin kalala</v>
      </c>
      <c r="H124" s="517"/>
      <c r="I124" s="548" t="str">
        <f>VLOOKUP(($B123*10)+2,Results,$F$4,FALSE)</f>
        <v>Oliver Marsh</v>
      </c>
      <c r="J124" s="517"/>
      <c r="K124" s="548" t="str">
        <f>VLOOKUP(($B123*10)+3,Results,$F$4,FALSE)</f>
        <v>Joe Walden</v>
      </c>
      <c r="L124" s="517"/>
      <c r="M124" s="548" t="str">
        <f>VLOOKUP(($B123*10)+4,Results,$F$4,FALSE)</f>
        <v xml:space="preserve">Henry Stacey Harper </v>
      </c>
      <c r="N124" s="517"/>
      <c r="O124" s="548" t="str">
        <f>VLOOKUP(($B123*10)+5,Results,$F$4,FALSE)</f>
        <v>Noah Rush</v>
      </c>
      <c r="P124" s="517"/>
      <c r="Q124" s="548" t="str">
        <f>VLOOKUP(($B123*10)+6,Results,$F$4,FALSE)</f>
        <v>Alex Thompson</v>
      </c>
      <c r="R124" s="549"/>
      <c r="S124" s="575" t="str">
        <f>VLOOKUP(($B123*10)+7,Results,$F$4,FALSE)</f>
        <v/>
      </c>
      <c r="T124" s="517"/>
      <c r="U124" s="548" t="str">
        <f>VLOOKUP(($B123*10)+8,Results,$F$4,FALSE)</f>
        <v/>
      </c>
      <c r="V124" s="549"/>
      <c r="W124" s="487"/>
      <c r="X124" s="488"/>
      <c r="Y124" s="488"/>
      <c r="Z124" s="488"/>
      <c r="AA124" s="488"/>
      <c r="AB124" s="488"/>
      <c r="AC124" s="488"/>
      <c r="AD124" s="489"/>
    </row>
    <row r="125" spans="1:30" ht="15" thickBot="1" x14ac:dyDescent="0.35">
      <c r="A125" s="118" t="str">
        <f>B123&amp;"B"</f>
        <v>47B</v>
      </c>
      <c r="B125" s="506"/>
      <c r="C125" s="576"/>
      <c r="D125" s="502"/>
      <c r="E125" s="523"/>
      <c r="F125" s="503"/>
      <c r="G125" s="554" t="str">
        <f>VLOOKUP(($B123*10)+1,Results,$G$4,FALSE)</f>
        <v>BRAT</v>
      </c>
      <c r="H125" s="573">
        <f>VLOOKUP(($B123*10)+1,Results,$H$4,FALSE)</f>
        <v>7.73</v>
      </c>
      <c r="I125" s="495" t="str">
        <f>VLOOKUP(($B123*10)+2,Results,$G$4,FALSE)</f>
        <v>Royal</v>
      </c>
      <c r="J125" s="573">
        <f>VLOOKUP(($B123*10)+2,Results,$H$4,FALSE)</f>
        <v>7.68</v>
      </c>
      <c r="K125" s="495" t="str">
        <f>VLOOKUP(($B123*10)+3,Results,$G$4,FALSE)</f>
        <v>Rugby</v>
      </c>
      <c r="L125" s="573">
        <f>VLOOKUP(($B123*10)+3,Results,$H$4,FALSE)</f>
        <v>7.04</v>
      </c>
      <c r="M125" s="495" t="str">
        <f>VLOOKUP(($B123*10)+4,Results,$G$4,FALSE)</f>
        <v>Strat</v>
      </c>
      <c r="N125" s="573">
        <f>VLOOKUP(($B123*10)+4,Results,$H$4,FALSE)</f>
        <v>5.26</v>
      </c>
      <c r="O125" s="495" t="str">
        <f>VLOOKUP(($B123*10)+5,Results,$G$4,FALSE)</f>
        <v>Sol</v>
      </c>
      <c r="P125" s="573">
        <f>VLOOKUP(($B123*10)+5,Results,$H$4,FALSE)</f>
        <v>3.93</v>
      </c>
      <c r="Q125" s="495" t="str">
        <f>VLOOKUP(($B123*10)+6,Results,$G$4,FALSE)</f>
        <v>Worc</v>
      </c>
      <c r="R125" s="574">
        <f>VLOOKUP(($B123*10)+6,Results,$H$4,FALSE)</f>
        <v>3.92</v>
      </c>
      <c r="S125" s="496">
        <f>VLOOKUP(($B123*10)+7,Results,$G$4,FALSE)</f>
        <v>0</v>
      </c>
      <c r="T125" s="573">
        <f>VLOOKUP(($B123*10)+7,Results,$H$4,FALSE)</f>
        <v>0</v>
      </c>
      <c r="U125" s="495">
        <f>VLOOKUP(($B123*10)+8,Results,$G$4,FALSE)</f>
        <v>0</v>
      </c>
      <c r="V125" s="574">
        <f>VLOOKUP(($B123*10)+8,Results,$H$4,FALSE)</f>
        <v>0</v>
      </c>
      <c r="W125" s="498">
        <f>VLOOKUP(($B123*10)+1,Results,$I$4,FALSE)</f>
        <v>8</v>
      </c>
      <c r="X125" s="499">
        <f>VLOOKUP(($B123*10)+2,Results,$I$4,FALSE)</f>
        <v>0</v>
      </c>
      <c r="Y125" s="499">
        <f>VLOOKUP(($B123*10)+3,Results,$I$4,FALSE)</f>
        <v>7</v>
      </c>
      <c r="Z125" s="499">
        <f>VLOOKUP(($B123*10)+4,Results,$I$4,FALSE)</f>
        <v>6</v>
      </c>
      <c r="AA125" s="499">
        <f>VLOOKUP(($B123*10)+5,Results,$I$4,FALSE)</f>
        <v>4</v>
      </c>
      <c r="AB125" s="499">
        <f>VLOOKUP(($B123*10)+6,Results,$I$4,FALSE)</f>
        <v>5</v>
      </c>
      <c r="AC125" s="499">
        <f>VLOOKUP(($B123*10)+7,Results,$I$4,FALSE)</f>
        <v>0</v>
      </c>
      <c r="AD125" s="500">
        <f>VLOOKUP(($B123*10)+8,Results,$I$4,FALSE)</f>
        <v>3</v>
      </c>
    </row>
    <row r="126" spans="1:30" x14ac:dyDescent="0.3">
      <c r="A126" s="118" t="str">
        <f>B127&amp;"A"</f>
        <v>55A</v>
      </c>
      <c r="B126" s="506"/>
      <c r="C126" s="571"/>
      <c r="D126" s="479" t="str">
        <f>VLOOKUP(B127,EventsOrder,4,FALSE)</f>
        <v>U14 Male</v>
      </c>
      <c r="E126" s="515" t="s">
        <v>149</v>
      </c>
      <c r="F126" s="480"/>
      <c r="G126" s="481" t="str">
        <f>VLOOKUP(($B127*10)+1,Results,$F$3,FALSE)</f>
        <v>Charlie Cassells</v>
      </c>
      <c r="H126" s="482"/>
      <c r="I126" s="483" t="str">
        <f>VLOOKUP(($B127*10)+2,Results,$F$3,FALSE)</f>
        <v>Jacob Austerberry</v>
      </c>
      <c r="J126" s="482"/>
      <c r="K126" s="483" t="str">
        <f>VLOOKUP(($B127*10)+3,Results,$F$3,FALSE)</f>
        <v>Will Biddle</v>
      </c>
      <c r="L126" s="482"/>
      <c r="M126" s="483" t="str">
        <f>VLOOKUP(($B127*10)+4,Results,$F$3,FALSE)</f>
        <v>Anaadh Singh</v>
      </c>
      <c r="N126" s="482"/>
      <c r="O126" s="483" t="str">
        <f>VLOOKUP(($B127*10)+5,Results,$F$3,FALSE)</f>
        <v>Wesley Hague</v>
      </c>
      <c r="P126" s="482"/>
      <c r="Q126" s="483" t="str">
        <f>VLOOKUP(($B127*10)+6,Results,$F$3,FALSE)</f>
        <v>Zachary Hope</v>
      </c>
      <c r="R126" s="484"/>
      <c r="S126" s="485" t="str">
        <f>VLOOKUP(($B127*10)+7,Results,$F$3,FALSE)</f>
        <v/>
      </c>
      <c r="T126" s="482"/>
      <c r="U126" s="483" t="str">
        <f>VLOOKUP(($B127*10)+8,Results,$F$3,FALSE)</f>
        <v/>
      </c>
      <c r="V126" s="486"/>
      <c r="W126" s="487"/>
      <c r="X126" s="488"/>
      <c r="Y126" s="488"/>
      <c r="Z126" s="488"/>
      <c r="AA126" s="488"/>
      <c r="AB126" s="488"/>
      <c r="AC126" s="488"/>
      <c r="AD126" s="489"/>
    </row>
    <row r="127" spans="1:30" x14ac:dyDescent="0.3">
      <c r="A127" s="118" t="str">
        <f>B127&amp;"A"</f>
        <v>55A</v>
      </c>
      <c r="B127" s="24">
        <v>55</v>
      </c>
      <c r="C127" s="572">
        <f>VLOOKUP(B127,EventsOrder,2,FALSE)</f>
        <v>3.1</v>
      </c>
      <c r="D127" s="490"/>
      <c r="E127" s="11"/>
      <c r="F127" s="492"/>
      <c r="G127" s="493" t="str">
        <f>VLOOKUP(($B127*10)+1,Results,$G$3,FALSE)</f>
        <v>Strat</v>
      </c>
      <c r="H127" s="573" t="str">
        <f>VLOOKUP(($B127*10)+1,Results,$H$3,FALSE)</f>
        <v>4.40.1</v>
      </c>
      <c r="I127" s="495" t="str">
        <f>VLOOKUP(($B127*10)+2,Results,$G$3,FALSE)</f>
        <v>Sol</v>
      </c>
      <c r="J127" s="573" t="str">
        <f>VLOOKUP(($B127*10)+2,Results,$H$3,FALSE)</f>
        <v>4.42.0</v>
      </c>
      <c r="K127" s="495" t="str">
        <f>VLOOKUP(($B127*10)+3,Results,$G$3,FALSE)</f>
        <v>Royal</v>
      </c>
      <c r="L127" s="573" t="str">
        <f>VLOOKUP(($B127*10)+3,Results,$H$3,FALSE)</f>
        <v>5.06.5</v>
      </c>
      <c r="M127" s="495" t="str">
        <f>VLOOKUP(($B127*10)+4,Results,$G$3,FALSE)</f>
        <v>BRAT</v>
      </c>
      <c r="N127" s="573" t="str">
        <f>VLOOKUP(($B127*10)+4,Results,$H$3,FALSE)</f>
        <v>5.10.5</v>
      </c>
      <c r="O127" s="495" t="str">
        <f>VLOOKUP(($B127*10)+5,Results,$G$3,FALSE)</f>
        <v>Rugby</v>
      </c>
      <c r="P127" s="573" t="str">
        <f>VLOOKUP(($B127*10)+5,Results,$H$3,FALSE)</f>
        <v>5.14.5</v>
      </c>
      <c r="Q127" s="495" t="str">
        <f>VLOOKUP(($B127*10)+6,Results,$G$3,FALSE)</f>
        <v>Worc</v>
      </c>
      <c r="R127" s="574" t="str">
        <f>VLOOKUP(($B127*10)+6,Results,$H$3,FALSE)</f>
        <v>5.16.2</v>
      </c>
      <c r="S127" s="496">
        <f>VLOOKUP(($B127*10)+7,Results,$G$3,FALSE)</f>
        <v>0</v>
      </c>
      <c r="T127" s="573">
        <f>VLOOKUP(($B127*10)+7,Results,$H$3,FALSE)</f>
        <v>0</v>
      </c>
      <c r="U127" s="495">
        <f>VLOOKUP(($B127*10)+8,Results,$G$3,FALSE)</f>
        <v>0</v>
      </c>
      <c r="V127" s="574">
        <f>VLOOKUP(($B127*10)+8,Results,$H$3,FALSE)</f>
        <v>0</v>
      </c>
      <c r="W127" s="498">
        <f>VLOOKUP(($B127*10)+1,Results,$I$3,FALSE)</f>
        <v>5</v>
      </c>
      <c r="X127" s="499">
        <f>VLOOKUP(($B127*10)+2,Results,$I$3,FALSE)</f>
        <v>0</v>
      </c>
      <c r="Y127" s="499">
        <f>VLOOKUP(($B127*10)+3,Results,$I$3,FALSE)</f>
        <v>6</v>
      </c>
      <c r="Z127" s="499">
        <f>VLOOKUP(($B127*10)+4,Results,$I$3,FALSE)</f>
        <v>4</v>
      </c>
      <c r="AA127" s="499">
        <f>VLOOKUP(($B127*10)+5,Results,$I$3,FALSE)</f>
        <v>7</v>
      </c>
      <c r="AB127" s="499">
        <f>VLOOKUP(($B127*10)+6,Results,$I$3,FALSE)</f>
        <v>8</v>
      </c>
      <c r="AC127" s="499">
        <f>VLOOKUP(($B127*10)+7,Results,$I$3,FALSE)</f>
        <v>0</v>
      </c>
      <c r="AD127" s="500">
        <f>VLOOKUP(($B127*10)+8,Results,$I$3,FALSE)</f>
        <v>3</v>
      </c>
    </row>
    <row r="128" spans="1:30" x14ac:dyDescent="0.3">
      <c r="A128" s="118" t="str">
        <f>B127&amp;"B"</f>
        <v>55B</v>
      </c>
      <c r="B128" s="506"/>
      <c r="C128" s="572"/>
      <c r="D128" s="479" t="str">
        <f>VLOOKUP(B127,EventsOrder,3,FALSE)</f>
        <v>1500m</v>
      </c>
      <c r="E128" s="515" t="s">
        <v>94</v>
      </c>
      <c r="F128" s="529"/>
      <c r="G128" s="547" t="str">
        <f>VLOOKUP(($B127*10)+1,Results,$F$4,FALSE)</f>
        <v>Myles Marks</v>
      </c>
      <c r="H128" s="517"/>
      <c r="I128" s="548" t="str">
        <f>VLOOKUP(($B127*10)+2,Results,$F$4,FALSE)</f>
        <v>Charlie Castle</v>
      </c>
      <c r="J128" s="517"/>
      <c r="K128" s="548" t="str">
        <f>VLOOKUP(($B127*10)+3,Results,$F$4,FALSE)</f>
        <v>George Wrigley</v>
      </c>
      <c r="L128" s="517"/>
      <c r="M128" s="548" t="str">
        <f>VLOOKUP(($B127*10)+4,Results,$F$4,FALSE)</f>
        <v>Alex Thompson</v>
      </c>
      <c r="N128" s="517"/>
      <c r="O128" s="548" t="str">
        <f>VLOOKUP(($B127*10)+5,Results,$F$4,FALSE)</f>
        <v>Leo Nott</v>
      </c>
      <c r="P128" s="517"/>
      <c r="Q128" s="548" t="str">
        <f>VLOOKUP(($B127*10)+6,Results,$F$4,FALSE)</f>
        <v>Noah Rush</v>
      </c>
      <c r="R128" s="549"/>
      <c r="S128" s="575" t="str">
        <f>VLOOKUP(($B127*10)+7,Results,$F$4,FALSE)</f>
        <v/>
      </c>
      <c r="T128" s="517"/>
      <c r="U128" s="548" t="str">
        <f>VLOOKUP(($B127*10)+8,Results,$F$4,FALSE)</f>
        <v/>
      </c>
      <c r="V128" s="549"/>
      <c r="W128" s="487"/>
      <c r="X128" s="488"/>
      <c r="Y128" s="488"/>
      <c r="Z128" s="488"/>
      <c r="AA128" s="488"/>
      <c r="AB128" s="488"/>
      <c r="AC128" s="488"/>
      <c r="AD128" s="489"/>
    </row>
    <row r="129" spans="1:30" ht="15" thickBot="1" x14ac:dyDescent="0.35">
      <c r="A129" s="118" t="str">
        <f>B127&amp;"B"</f>
        <v>55B</v>
      </c>
      <c r="B129" s="506"/>
      <c r="C129" s="576"/>
      <c r="D129" s="502"/>
      <c r="E129" s="523"/>
      <c r="F129" s="503"/>
      <c r="G129" s="554" t="str">
        <f>VLOOKUP(($B127*10)+1,Results,$G$4,FALSE)</f>
        <v>Rugby</v>
      </c>
      <c r="H129" s="573" t="str">
        <f>VLOOKUP(($B127*10)+1,Results,$H$4,FALSE)</f>
        <v>5.02.2</v>
      </c>
      <c r="I129" s="495" t="str">
        <f>VLOOKUP(($B127*10)+2,Results,$G$4,FALSE)</f>
        <v>Strat</v>
      </c>
      <c r="J129" s="573" t="str">
        <f>VLOOKUP(($B127*10)+2,Results,$H$4,FALSE)</f>
        <v>5.08.9</v>
      </c>
      <c r="K129" s="495" t="str">
        <f>VLOOKUP(($B127*10)+3,Results,$G$4,FALSE)</f>
        <v>BRAT</v>
      </c>
      <c r="L129" s="573" t="str">
        <f>VLOOKUP(($B127*10)+3,Results,$H$4,FALSE)</f>
        <v>5.10.9</v>
      </c>
      <c r="M129" s="495" t="str">
        <f>VLOOKUP(($B127*10)+4,Results,$G$4,FALSE)</f>
        <v>Worc</v>
      </c>
      <c r="N129" s="573" t="str">
        <f>VLOOKUP(($B127*10)+4,Results,$H$4,FALSE)</f>
        <v>5.18.8</v>
      </c>
      <c r="O129" s="495" t="str">
        <f>VLOOKUP(($B127*10)+5,Results,$G$4,FALSE)</f>
        <v>Royal</v>
      </c>
      <c r="P129" s="573" t="str">
        <f>VLOOKUP(($B127*10)+5,Results,$H$4,FALSE)</f>
        <v>5.26.9</v>
      </c>
      <c r="Q129" s="495" t="str">
        <f>VLOOKUP(($B127*10)+6,Results,$G$4,FALSE)</f>
        <v>Sol</v>
      </c>
      <c r="R129" s="574" t="str">
        <f>VLOOKUP(($B127*10)+6,Results,$H$4,FALSE)</f>
        <v>5.51.8</v>
      </c>
      <c r="S129" s="496">
        <f>VLOOKUP(($B127*10)+7,Results,$G$4,FALSE)</f>
        <v>0</v>
      </c>
      <c r="T129" s="573">
        <f>VLOOKUP(($B127*10)+7,Results,$H$4,FALSE)</f>
        <v>0</v>
      </c>
      <c r="U129" s="495">
        <f>VLOOKUP(($B127*10)+8,Results,$G$4,FALSE)</f>
        <v>0</v>
      </c>
      <c r="V129" s="574">
        <f>VLOOKUP(($B127*10)+8,Results,$H$4,FALSE)</f>
        <v>0</v>
      </c>
      <c r="W129" s="498">
        <f>VLOOKUP(($B127*10)+1,Results,$I$4,FALSE)</f>
        <v>6</v>
      </c>
      <c r="X129" s="499">
        <f>VLOOKUP(($B127*10)+2,Results,$I$4,FALSE)</f>
        <v>0</v>
      </c>
      <c r="Y129" s="499">
        <f>VLOOKUP(($B127*10)+3,Results,$I$4,FALSE)</f>
        <v>4</v>
      </c>
      <c r="Z129" s="499">
        <f>VLOOKUP(($B127*10)+4,Results,$I$4,FALSE)</f>
        <v>8</v>
      </c>
      <c r="AA129" s="499">
        <f>VLOOKUP(($B127*10)+5,Results,$I$4,FALSE)</f>
        <v>3</v>
      </c>
      <c r="AB129" s="499">
        <f>VLOOKUP(($B127*10)+6,Results,$I$4,FALSE)</f>
        <v>7</v>
      </c>
      <c r="AC129" s="499">
        <f>VLOOKUP(($B127*10)+7,Results,$I$4,FALSE)</f>
        <v>0</v>
      </c>
      <c r="AD129" s="500">
        <f>VLOOKUP(($B127*10)+8,Results,$I$4,FALSE)</f>
        <v>5</v>
      </c>
    </row>
    <row r="130" spans="1:30" x14ac:dyDescent="0.3">
      <c r="A130" s="118" t="str">
        <f>B131&amp;"A"</f>
        <v>58A</v>
      </c>
      <c r="B130" s="506"/>
      <c r="C130" s="571"/>
      <c r="D130" s="479" t="str">
        <f>VLOOKUP(B131,EventsOrder,4,FALSE)</f>
        <v>U14 Male</v>
      </c>
      <c r="E130" s="515" t="s">
        <v>149</v>
      </c>
      <c r="F130" s="480"/>
      <c r="G130" s="481" t="str">
        <f>VLOOKUP(($B131*10)+1,Results,$F$3,FALSE)</f>
        <v>Elliot Jones</v>
      </c>
      <c r="H130" s="482"/>
      <c r="I130" s="483" t="str">
        <f>VLOOKUP(($B131*10)+2,Results,$F$3,FALSE)</f>
        <v>Robert Copeland</v>
      </c>
      <c r="J130" s="482"/>
      <c r="K130" s="483" t="str">
        <f>VLOOKUP(($B131*10)+3,Results,$F$3,FALSE)</f>
        <v>Finley Aldridge-Cox</v>
      </c>
      <c r="L130" s="482"/>
      <c r="M130" s="483" t="str">
        <f>VLOOKUP(($B131*10)+4,Results,$F$3,FALSE)</f>
        <v>Casper Willis</v>
      </c>
      <c r="N130" s="482"/>
      <c r="O130" s="483" t="str">
        <f>VLOOKUP(($B131*10)+5,Results,$F$3,FALSE)</f>
        <v>Will Freeman</v>
      </c>
      <c r="P130" s="482"/>
      <c r="Q130" s="483" t="str">
        <f>VLOOKUP(($B131*10)+6,Results,$F$3,FALSE)</f>
        <v>Andre Albarel</v>
      </c>
      <c r="R130" s="484"/>
      <c r="S130" s="485" t="str">
        <f>VLOOKUP(($B131*10)+7,Results,$F$3,FALSE)</f>
        <v>Sam Gromski</v>
      </c>
      <c r="T130" s="482"/>
      <c r="U130" s="483" t="str">
        <f>VLOOKUP(($B131*10)+8,Results,$F$3,FALSE)</f>
        <v>Alfie Kemp</v>
      </c>
      <c r="V130" s="486"/>
      <c r="W130" s="487"/>
      <c r="X130" s="488"/>
      <c r="Y130" s="488"/>
      <c r="Z130" s="488"/>
      <c r="AA130" s="488"/>
      <c r="AB130" s="488"/>
      <c r="AC130" s="488"/>
      <c r="AD130" s="489"/>
    </row>
    <row r="131" spans="1:30" x14ac:dyDescent="0.3">
      <c r="A131" s="118" t="str">
        <f>B131&amp;"A"</f>
        <v>58A</v>
      </c>
      <c r="B131" s="24">
        <v>58</v>
      </c>
      <c r="C131" s="572">
        <f>VLOOKUP(B131,EventsOrder,2,FALSE)</f>
        <v>3.2</v>
      </c>
      <c r="D131" s="490"/>
      <c r="E131" s="11"/>
      <c r="F131" s="492"/>
      <c r="G131" s="493" t="str">
        <f>VLOOKUP(($B131*10)+1,Results,$G$3,FALSE)</f>
        <v>BRAT</v>
      </c>
      <c r="H131" s="573">
        <f>VLOOKUP(($B131*10)+1,Results,$H$3,FALSE)</f>
        <v>4.4800000000000004</v>
      </c>
      <c r="I131" s="495" t="str">
        <f>VLOOKUP(($B131*10)+2,Results,$G$3,FALSE)</f>
        <v>Rugby</v>
      </c>
      <c r="J131" s="573">
        <f>VLOOKUP(($B131*10)+2,Results,$H$3,FALSE)</f>
        <v>4.45</v>
      </c>
      <c r="K131" s="495" t="str">
        <f>VLOOKUP(($B131*10)+3,Results,$G$3,FALSE)</f>
        <v>Royal</v>
      </c>
      <c r="L131" s="573">
        <f>VLOOKUP(($B131*10)+3,Results,$H$3,FALSE)</f>
        <v>4.26</v>
      </c>
      <c r="M131" s="495" t="str">
        <f>VLOOKUP(($B131*10)+4,Results,$G$3,FALSE)</f>
        <v>Strat</v>
      </c>
      <c r="N131" s="573">
        <f>VLOOKUP(($B131*10)+4,Results,$H$3,FALSE)</f>
        <v>4.05</v>
      </c>
      <c r="O131" s="495" t="str">
        <f>VLOOKUP(($B131*10)+5,Results,$G$3,FALSE)</f>
        <v>K&amp;S</v>
      </c>
      <c r="P131" s="573">
        <f>VLOOKUP(($B131*10)+5,Results,$H$3,FALSE)</f>
        <v>3.81</v>
      </c>
      <c r="Q131" s="495" t="str">
        <f>VLOOKUP(($B131*10)+6,Results,$G$3,FALSE)</f>
        <v>Sol</v>
      </c>
      <c r="R131" s="573">
        <f>VLOOKUP(($B131*10)+6,Results,$H$3,FALSE)</f>
        <v>3.6</v>
      </c>
      <c r="S131" s="496" t="str">
        <f>VLOOKUP(($B131*10)+7,Results,$G$3,FALSE)</f>
        <v>Worc</v>
      </c>
      <c r="T131" s="573">
        <f>VLOOKUP(($B131*10)+7,Results,$H$3,FALSE)</f>
        <v>3.43</v>
      </c>
      <c r="U131" s="495" t="str">
        <f>VLOOKUP(($B131*10)+8,Results,$G$3,FALSE)</f>
        <v>Tam</v>
      </c>
      <c r="V131" s="573">
        <f>VLOOKUP(($B131*10)+8,Results,$H$3,FALSE)</f>
        <v>3.05</v>
      </c>
      <c r="W131" s="498">
        <f>VLOOKUP(($B131*10)+1,Results,$I$3,FALSE)</f>
        <v>8</v>
      </c>
      <c r="X131" s="499">
        <f>VLOOKUP(($B131*10)+2,Results,$I$3,FALSE)</f>
        <v>4</v>
      </c>
      <c r="Y131" s="499">
        <f>VLOOKUP(($B131*10)+3,Results,$I$3,FALSE)</f>
        <v>6</v>
      </c>
      <c r="Z131" s="499">
        <f>VLOOKUP(($B131*10)+4,Results,$I$3,FALSE)</f>
        <v>7</v>
      </c>
      <c r="AA131" s="499">
        <f>VLOOKUP(($B131*10)+5,Results,$I$3,FALSE)</f>
        <v>3</v>
      </c>
      <c r="AB131" s="499">
        <f>VLOOKUP(($B131*10)+6,Results,$I$3,FALSE)</f>
        <v>5</v>
      </c>
      <c r="AC131" s="499">
        <f>VLOOKUP(($B131*10)+7,Results,$I$3,FALSE)</f>
        <v>1</v>
      </c>
      <c r="AD131" s="500">
        <f>VLOOKUP(($B131*10)+8,Results,$I$3,FALSE)</f>
        <v>2</v>
      </c>
    </row>
    <row r="132" spans="1:30" x14ac:dyDescent="0.3">
      <c r="A132" s="118" t="str">
        <f>B131&amp;"B"</f>
        <v>58B</v>
      </c>
      <c r="B132" s="506"/>
      <c r="C132" s="572"/>
      <c r="D132" s="479" t="str">
        <f>VLOOKUP(B131,EventsOrder,3,FALSE)</f>
        <v>Long Jump</v>
      </c>
      <c r="E132" s="515" t="s">
        <v>94</v>
      </c>
      <c r="F132" s="529"/>
      <c r="G132" s="547" t="str">
        <f>VLOOKUP(($B131*10)+1,Results,$F$4,FALSE)</f>
        <v>Hugo Fernandez</v>
      </c>
      <c r="H132" s="517"/>
      <c r="I132" s="548" t="str">
        <f>VLOOKUP(($B131*10)+2,Results,$F$4,FALSE)</f>
        <v>Joshua Smith</v>
      </c>
      <c r="J132" s="517"/>
      <c r="K132" s="548" t="str">
        <f>VLOOKUP(($B131*10)+3,Results,$F$4,FALSE)</f>
        <v xml:space="preserve">Henry Stacey Harper </v>
      </c>
      <c r="L132" s="517"/>
      <c r="M132" s="548" t="str">
        <f>VLOOKUP(($B131*10)+4,Results,$F$4,FALSE)</f>
        <v xml:space="preserve">Harvey Harris </v>
      </c>
      <c r="N132" s="517"/>
      <c r="O132" s="548" t="str">
        <f>VLOOKUP(($B131*10)+5,Results,$F$4,FALSE)</f>
        <v>Benjamin Askey</v>
      </c>
      <c r="P132" s="517"/>
      <c r="Q132" s="548" t="str">
        <f>VLOOKUP(($B131*10)+6,Results,$F$4,FALSE)</f>
        <v/>
      </c>
      <c r="R132" s="549"/>
      <c r="S132" s="575" t="str">
        <f>VLOOKUP(($B131*10)+7,Results,$F$4,FALSE)</f>
        <v/>
      </c>
      <c r="T132" s="517"/>
      <c r="U132" s="548" t="str">
        <f>VLOOKUP(($B131*10)+8,Results,$F$4,FALSE)</f>
        <v/>
      </c>
      <c r="V132" s="549"/>
      <c r="W132" s="487"/>
      <c r="X132" s="488"/>
      <c r="Y132" s="488"/>
      <c r="Z132" s="488"/>
      <c r="AA132" s="488"/>
      <c r="AB132" s="488"/>
      <c r="AC132" s="488"/>
      <c r="AD132" s="489"/>
    </row>
    <row r="133" spans="1:30" ht="15" thickBot="1" x14ac:dyDescent="0.35">
      <c r="A133" s="118" t="str">
        <f>B131&amp;"B"</f>
        <v>58B</v>
      </c>
      <c r="B133" s="506"/>
      <c r="C133" s="576"/>
      <c r="D133" s="502"/>
      <c r="E133" s="523"/>
      <c r="F133" s="503"/>
      <c r="G133" s="554" t="str">
        <f>VLOOKUP(($B131*10)+1,Results,$G$4,FALSE)</f>
        <v>Rugby</v>
      </c>
      <c r="H133" s="573">
        <f>VLOOKUP(($B131*10)+1,Results,$H$4,FALSE)</f>
        <v>3.88</v>
      </c>
      <c r="I133" s="556" t="str">
        <f>VLOOKUP(($B131*10)+2,Results,$G$4,FALSE)</f>
        <v>Royal</v>
      </c>
      <c r="J133" s="573">
        <f>VLOOKUP(($B131*10)+2,Results,$H$4,FALSE)</f>
        <v>3.72</v>
      </c>
      <c r="K133" s="556" t="str">
        <f>VLOOKUP(($B131*10)+3,Results,$G$4,FALSE)</f>
        <v>Strat</v>
      </c>
      <c r="L133" s="573">
        <f>VLOOKUP(($B131*10)+3,Results,$H$4,FALSE)</f>
        <v>3.63</v>
      </c>
      <c r="M133" s="556" t="str">
        <f>VLOOKUP(($B131*10)+4,Results,$G$4,FALSE)</f>
        <v>BRAT</v>
      </c>
      <c r="N133" s="573">
        <f>VLOOKUP(($B131*10)+4,Results,$H$4,FALSE)</f>
        <v>3.58</v>
      </c>
      <c r="O133" s="556" t="str">
        <f>VLOOKUP(($B131*10)+5,Results,$G$4,FALSE)</f>
        <v>K&amp;S</v>
      </c>
      <c r="P133" s="573">
        <f>VLOOKUP(($B131*10)+5,Results,$H$4,FALSE)</f>
        <v>2.8</v>
      </c>
      <c r="Q133" s="556">
        <f>VLOOKUP(($B131*10)+6,Results,$G$4,FALSE)</f>
        <v>0</v>
      </c>
      <c r="R133" s="573">
        <f>VLOOKUP(($B131*10)+6,Results,$H$4,FALSE)</f>
        <v>0</v>
      </c>
      <c r="S133" s="556">
        <f>VLOOKUP(($B131*10)+7,Results,$G$4,FALSE)</f>
        <v>0</v>
      </c>
      <c r="T133" s="573">
        <f>VLOOKUP(($B131*10)+7,Results,$H$4,FALSE)</f>
        <v>0</v>
      </c>
      <c r="U133" s="556">
        <f>VLOOKUP(($B131*10)+8,Results,$G$4,FALSE)</f>
        <v>0</v>
      </c>
      <c r="V133" s="573">
        <f>VLOOKUP(($B131*10)+8,Results,$H$4,FALSE)</f>
        <v>0</v>
      </c>
      <c r="W133" s="498">
        <f>VLOOKUP(($B131*10)+1,Results,$I$4,FALSE)</f>
        <v>5</v>
      </c>
      <c r="X133" s="499">
        <f>VLOOKUP(($B131*10)+2,Results,$I$4,FALSE)</f>
        <v>4</v>
      </c>
      <c r="Y133" s="499">
        <f>VLOOKUP(($B131*10)+3,Results,$I$4,FALSE)</f>
        <v>7</v>
      </c>
      <c r="Z133" s="499">
        <f>VLOOKUP(($B131*10)+4,Results,$I$4,FALSE)</f>
        <v>8</v>
      </c>
      <c r="AA133" s="499">
        <f>VLOOKUP(($B131*10)+5,Results,$I$4,FALSE)</f>
        <v>0</v>
      </c>
      <c r="AB133" s="499">
        <f>VLOOKUP(($B131*10)+6,Results,$I$4,FALSE)</f>
        <v>6</v>
      </c>
      <c r="AC133" s="499">
        <f>VLOOKUP(($B131*10)+7,Results,$I$4,FALSE)</f>
        <v>0</v>
      </c>
      <c r="AD133" s="500">
        <f>VLOOKUP(($B131*10)+8,Results,$I$4,FALSE)</f>
        <v>0</v>
      </c>
    </row>
    <row r="134" spans="1:30" x14ac:dyDescent="0.3">
      <c r="A134" s="118" t="str">
        <f>B135&amp;"A"</f>
        <v>71A</v>
      </c>
      <c r="B134" s="506"/>
      <c r="C134" s="571"/>
      <c r="D134" s="479" t="str">
        <f>VLOOKUP(B135,EventsOrder,4,FALSE)</f>
        <v>U14 Male</v>
      </c>
      <c r="E134" s="515" t="s">
        <v>149</v>
      </c>
      <c r="F134" s="480"/>
      <c r="G134" s="481" t="str">
        <f>VLOOKUP(($B135*10)+1,Results,$F$3,FALSE)</f>
        <v>Fynn Allen</v>
      </c>
      <c r="H134" s="482"/>
      <c r="I134" s="483" t="str">
        <f>VLOOKUP(($B135*10)+2,Results,$F$3,FALSE)</f>
        <v>Karram Sahota</v>
      </c>
      <c r="J134" s="482"/>
      <c r="K134" s="483" t="str">
        <f>VLOOKUP(($B135*10)+3,Results,$F$3,FALSE)</f>
        <v>Joshua Baylis</v>
      </c>
      <c r="L134" s="482"/>
      <c r="M134" s="483" t="str">
        <f>VLOOKUP(($B135*10)+4,Results,$F$3,FALSE)</f>
        <v>Joe Walden</v>
      </c>
      <c r="N134" s="482"/>
      <c r="O134" s="483" t="str">
        <f>VLOOKUP(($B135*10)+5,Results,$F$3,FALSE)</f>
        <v>Ethan Jatta</v>
      </c>
      <c r="P134" s="482"/>
      <c r="Q134" s="483" t="str">
        <f>VLOOKUP(($B135*10)+6,Results,$F$3,FALSE)</f>
        <v>Alexander Bird</v>
      </c>
      <c r="R134" s="484"/>
      <c r="S134" s="485" t="str">
        <f>VLOOKUP(($B135*10)+7,Results,$F$3,FALSE)</f>
        <v>Rayan Faci</v>
      </c>
      <c r="T134" s="482"/>
      <c r="U134" s="483" t="str">
        <f>VLOOKUP(($B135*10)+8,Results,$F$3,FALSE)</f>
        <v>Alfie Kemp</v>
      </c>
      <c r="V134" s="486"/>
      <c r="W134" s="487"/>
      <c r="X134" s="488"/>
      <c r="Y134" s="488"/>
      <c r="Z134" s="488"/>
      <c r="AA134" s="488"/>
      <c r="AB134" s="488"/>
      <c r="AC134" s="488"/>
      <c r="AD134" s="489"/>
    </row>
    <row r="135" spans="1:30" x14ac:dyDescent="0.3">
      <c r="A135" s="118" t="str">
        <f>B135&amp;"A"</f>
        <v>71A</v>
      </c>
      <c r="B135" s="24">
        <v>71</v>
      </c>
      <c r="C135" s="572">
        <f>VLOOKUP(B135,EventsOrder,2,FALSE)</f>
        <v>4.2</v>
      </c>
      <c r="D135" s="490"/>
      <c r="E135" s="11"/>
      <c r="F135" s="492"/>
      <c r="G135" s="493" t="str">
        <f>VLOOKUP(($B135*10)+1,Results,$G$3,FALSE)</f>
        <v>Strat</v>
      </c>
      <c r="H135" s="505">
        <f>VLOOKUP(($B135*10)+1,Results,$H$3,FALSE)</f>
        <v>27.1</v>
      </c>
      <c r="I135" s="495" t="str">
        <f>VLOOKUP(($B135*10)+2,Results,$G$3,FALSE)</f>
        <v>Royal</v>
      </c>
      <c r="J135" s="505">
        <f>VLOOKUP(($B135*10)+2,Results,$H$3,FALSE)</f>
        <v>28.2</v>
      </c>
      <c r="K135" s="495" t="str">
        <f>VLOOKUP(($B135*10)+3,Results,$G$3,FALSE)</f>
        <v>Sol</v>
      </c>
      <c r="L135" s="505">
        <f>VLOOKUP(($B135*10)+3,Results,$H$3,FALSE)</f>
        <v>29</v>
      </c>
      <c r="M135" s="495" t="str">
        <f>VLOOKUP(($B135*10)+4,Results,$G$3,FALSE)</f>
        <v>Rugby</v>
      </c>
      <c r="N135" s="505">
        <f>VLOOKUP(($B135*10)+4,Results,$H$3,FALSE)</f>
        <v>29</v>
      </c>
      <c r="O135" s="495" t="str">
        <f>VLOOKUP(($B135*10)+5,Results,$G$3,FALSE)</f>
        <v>BRAT</v>
      </c>
      <c r="P135" s="505">
        <f>VLOOKUP(($B135*10)+5,Results,$H$3,FALSE)</f>
        <v>30</v>
      </c>
      <c r="Q135" s="495" t="str">
        <f>VLOOKUP(($B135*10)+6,Results,$G$3,FALSE)</f>
        <v>K&amp;S</v>
      </c>
      <c r="R135" s="505">
        <f>VLOOKUP(($B135*10)+6,Results,$H$3,FALSE)</f>
        <v>31.4</v>
      </c>
      <c r="S135" s="496" t="str">
        <f>VLOOKUP(($B135*10)+7,Results,$G$3,FALSE)</f>
        <v>Worc</v>
      </c>
      <c r="T135" s="505">
        <f>VLOOKUP(($B135*10)+7,Results,$H$3,FALSE)</f>
        <v>32.299999999999997</v>
      </c>
      <c r="U135" s="495" t="str">
        <f>VLOOKUP(($B135*10)+8,Results,$G$3,FALSE)</f>
        <v>Tam</v>
      </c>
      <c r="V135" s="505">
        <f>VLOOKUP(($B135*10)+8,Results,$H$3,FALSE)</f>
        <v>39.1</v>
      </c>
      <c r="W135" s="498">
        <f>VLOOKUP(($B135*10)+1,Results,$I$3,FALSE)</f>
        <v>4</v>
      </c>
      <c r="X135" s="499">
        <f>VLOOKUP(($B135*10)+2,Results,$I$3,FALSE)</f>
        <v>3</v>
      </c>
      <c r="Y135" s="499">
        <f>VLOOKUP(($B135*10)+3,Results,$I$3,FALSE)</f>
        <v>7</v>
      </c>
      <c r="Z135" s="499">
        <f>VLOOKUP(($B135*10)+4,Results,$I$3,FALSE)</f>
        <v>5</v>
      </c>
      <c r="AA135" s="499">
        <f>VLOOKUP(($B135*10)+5,Results,$I$3,FALSE)</f>
        <v>6</v>
      </c>
      <c r="AB135" s="499">
        <f>VLOOKUP(($B135*10)+6,Results,$I$3,FALSE)</f>
        <v>8</v>
      </c>
      <c r="AC135" s="499">
        <f>VLOOKUP(($B135*10)+7,Results,$I$3,FALSE)</f>
        <v>1</v>
      </c>
      <c r="AD135" s="500">
        <f>VLOOKUP(($B135*10)+8,Results,$I$3,FALSE)</f>
        <v>2</v>
      </c>
    </row>
    <row r="136" spans="1:30" x14ac:dyDescent="0.3">
      <c r="A136" s="118" t="str">
        <f>B135&amp;"B"</f>
        <v>71B</v>
      </c>
      <c r="B136" s="506"/>
      <c r="C136" s="572"/>
      <c r="D136" s="479" t="str">
        <f>VLOOKUP(B135,EventsOrder,3,FALSE)</f>
        <v>200m</v>
      </c>
      <c r="E136" s="515" t="s">
        <v>94</v>
      </c>
      <c r="F136" s="529"/>
      <c r="G136" s="547" t="str">
        <f>VLOOKUP(($B135*10)+1,Results,$F$4,FALSE)</f>
        <v>Oliver Marsh</v>
      </c>
      <c r="H136" s="517"/>
      <c r="I136" s="548" t="str">
        <f>VLOOKUP(($B135*10)+2,Results,$F$4,FALSE)</f>
        <v>Jacob Austerberry</v>
      </c>
      <c r="J136" s="517"/>
      <c r="K136" s="548" t="str">
        <f>VLOOKUP(($B135*10)+3,Results,$F$4,FALSE)</f>
        <v>Adam Makame</v>
      </c>
      <c r="L136" s="517"/>
      <c r="M136" s="548" t="str">
        <f>VLOOKUP(($B135*10)+4,Results,$F$4,FALSE)</f>
        <v>Jasper Hadley</v>
      </c>
      <c r="N136" s="517"/>
      <c r="O136" s="548" t="str">
        <f>VLOOKUP(($B135*10)+5,Results,$F$4,FALSE)</f>
        <v>Hugo Fernandez</v>
      </c>
      <c r="P136" s="517"/>
      <c r="Q136" s="548" t="str">
        <f>VLOOKUP(($B135*10)+6,Results,$F$4,FALSE)</f>
        <v/>
      </c>
      <c r="R136" s="549"/>
      <c r="S136" s="575" t="str">
        <f>VLOOKUP(($B135*10)+7,Results,$F$4,FALSE)</f>
        <v/>
      </c>
      <c r="T136" s="517"/>
      <c r="U136" s="548" t="str">
        <f>VLOOKUP(($B135*10)+8,Results,$F$4,FALSE)</f>
        <v/>
      </c>
      <c r="V136" s="519"/>
      <c r="W136" s="487"/>
      <c r="X136" s="488"/>
      <c r="Y136" s="488"/>
      <c r="Z136" s="488"/>
      <c r="AA136" s="488"/>
      <c r="AB136" s="488"/>
      <c r="AC136" s="488"/>
      <c r="AD136" s="489"/>
    </row>
    <row r="137" spans="1:30" ht="15" thickBot="1" x14ac:dyDescent="0.35">
      <c r="A137" s="118" t="str">
        <f>B135&amp;"B"</f>
        <v>71B</v>
      </c>
      <c r="B137" s="506"/>
      <c r="C137" s="576"/>
      <c r="D137" s="502"/>
      <c r="E137" s="523"/>
      <c r="F137" s="503"/>
      <c r="G137" s="554" t="str">
        <f>VLOOKUP(($B135*10)+1,Results,$G$4,FALSE)</f>
        <v>Royal</v>
      </c>
      <c r="H137" s="505">
        <f>VLOOKUP(($B135*10)+1,Results,$H$4,FALSE)</f>
        <v>27.9</v>
      </c>
      <c r="I137" s="556" t="str">
        <f>VLOOKUP(($B135*10)+2,Results,$G$4,FALSE)</f>
        <v>Sol</v>
      </c>
      <c r="J137" s="505">
        <f>VLOOKUP(($B135*10)+2,Results,$H$4,FALSE)</f>
        <v>29.6</v>
      </c>
      <c r="K137" s="556" t="str">
        <f>VLOOKUP(($B135*10)+3,Results,$G$4,FALSE)</f>
        <v>BRAT</v>
      </c>
      <c r="L137" s="505">
        <f>VLOOKUP(($B135*10)+3,Results,$H$4,FALSE)</f>
        <v>30.4</v>
      </c>
      <c r="M137" s="556" t="str">
        <f>VLOOKUP(($B135*10)+4,Results,$G$4,FALSE)</f>
        <v>Strat</v>
      </c>
      <c r="N137" s="505">
        <f>VLOOKUP(($B135*10)+4,Results,$H$4,FALSE)</f>
        <v>30.5</v>
      </c>
      <c r="O137" s="556" t="str">
        <f>VLOOKUP(($B135*10)+5,Results,$G$4,FALSE)</f>
        <v>Rugby</v>
      </c>
      <c r="P137" s="505">
        <f>VLOOKUP(($B135*10)+5,Results,$H$4,FALSE)</f>
        <v>30.7</v>
      </c>
      <c r="Q137" s="556">
        <f>VLOOKUP(($B135*10)+6,Results,$G$4,FALSE)</f>
        <v>0</v>
      </c>
      <c r="R137" s="505">
        <f>VLOOKUP(($B135*10)+6,Results,$H$4,FALSE)</f>
        <v>0</v>
      </c>
      <c r="S137" s="556">
        <f>VLOOKUP(($B135*10)+7,Results,$G$4,FALSE)</f>
        <v>0</v>
      </c>
      <c r="T137" s="505">
        <f>VLOOKUP(($B135*10)+7,Results,$H$4,FALSE)</f>
        <v>0</v>
      </c>
      <c r="U137" s="556">
        <f>VLOOKUP(($B135*10)+8,Results,$G$4,FALSE)</f>
        <v>0</v>
      </c>
      <c r="V137" s="505">
        <f>VLOOKUP(($B135*10)+8,Results,$H$4,FALSE)</f>
        <v>0</v>
      </c>
      <c r="W137" s="498">
        <f>VLOOKUP(($B135*10)+1,Results,$I$4,FALSE)</f>
        <v>6</v>
      </c>
      <c r="X137" s="499">
        <f>VLOOKUP(($B135*10)+2,Results,$I$4,FALSE)</f>
        <v>0</v>
      </c>
      <c r="Y137" s="499">
        <f>VLOOKUP(($B135*10)+3,Results,$I$4,FALSE)</f>
        <v>8</v>
      </c>
      <c r="Z137" s="499">
        <f>VLOOKUP(($B135*10)+4,Results,$I$4,FALSE)</f>
        <v>4</v>
      </c>
      <c r="AA137" s="499">
        <f>VLOOKUP(($B135*10)+5,Results,$I$4,FALSE)</f>
        <v>7</v>
      </c>
      <c r="AB137" s="499">
        <f>VLOOKUP(($B135*10)+6,Results,$I$4,FALSE)</f>
        <v>5</v>
      </c>
      <c r="AC137" s="499">
        <f>VLOOKUP(($B135*10)+7,Results,$I$4,FALSE)</f>
        <v>0</v>
      </c>
      <c r="AD137" s="500">
        <f>VLOOKUP(($B135*10)+8,Results,$I$4,FALSE)</f>
        <v>0</v>
      </c>
    </row>
    <row r="138" spans="1:30" x14ac:dyDescent="0.3">
      <c r="A138" s="118" t="str">
        <f>B139&amp;"A"</f>
        <v>74A</v>
      </c>
      <c r="B138" s="506"/>
      <c r="C138" s="571"/>
      <c r="D138" s="479" t="str">
        <f>VLOOKUP(B139,EventsOrder,4,FALSE)</f>
        <v>U14 Male</v>
      </c>
      <c r="E138" s="515" t="s">
        <v>149</v>
      </c>
      <c r="F138" s="480"/>
      <c r="G138" s="481" t="str">
        <f>VLOOKUP(($B139*10)+1,Results,$F$3,FALSE)</f>
        <v/>
      </c>
      <c r="H138" s="482"/>
      <c r="I138" s="483" t="str">
        <f>VLOOKUP(($B139*10)+2,Results,$F$3,FALSE)</f>
        <v/>
      </c>
      <c r="J138" s="482"/>
      <c r="K138" s="483" t="str">
        <f>VLOOKUP(($B139*10)+3,Results,$F$3,FALSE)</f>
        <v/>
      </c>
      <c r="L138" s="482"/>
      <c r="M138" s="483" t="str">
        <f>VLOOKUP(($B139*10)+4,Results,$F$3,FALSE)</f>
        <v/>
      </c>
      <c r="N138" s="482"/>
      <c r="O138" s="483" t="str">
        <f>VLOOKUP(($B139*10)+5,Results,$F$3,FALSE)</f>
        <v/>
      </c>
      <c r="P138" s="482"/>
      <c r="Q138" s="483" t="str">
        <f>VLOOKUP(($B139*10)+6,Results,$F$3,FALSE)</f>
        <v/>
      </c>
      <c r="R138" s="484"/>
      <c r="S138" s="485" t="str">
        <f>VLOOKUP(($B139*10)+7,Results,$F$3,FALSE)</f>
        <v/>
      </c>
      <c r="T138" s="482"/>
      <c r="U138" s="483" t="str">
        <f>VLOOKUP(($B139*10)+8,Results,$F$3,FALSE)</f>
        <v/>
      </c>
      <c r="V138" s="486"/>
      <c r="W138" s="487"/>
      <c r="X138" s="488"/>
      <c r="Y138" s="488"/>
      <c r="Z138" s="488"/>
      <c r="AA138" s="488"/>
      <c r="AB138" s="488"/>
      <c r="AC138" s="488"/>
      <c r="AD138" s="489"/>
    </row>
    <row r="139" spans="1:30" x14ac:dyDescent="0.3">
      <c r="A139" s="118" t="str">
        <f>B139&amp;"A"</f>
        <v>74A</v>
      </c>
      <c r="B139" s="24">
        <v>74</v>
      </c>
      <c r="C139" s="572">
        <f>VLOOKUP(B139,EventsOrder,2,FALSE)</f>
        <v>4.2</v>
      </c>
      <c r="D139" s="490"/>
      <c r="E139" s="11"/>
      <c r="F139" s="492"/>
      <c r="G139" s="493">
        <f>VLOOKUP(($B139*10)+1,Results,$G$3,FALSE)</f>
        <v>0</v>
      </c>
      <c r="H139" s="573">
        <f>VLOOKUP(($B139*10)+1,Results,$H$3,FALSE)</f>
        <v>0</v>
      </c>
      <c r="I139" s="495">
        <f>VLOOKUP(($B139*10)+2,Results,$G$3,FALSE)</f>
        <v>0</v>
      </c>
      <c r="J139" s="573">
        <f>VLOOKUP(($B139*10)+2,Results,$H$3,FALSE)</f>
        <v>0</v>
      </c>
      <c r="K139" s="495">
        <f>VLOOKUP(($B139*10)+3,Results,$G$3,FALSE)</f>
        <v>0</v>
      </c>
      <c r="L139" s="573">
        <f>VLOOKUP(($B139*10)+3,Results,$H$3,FALSE)</f>
        <v>0</v>
      </c>
      <c r="M139" s="495">
        <f>VLOOKUP(($B139*10)+4,Results,$G$3,FALSE)</f>
        <v>0</v>
      </c>
      <c r="N139" s="573">
        <f>VLOOKUP(($B139*10)+4,Results,$H$3,FALSE)</f>
        <v>0</v>
      </c>
      <c r="O139" s="495">
        <f>VLOOKUP(($B139*10)+5,Results,$G$3,FALSE)</f>
        <v>0</v>
      </c>
      <c r="P139" s="573">
        <f>VLOOKUP(($B139*10)+5,Results,$H$3,FALSE)</f>
        <v>0</v>
      </c>
      <c r="Q139" s="495">
        <f>VLOOKUP(($B139*10)+6,Results,$G$3,FALSE)</f>
        <v>0</v>
      </c>
      <c r="R139" s="574">
        <f>VLOOKUP(($B139*10)+6,Results,$H$3,FALSE)</f>
        <v>0</v>
      </c>
      <c r="S139" s="496">
        <f>VLOOKUP(($B139*10)+7,Results,$G$3,FALSE)</f>
        <v>0</v>
      </c>
      <c r="T139" s="573">
        <f>VLOOKUP(($B139*10)+7,Results,$H$3,FALSE)</f>
        <v>0</v>
      </c>
      <c r="U139" s="495">
        <f>VLOOKUP(($B139*10)+8,Results,$G$3,FALSE)</f>
        <v>0</v>
      </c>
      <c r="V139" s="574">
        <f>VLOOKUP(($B139*10)+8,Results,$H$3,FALSE)</f>
        <v>0</v>
      </c>
      <c r="W139" s="498">
        <f>VLOOKUP(($B139*10)+1,Results,$I$3,FALSE)</f>
        <v>0</v>
      </c>
      <c r="X139" s="499">
        <f>VLOOKUP(($B139*10)+2,Results,$I$3,FALSE)</f>
        <v>0</v>
      </c>
      <c r="Y139" s="499">
        <f>VLOOKUP(($B139*10)+3,Results,$I$3,FALSE)</f>
        <v>0</v>
      </c>
      <c r="Z139" s="499">
        <f>VLOOKUP(($B139*10)+4,Results,$I$3,FALSE)</f>
        <v>0</v>
      </c>
      <c r="AA139" s="499">
        <f>VLOOKUP(($B139*10)+5,Results,$I$3,FALSE)</f>
        <v>0</v>
      </c>
      <c r="AB139" s="499">
        <f>VLOOKUP(($B139*10)+6,Results,$I$3,FALSE)</f>
        <v>0</v>
      </c>
      <c r="AC139" s="499">
        <f>VLOOKUP(($B139*10)+7,Results,$I$3,FALSE)</f>
        <v>0</v>
      </c>
      <c r="AD139" s="500">
        <f>VLOOKUP(($B139*10)+8,Results,$I$3,FALSE)</f>
        <v>0</v>
      </c>
    </row>
    <row r="140" spans="1:30" x14ac:dyDescent="0.3">
      <c r="A140" s="118" t="str">
        <f>B139&amp;"B"</f>
        <v>74B</v>
      </c>
      <c r="B140" s="506"/>
      <c r="C140" s="572"/>
      <c r="D140" s="479" t="str">
        <f>VLOOKUP(B139,EventsOrder,3,FALSE)</f>
        <v>Discus</v>
      </c>
      <c r="E140" s="515" t="s">
        <v>94</v>
      </c>
      <c r="F140" s="529"/>
      <c r="G140" s="547" t="str">
        <f>VLOOKUP(($B139*10)+1,Results,$F$4,FALSE)</f>
        <v/>
      </c>
      <c r="H140" s="517"/>
      <c r="I140" s="548" t="str">
        <f>VLOOKUP(($B139*10)+2,Results,$F$4,FALSE)</f>
        <v/>
      </c>
      <c r="J140" s="517"/>
      <c r="K140" s="548" t="str">
        <f>VLOOKUP(($B139*10)+3,Results,$F$4,FALSE)</f>
        <v/>
      </c>
      <c r="L140" s="517"/>
      <c r="M140" s="548" t="str">
        <f>VLOOKUP(($B139*10)+4,Results,$F$4,FALSE)</f>
        <v/>
      </c>
      <c r="N140" s="517"/>
      <c r="O140" s="548" t="str">
        <f>VLOOKUP(($B139*10)+5,Results,$F$4,FALSE)</f>
        <v/>
      </c>
      <c r="P140" s="517"/>
      <c r="Q140" s="548" t="str">
        <f>VLOOKUP(($B139*10)+6,Results,$F$4,FALSE)</f>
        <v/>
      </c>
      <c r="R140" s="549"/>
      <c r="S140" s="575" t="str">
        <f>VLOOKUP(($B139*10)+7,Results,$F$4,FALSE)</f>
        <v/>
      </c>
      <c r="T140" s="517"/>
      <c r="U140" s="548" t="str">
        <f>VLOOKUP(($B139*10)+8,Results,$F$4,FALSE)</f>
        <v/>
      </c>
      <c r="V140" s="549"/>
      <c r="W140" s="487"/>
      <c r="X140" s="488"/>
      <c r="Y140" s="488"/>
      <c r="Z140" s="488"/>
      <c r="AA140" s="488"/>
      <c r="AB140" s="488"/>
      <c r="AC140" s="488"/>
      <c r="AD140" s="489"/>
    </row>
    <row r="141" spans="1:30" ht="15" thickBot="1" x14ac:dyDescent="0.35">
      <c r="A141" s="118" t="str">
        <f>B139&amp;"B"</f>
        <v>74B</v>
      </c>
      <c r="B141" s="530"/>
      <c r="C141" s="576"/>
      <c r="D141" s="502"/>
      <c r="E141" s="523"/>
      <c r="F141" s="503"/>
      <c r="G141" s="493">
        <f>VLOOKUP(($B139*10)+1,Results,$G$4,FALSE)</f>
        <v>0</v>
      </c>
      <c r="H141" s="573">
        <f>VLOOKUP(($B139*10)+1,Results,$H$4,FALSE)</f>
        <v>0</v>
      </c>
      <c r="I141" s="495">
        <f>VLOOKUP(($B139*10)+2,Results,$G$4,FALSE)</f>
        <v>0</v>
      </c>
      <c r="J141" s="573">
        <f>VLOOKUP(($B139*10)+2,Results,$H$4,FALSE)</f>
        <v>0</v>
      </c>
      <c r="K141" s="495">
        <f>VLOOKUP(($B139*10)+3,Results,$G$4,FALSE)</f>
        <v>0</v>
      </c>
      <c r="L141" s="573">
        <f>VLOOKUP(($B139*10)+3,Results,$H$4,FALSE)</f>
        <v>0</v>
      </c>
      <c r="M141" s="495">
        <f>VLOOKUP(($B139*10)+4,Results,$G$4,FALSE)</f>
        <v>0</v>
      </c>
      <c r="N141" s="573">
        <f>VLOOKUP(($B139*10)+4,Results,$H$4,FALSE)</f>
        <v>0</v>
      </c>
      <c r="O141" s="495">
        <f>VLOOKUP(($B139*10)+5,Results,$G$4,FALSE)</f>
        <v>0</v>
      </c>
      <c r="P141" s="573">
        <f>VLOOKUP(($B139*10)+5,Results,$H$4,FALSE)</f>
        <v>0</v>
      </c>
      <c r="Q141" s="495">
        <f>VLOOKUP(($B139*10)+6,Results,$G$4,FALSE)</f>
        <v>0</v>
      </c>
      <c r="R141" s="574">
        <f>VLOOKUP(($B139*10)+6,Results,$H$4,FALSE)</f>
        <v>0</v>
      </c>
      <c r="S141" s="496">
        <f>VLOOKUP(($B139*10)+7,Results,$G$4,FALSE)</f>
        <v>0</v>
      </c>
      <c r="T141" s="573">
        <f>VLOOKUP(($B139*10)+7,Results,$H$4,FALSE)</f>
        <v>0</v>
      </c>
      <c r="U141" s="495">
        <f>VLOOKUP(($B139*10)+8,Results,$G$4,FALSE)</f>
        <v>0</v>
      </c>
      <c r="V141" s="574">
        <f>VLOOKUP(($B139*10)+8,Results,$H$4,FALSE)</f>
        <v>0</v>
      </c>
      <c r="W141" s="498">
        <f>VLOOKUP(($B139*10)+1,Results,$I$4,FALSE)</f>
        <v>0</v>
      </c>
      <c r="X141" s="499">
        <f>VLOOKUP(($B139*10)+2,Results,$I$4,FALSE)</f>
        <v>0</v>
      </c>
      <c r="Y141" s="499">
        <f>VLOOKUP(($B139*10)+3,Results,$I$4,FALSE)</f>
        <v>0</v>
      </c>
      <c r="Z141" s="499">
        <f>VLOOKUP(($B139*10)+4,Results,$I$4,FALSE)</f>
        <v>0</v>
      </c>
      <c r="AA141" s="499">
        <f>VLOOKUP(($B139*10)+5,Results,$I$4,FALSE)</f>
        <v>0</v>
      </c>
      <c r="AB141" s="499">
        <f>VLOOKUP(($B139*10)+6,Results,$I$4,FALSE)</f>
        <v>0</v>
      </c>
      <c r="AC141" s="499">
        <f>VLOOKUP(($B139*10)+7,Results,$I$4,FALSE)</f>
        <v>0</v>
      </c>
      <c r="AD141" s="500">
        <f>VLOOKUP(($B139*10)+8,Results,$I$4,FALSE)</f>
        <v>0</v>
      </c>
    </row>
    <row r="142" spans="1:30" ht="16.2" thickBot="1" x14ac:dyDescent="0.35">
      <c r="A142" s="118"/>
      <c r="B142" s="506"/>
      <c r="C142" s="507"/>
      <c r="D142" s="508" t="s">
        <v>296</v>
      </c>
      <c r="E142" s="476"/>
      <c r="F142" s="51"/>
      <c r="G142" s="516"/>
      <c r="H142" s="580"/>
      <c r="I142" s="518"/>
      <c r="J142" s="580"/>
      <c r="K142" s="518"/>
      <c r="L142" s="580"/>
      <c r="M142" s="518"/>
      <c r="N142" s="580"/>
      <c r="O142" s="518"/>
      <c r="P142" s="580"/>
      <c r="Q142" s="518"/>
      <c r="R142" s="518"/>
      <c r="S142" s="518"/>
      <c r="T142" s="580"/>
      <c r="U142" s="518"/>
      <c r="V142" s="581"/>
      <c r="W142" s="1010"/>
      <c r="X142" s="605"/>
      <c r="Y142" s="605"/>
      <c r="Z142" s="605"/>
      <c r="AA142" s="605"/>
      <c r="AB142" s="605"/>
      <c r="AC142" s="605"/>
      <c r="AD142" s="1273"/>
    </row>
    <row r="143" spans="1:30" x14ac:dyDescent="0.3">
      <c r="A143" s="118" t="str">
        <f>B144&amp;"A"</f>
        <v>85A</v>
      </c>
      <c r="B143" s="506"/>
      <c r="C143" s="524"/>
      <c r="F143" s="480"/>
      <c r="G143" s="483" t="str">
        <f>VLOOKUP(($B144*10)+1,Results,$F$3,FALSE)</f>
        <v>Royal Sutton</v>
      </c>
      <c r="H143" s="482"/>
      <c r="I143" s="483" t="str">
        <f>VLOOKUP(($B144*10)+2,Results,$F$3,FALSE)</f>
        <v>Rugby &amp; N'hampton</v>
      </c>
      <c r="J143" s="484"/>
      <c r="K143" s="485" t="str">
        <f>VLOOKUP(($B144*10)+3,Results,$F$3,FALSE)</f>
        <v>BRAT</v>
      </c>
      <c r="L143" s="482"/>
      <c r="M143" s="483" t="str">
        <f>VLOOKUP(($B144*10)+4,Results,$F$3,FALSE)</f>
        <v>Stratford</v>
      </c>
      <c r="N143" s="482"/>
      <c r="O143" s="483" t="str">
        <f>VLOOKUP(($B144*10)+5,Results,$F$3,FALSE)</f>
        <v>Solihull &amp; S.Heath</v>
      </c>
      <c r="P143" s="482"/>
      <c r="Q143" s="483" t="str">
        <f>VLOOKUP(($B144*10)+6,Results,$F$3,FALSE)</f>
        <v/>
      </c>
      <c r="R143" s="484"/>
      <c r="S143" s="485" t="str">
        <f>VLOOKUP(($B144*10)+7,Results,$F$3,FALSE)</f>
        <v/>
      </c>
      <c r="T143" s="482"/>
      <c r="U143" s="483" t="str">
        <f>VLOOKUP(($B144*10)+8,Results,$F$3,FALSE)</f>
        <v/>
      </c>
      <c r="V143" s="486"/>
      <c r="W143" s="487"/>
      <c r="X143" s="488"/>
      <c r="Y143" s="488"/>
      <c r="Z143" s="488"/>
      <c r="AA143" s="488"/>
      <c r="AB143" s="488"/>
      <c r="AC143" s="488"/>
      <c r="AD143" s="489"/>
    </row>
    <row r="144" spans="1:30" x14ac:dyDescent="0.3">
      <c r="A144" s="118" t="str">
        <f>B144&amp;"A"</f>
        <v>85A</v>
      </c>
      <c r="B144" s="24">
        <v>85</v>
      </c>
      <c r="C144" s="221">
        <f>VLOOKUP(B144,EventsOrder,2,FALSE)</f>
        <v>5.05</v>
      </c>
      <c r="D144" s="490" t="str">
        <f>VLOOKUP(B144,EventsOrder,4,FALSE)</f>
        <v>U14 Male</v>
      </c>
      <c r="E144" s="491"/>
      <c r="F144" s="492"/>
      <c r="G144" s="495" t="str">
        <f>VLOOKUP(($B144*10)+1,Results,$F$3-1,FALSE)</f>
        <v>G - Royal</v>
      </c>
      <c r="H144" s="505">
        <f>VLOOKUP(($B144*10)+1,Results,$H$3,FALSE)</f>
        <v>53.5</v>
      </c>
      <c r="I144" s="495" t="str">
        <f>VLOOKUP(($B144*10)+2,Results,$F$3-1,FALSE)</f>
        <v>R - Rugby</v>
      </c>
      <c r="J144" s="505">
        <f>VLOOKUP(($B144*10)+2,Results,$H$3,FALSE)</f>
        <v>53.7</v>
      </c>
      <c r="K144" s="495" t="str">
        <f>VLOOKUP(($B144*10)+3,Results,$F$3-1,FALSE)</f>
        <v>S - BRAT</v>
      </c>
      <c r="L144" s="505">
        <f>VLOOKUP(($B144*10)+3,Results,$H$3,FALSE)</f>
        <v>55.6</v>
      </c>
      <c r="M144" s="495" t="str">
        <f>VLOOKUP(($B144*10)+4,Results,$F$3-1,FALSE)</f>
        <v>D - Strat</v>
      </c>
      <c r="N144" s="505">
        <f>VLOOKUP(($B144*10)+4,Results,$H$3,FALSE)</f>
        <v>56</v>
      </c>
      <c r="O144" s="495" t="str">
        <f>VLOOKUP(($B144*10)+5,Results,$F$3-1,FALSE)</f>
        <v>M - Sol</v>
      </c>
      <c r="P144" s="505">
        <f>VLOOKUP(($B144*10)+5,Results,$H$3,FALSE)</f>
        <v>59.4</v>
      </c>
      <c r="Q144" s="495" t="str">
        <f>VLOOKUP(($B144*10)+6,Results,$F$3-1,FALSE)</f>
        <v/>
      </c>
      <c r="R144" s="505">
        <f>VLOOKUP(($B144*10)+6,Results,$H$3,FALSE)</f>
        <v>0</v>
      </c>
      <c r="S144" s="495" t="str">
        <f>VLOOKUP(($B144*10)+7,Results,$F$3-1,FALSE)</f>
        <v/>
      </c>
      <c r="T144" s="505">
        <f>VLOOKUP(($B144*10)+7,Results,$H$3,FALSE)</f>
        <v>0</v>
      </c>
      <c r="U144" s="495" t="str">
        <f>VLOOKUP(($B144*10)+8,Results,$F$3-1,FALSE)</f>
        <v/>
      </c>
      <c r="V144" s="505">
        <f>VLOOKUP(($B144*10)+8,Results,$H$3,FALSE)</f>
        <v>0</v>
      </c>
      <c r="W144" s="498">
        <f>VLOOKUP(($B144*10)+1,Results,$I$3,FALSE)</f>
        <v>6</v>
      </c>
      <c r="X144" s="499">
        <f>VLOOKUP(($B144*10)+2,Results,$I$3,FALSE)</f>
        <v>0</v>
      </c>
      <c r="Y144" s="499">
        <f>VLOOKUP(($B144*10)+3,Results,$I$3,FALSE)</f>
        <v>8</v>
      </c>
      <c r="Z144" s="499">
        <f>VLOOKUP(($B144*10)+4,Results,$I$3,FALSE)</f>
        <v>7</v>
      </c>
      <c r="AA144" s="499">
        <f>VLOOKUP(($B144*10)+5,Results,$I$3,FALSE)</f>
        <v>4</v>
      </c>
      <c r="AB144" s="499">
        <f>VLOOKUP(($B144*10)+6,Results,$I$3,FALSE)</f>
        <v>5</v>
      </c>
      <c r="AC144" s="499">
        <f>VLOOKUP(($B144*10)+7,Results,$I$3,FALSE)</f>
        <v>0</v>
      </c>
      <c r="AD144" s="500">
        <f>VLOOKUP(($B144*10)+8,Results,$I$3,FALSE)</f>
        <v>0</v>
      </c>
    </row>
    <row r="145" spans="1:30" x14ac:dyDescent="0.3">
      <c r="A145" s="118" t="str">
        <f>B144&amp;"B"</f>
        <v>85B</v>
      </c>
      <c r="B145" s="417"/>
      <c r="C145" s="550"/>
      <c r="D145" s="85"/>
      <c r="E145" s="56"/>
      <c r="F145" s="534">
        <v>1</v>
      </c>
      <c r="G145" s="557">
        <f>IF(LEN(G$144)&gt;1,HLOOKUP(G$144,Relays,$A503,FALSE),"")</f>
        <v>0</v>
      </c>
      <c r="H145" s="558"/>
      <c r="I145" s="582">
        <f>IF(LEN(I$144)&gt;1,HLOOKUP(I$144,Relays,$A503,FALSE),"")</f>
        <v>0</v>
      </c>
      <c r="J145" s="560"/>
      <c r="K145" s="582" t="str">
        <f>IF(LEN(K$144)&gt;1,HLOOKUP(K$144,Relays,$A503,FALSE),"")</f>
        <v xml:space="preserve">T’yana Josephs </v>
      </c>
      <c r="L145" s="560"/>
      <c r="M145" s="582" t="str">
        <f>IF(LEN(M$144)&gt;1,HLOOKUP(M$144,Relays,$A503,FALSE),"")</f>
        <v>Darcie Nicholls</v>
      </c>
      <c r="N145" s="583"/>
      <c r="O145" s="559">
        <f>IF(LEN(O$144)&gt;1,HLOOKUP(O$144,Relays,$A503,FALSE),"")</f>
        <v>0</v>
      </c>
      <c r="P145" s="561"/>
      <c r="Q145" s="557" t="str">
        <f>IF(LEN(Q$144)&gt;1,HLOOKUP(Q$144,Relays,$A503,FALSE),"")</f>
        <v/>
      </c>
      <c r="R145" s="561"/>
      <c r="S145" s="557" t="str">
        <f>IF(LEN(S$144)&gt;1,HLOOKUP(S$144,Relays,$A503,FALSE),"")</f>
        <v/>
      </c>
      <c r="T145" s="561"/>
      <c r="U145" s="557" t="str">
        <f>IF(LEN(U$144)&gt;1,HLOOKUP(U$144,Relays,$A503,FALSE),"")</f>
        <v/>
      </c>
      <c r="V145" s="584"/>
      <c r="W145" s="511"/>
      <c r="X145" s="512"/>
      <c r="Y145" s="512"/>
      <c r="Z145" s="512"/>
      <c r="AA145" s="512"/>
      <c r="AB145" s="512"/>
      <c r="AC145" s="512"/>
      <c r="AD145" s="513"/>
    </row>
    <row r="146" spans="1:30" x14ac:dyDescent="0.3">
      <c r="A146" s="118" t="str">
        <f>B144&amp;"B"</f>
        <v>85B</v>
      </c>
      <c r="B146" s="506"/>
      <c r="D146" s="479" t="str">
        <f>VLOOKUP(B144,EventsOrder,3,FALSE)</f>
        <v>4 x 100m</v>
      </c>
      <c r="E146" s="56"/>
      <c r="F146" s="534">
        <v>2</v>
      </c>
      <c r="G146" s="557">
        <f>IF(LEN(G$144)&gt;1,HLOOKUP(G$144,Relays,$A504,FALSE),"")</f>
        <v>0</v>
      </c>
      <c r="H146" s="562"/>
      <c r="I146" s="582">
        <f>IF(LEN(I$144)&gt;1,HLOOKUP(I$144,Relays,$A504,FALSE),"")</f>
        <v>0</v>
      </c>
      <c r="J146" s="562"/>
      <c r="K146" s="582" t="str">
        <f>IF(LEN(K$144)&gt;1,HLOOKUP(K$144,Relays,$A504,FALSE),"")</f>
        <v xml:space="preserve">Hephzibah Emmanuel Kokoh </v>
      </c>
      <c r="L146" s="562"/>
      <c r="M146" s="582" t="str">
        <f>IF(LEN(M$144)&gt;1,HLOOKUP(M$144,Relays,$A504,FALSE),"")</f>
        <v>Ella Smith</v>
      </c>
      <c r="N146" s="562"/>
      <c r="O146" s="582">
        <f>IF(LEN(O$144)&gt;1,HLOOKUP(O$144,Relays,$A504,FALSE),"")</f>
        <v>0</v>
      </c>
      <c r="P146" s="562"/>
      <c r="Q146" s="582" t="str">
        <f>IF(LEN(Q$144)&gt;1,HLOOKUP(Q$144,Relays,$A504,FALSE),"")</f>
        <v/>
      </c>
      <c r="R146" s="562"/>
      <c r="S146" s="582" t="str">
        <f>IF(LEN(S$144)&gt;1,HLOOKUP(S$144,Relays,$A504,FALSE),"")</f>
        <v/>
      </c>
      <c r="T146" s="562"/>
      <c r="U146" s="582" t="str">
        <f>IF(LEN(U$144)&gt;1,HLOOKUP(U$144,Relays,$A504,FALSE),"")</f>
        <v/>
      </c>
      <c r="V146" s="585"/>
      <c r="W146" s="511"/>
      <c r="X146" s="488"/>
      <c r="Y146" s="488"/>
      <c r="Z146" s="488"/>
      <c r="AA146" s="488"/>
      <c r="AB146" s="488"/>
      <c r="AC146" s="488"/>
      <c r="AD146" s="489"/>
    </row>
    <row r="147" spans="1:30" x14ac:dyDescent="0.3">
      <c r="A147" s="118" t="str">
        <f>B144&amp;"R"</f>
        <v>85R</v>
      </c>
      <c r="B147" s="506"/>
      <c r="C147" s="550"/>
      <c r="E147" s="56"/>
      <c r="F147" s="534">
        <v>3</v>
      </c>
      <c r="G147" s="557">
        <f>IF(LEN(G$144)&gt;1,HLOOKUP(G$144,Relays,$A505,FALSE),"")</f>
        <v>0</v>
      </c>
      <c r="H147" s="560"/>
      <c r="I147" s="582">
        <f>IF(LEN(I$144)&gt;1,HLOOKUP(I$144,Relays,$A505,FALSE),"")</f>
        <v>0</v>
      </c>
      <c r="J147" s="560"/>
      <c r="K147" s="582" t="str">
        <f>IF(LEN(K$144)&gt;1,HLOOKUP(K$144,Relays,$A505,FALSE),"")</f>
        <v>Maryam Mohammed Hadi</v>
      </c>
      <c r="L147" s="560"/>
      <c r="M147" s="582" t="str">
        <f>IF(LEN(M$144)&gt;1,HLOOKUP(M$144,Relays,$A505,FALSE),"")</f>
        <v>Ava Sheppard</v>
      </c>
      <c r="N147" s="560"/>
      <c r="O147" s="582">
        <f>IF(LEN(O$144)&gt;1,HLOOKUP(O$144,Relays,$A505,FALSE),"")</f>
        <v>0</v>
      </c>
      <c r="P147" s="560"/>
      <c r="Q147" s="582" t="str">
        <f>IF(LEN(Q$144)&gt;1,HLOOKUP(Q$144,Relays,$A505,FALSE),"")</f>
        <v/>
      </c>
      <c r="R147" s="560"/>
      <c r="S147" s="582" t="str">
        <f>IF(LEN(S$144)&gt;1,HLOOKUP(S$144,Relays,$A505,FALSE),"")</f>
        <v/>
      </c>
      <c r="T147" s="560"/>
      <c r="U147" s="582" t="str">
        <f>IF(LEN(U$144)&gt;1,HLOOKUP(U$144,Relays,$A505,FALSE),"")</f>
        <v/>
      </c>
      <c r="V147" s="586"/>
      <c r="W147" s="511"/>
      <c r="X147" s="488"/>
      <c r="Y147" s="488"/>
      <c r="Z147" s="488"/>
      <c r="AA147" s="488"/>
      <c r="AB147" s="488"/>
      <c r="AC147" s="488"/>
      <c r="AD147" s="489"/>
    </row>
    <row r="148" spans="1:30" ht="15" thickBot="1" x14ac:dyDescent="0.35">
      <c r="A148" s="118" t="str">
        <f>B144&amp;"S"</f>
        <v>85S</v>
      </c>
      <c r="B148" s="506"/>
      <c r="C148" s="501"/>
      <c r="D148" s="502"/>
      <c r="E148" s="116"/>
      <c r="F148" s="563">
        <v>4</v>
      </c>
      <c r="G148" s="564">
        <f>IF(LEN(G$144)&gt;1,HLOOKUP(G$144,Relays,$A506,FALSE),"")</f>
        <v>0</v>
      </c>
      <c r="H148" s="565"/>
      <c r="I148" s="587">
        <f>IF(LEN(I$144)&gt;1,HLOOKUP(I$144,Relays,$A506,FALSE),"")</f>
        <v>0</v>
      </c>
      <c r="J148" s="565"/>
      <c r="K148" s="587" t="str">
        <f>IF(LEN(K$144)&gt;1,HLOOKUP(K$144,Relays,$A506,FALSE),"")</f>
        <v xml:space="preserve">Daniella Anozie </v>
      </c>
      <c r="L148" s="565"/>
      <c r="M148" s="587" t="str">
        <f>IF(LEN(M$144)&gt;1,HLOOKUP(M$144,Relays,$A506,FALSE),"")</f>
        <v>Scarlett Dawson</v>
      </c>
      <c r="N148" s="565"/>
      <c r="O148" s="587">
        <f>IF(LEN(O$144)&gt;1,HLOOKUP(O$144,Relays,$A506,FALSE),"")</f>
        <v>0</v>
      </c>
      <c r="P148" s="565"/>
      <c r="Q148" s="587" t="str">
        <f>IF(LEN(Q$144)&gt;1,HLOOKUP(Q$144,Relays,$A506,FALSE),"")</f>
        <v/>
      </c>
      <c r="R148" s="565"/>
      <c r="S148" s="587" t="str">
        <f>IF(LEN(S$144)&gt;1,HLOOKUP(S$144,Relays,$A506,FALSE),"")</f>
        <v/>
      </c>
      <c r="T148" s="565"/>
      <c r="U148" s="587" t="str">
        <f>IF(LEN(U$144)&gt;1,HLOOKUP(U$144,Relays,$A506,FALSE),"")</f>
        <v/>
      </c>
      <c r="V148" s="588"/>
      <c r="W148" s="520"/>
      <c r="X148" s="521"/>
      <c r="Y148" s="521"/>
      <c r="Z148" s="521"/>
      <c r="AA148" s="521"/>
      <c r="AB148" s="521"/>
      <c r="AC148" s="521"/>
      <c r="AD148" s="522"/>
    </row>
    <row r="149" spans="1:30" x14ac:dyDescent="0.3">
      <c r="B149" s="589"/>
      <c r="C149" s="535"/>
      <c r="D149" s="535"/>
      <c r="E149" s="566"/>
      <c r="F149" s="535"/>
      <c r="G149" s="85"/>
      <c r="H149" s="85"/>
      <c r="I149" s="85"/>
      <c r="J149" s="85"/>
      <c r="K149" s="85"/>
      <c r="L149" s="85"/>
      <c r="M149" s="85"/>
      <c r="N149" s="85"/>
      <c r="O149" s="85"/>
      <c r="P149" s="85"/>
      <c r="Q149" s="85"/>
      <c r="R149" s="85"/>
      <c r="S149" s="85"/>
      <c r="T149" s="85"/>
      <c r="U149" s="85" t="s">
        <v>297</v>
      </c>
      <c r="V149" s="85"/>
      <c r="W149" s="590">
        <f>Officials!C$20</f>
        <v>14</v>
      </c>
      <c r="X149" s="591">
        <f>Officials!D$20</f>
        <v>14</v>
      </c>
      <c r="Y149" s="591">
        <f>Officials!E$20</f>
        <v>12</v>
      </c>
      <c r="Z149" s="591">
        <f>Officials!F$20</f>
        <v>14</v>
      </c>
      <c r="AA149" s="591">
        <f>Officials!G$20</f>
        <v>14</v>
      </c>
      <c r="AB149" s="591">
        <f>Officials!H$20</f>
        <v>14</v>
      </c>
      <c r="AC149" s="591">
        <f>Officials!I$20</f>
        <v>14</v>
      </c>
      <c r="AD149" s="592">
        <f>Officials!J$20</f>
        <v>14</v>
      </c>
    </row>
    <row r="150" spans="1:30" ht="15" thickBot="1" x14ac:dyDescent="0.35">
      <c r="B150" s="534">
        <f>COUNTIF(B103:B149,"&gt;0")</f>
        <v>11</v>
      </c>
      <c r="C150" s="566"/>
      <c r="D150" s="566"/>
      <c r="E150" s="566"/>
      <c r="F150" s="535"/>
      <c r="G150" s="85"/>
      <c r="H150" s="85"/>
      <c r="I150" s="85"/>
      <c r="J150" s="85"/>
      <c r="K150" s="85"/>
      <c r="L150" s="85"/>
      <c r="M150" s="85"/>
      <c r="N150" s="85"/>
      <c r="O150" s="85"/>
      <c r="P150" s="85"/>
      <c r="Q150" s="85"/>
      <c r="R150" s="85"/>
      <c r="S150" s="85"/>
      <c r="T150" s="85"/>
      <c r="U150" s="85" t="s">
        <v>295</v>
      </c>
      <c r="V150" s="85"/>
      <c r="W150" s="593">
        <f t="shared" ref="W150:AD150" si="10">SUM(W102:W149)</f>
        <v>134</v>
      </c>
      <c r="X150" s="537">
        <f t="shared" si="10"/>
        <v>43</v>
      </c>
      <c r="Y150" s="537">
        <f t="shared" si="10"/>
        <v>131</v>
      </c>
      <c r="Z150" s="537">
        <f t="shared" si="10"/>
        <v>120</v>
      </c>
      <c r="AA150" s="537">
        <f t="shared" si="10"/>
        <v>91</v>
      </c>
      <c r="AB150" s="537">
        <f t="shared" si="10"/>
        <v>111</v>
      </c>
      <c r="AC150" s="537">
        <f t="shared" si="10"/>
        <v>41</v>
      </c>
      <c r="AD150" s="538">
        <f t="shared" si="10"/>
        <v>46</v>
      </c>
    </row>
    <row r="151" spans="1:30" ht="15.6" thickTop="1" thickBot="1" x14ac:dyDescent="0.35">
      <c r="B151" s="566"/>
      <c r="C151" s="566"/>
      <c r="D151" s="566"/>
      <c r="E151" s="566"/>
      <c r="F151" s="535"/>
      <c r="G151" s="85"/>
      <c r="H151" s="85"/>
      <c r="I151" s="85"/>
      <c r="J151" s="85"/>
      <c r="K151" s="85"/>
      <c r="L151" s="85"/>
      <c r="M151" s="85"/>
      <c r="N151" s="85"/>
      <c r="O151" s="85"/>
      <c r="P151" s="85"/>
      <c r="Q151" s="85"/>
      <c r="R151" s="85"/>
      <c r="S151" s="85"/>
      <c r="T151" s="85"/>
      <c r="U151" s="85" t="s">
        <v>27</v>
      </c>
      <c r="V151" s="535"/>
      <c r="W151" s="540">
        <f t="shared" ref="W151:AD151" si="11">RANK(W150,$W150:$AD150)</f>
        <v>1</v>
      </c>
      <c r="X151" s="541">
        <f t="shared" si="11"/>
        <v>7</v>
      </c>
      <c r="Y151" s="541">
        <f t="shared" si="11"/>
        <v>2</v>
      </c>
      <c r="Z151" s="541">
        <f t="shared" si="11"/>
        <v>3</v>
      </c>
      <c r="AA151" s="541">
        <f t="shared" si="11"/>
        <v>5</v>
      </c>
      <c r="AB151" s="541">
        <f t="shared" si="11"/>
        <v>4</v>
      </c>
      <c r="AC151" s="541">
        <f t="shared" si="11"/>
        <v>8</v>
      </c>
      <c r="AD151" s="542">
        <f t="shared" si="11"/>
        <v>6</v>
      </c>
    </row>
    <row r="152" spans="1:30" ht="15" thickBot="1" x14ac:dyDescent="0.35">
      <c r="B152" s="566"/>
      <c r="C152" s="566"/>
      <c r="D152" s="566"/>
      <c r="E152" s="566"/>
      <c r="F152" s="535"/>
      <c r="G152" s="85"/>
      <c r="H152" s="85"/>
      <c r="I152" s="85"/>
      <c r="J152" s="85"/>
      <c r="K152" s="85"/>
      <c r="L152" s="85"/>
      <c r="M152" s="85"/>
      <c r="N152" s="85"/>
      <c r="O152" s="85"/>
      <c r="P152" s="85"/>
      <c r="Q152" s="85"/>
      <c r="R152" s="85"/>
      <c r="S152" s="85"/>
      <c r="T152" s="85"/>
      <c r="U152" s="543"/>
      <c r="V152" s="535"/>
      <c r="W152" s="544"/>
      <c r="X152" s="544"/>
      <c r="Y152" s="544"/>
      <c r="Z152" s="544"/>
      <c r="AA152" s="544"/>
      <c r="AB152" s="544"/>
      <c r="AC152" s="544"/>
      <c r="AD152" s="544"/>
    </row>
    <row r="153" spans="1:30" ht="36" customHeight="1" x14ac:dyDescent="0.3">
      <c r="A153" s="424"/>
      <c r="B153" s="1415" t="s">
        <v>258</v>
      </c>
      <c r="C153" s="594"/>
      <c r="D153" s="468"/>
      <c r="E153" s="469"/>
      <c r="F153" s="468"/>
      <c r="G153" s="567"/>
      <c r="H153" s="567"/>
      <c r="I153" s="568"/>
      <c r="J153" s="567"/>
      <c r="K153" s="689" t="str">
        <f>K99</f>
        <v>Heart of England League Results</v>
      </c>
      <c r="L153" s="569"/>
      <c r="M153" s="568"/>
      <c r="N153" s="567"/>
      <c r="O153" s="567"/>
      <c r="P153" s="569"/>
      <c r="Q153" s="568"/>
      <c r="R153" s="569"/>
      <c r="S153" s="473"/>
      <c r="T153" s="569"/>
      <c r="U153" s="568"/>
      <c r="V153" s="569"/>
      <c r="W153" s="1411" t="str">
        <f>W$8</f>
        <v>BRAT</v>
      </c>
      <c r="X153" s="1411" t="str">
        <f t="shared" ref="X153:AD153" si="12">X$8</f>
        <v>Kidder &amp; Stourport</v>
      </c>
      <c r="Y153" s="1411" t="str">
        <f t="shared" si="12"/>
        <v>Royal Sutton</v>
      </c>
      <c r="Z153" s="1411" t="str">
        <f t="shared" si="12"/>
        <v>Rugby &amp; N'hampton</v>
      </c>
      <c r="AA153" s="1411" t="str">
        <f t="shared" si="12"/>
        <v>Solihull &amp; S.Heath</v>
      </c>
      <c r="AB153" s="1411" t="str">
        <f t="shared" si="12"/>
        <v>Stratford</v>
      </c>
      <c r="AC153" s="1411" t="str">
        <f t="shared" si="12"/>
        <v>Tamworth</v>
      </c>
      <c r="AD153" s="1411" t="str">
        <f t="shared" si="12"/>
        <v>Worcester</v>
      </c>
    </row>
    <row r="154" spans="1:30" ht="36.75" customHeight="1" thickBot="1" x14ac:dyDescent="0.35">
      <c r="A154" s="424"/>
      <c r="B154" s="1416"/>
      <c r="C154" s="595"/>
      <c r="D154" s="596" t="s">
        <v>64</v>
      </c>
      <c r="E154" s="597">
        <f>E100</f>
        <v>1</v>
      </c>
      <c r="F154" s="596"/>
      <c r="G154" s="56"/>
      <c r="H154" s="474" t="s">
        <v>455</v>
      </c>
      <c r="I154" s="459"/>
      <c r="J154" s="433"/>
      <c r="K154" s="460" t="s">
        <v>67</v>
      </c>
      <c r="L154" s="461" t="str">
        <f>L100</f>
        <v>Rugby &amp; N'hampton</v>
      </c>
      <c r="M154" s="459"/>
      <c r="N154" s="459"/>
      <c r="O154" s="459"/>
      <c r="P154" s="456"/>
      <c r="Q154" s="460" t="s">
        <v>66</v>
      </c>
      <c r="R154" s="463" t="str">
        <f>R100</f>
        <v>17th May 2026</v>
      </c>
      <c r="S154" s="459"/>
      <c r="T154" s="459"/>
      <c r="U154" s="459"/>
      <c r="V154" s="459"/>
      <c r="W154" s="1412"/>
      <c r="X154" s="1412"/>
      <c r="Y154" s="1412"/>
      <c r="Z154" s="1412"/>
      <c r="AA154" s="1412"/>
      <c r="AB154" s="1412"/>
      <c r="AC154" s="1412"/>
      <c r="AD154" s="1412"/>
    </row>
    <row r="155" spans="1:30" ht="15" thickBot="1" x14ac:dyDescent="0.35">
      <c r="B155" s="506"/>
      <c r="C155" s="598" t="s">
        <v>168</v>
      </c>
      <c r="D155" s="33" t="s">
        <v>165</v>
      </c>
      <c r="E155" s="476"/>
      <c r="F155" s="546"/>
      <c r="G155" s="1413" t="s">
        <v>286</v>
      </c>
      <c r="H155" s="1413"/>
      <c r="I155" s="1414" t="s">
        <v>287</v>
      </c>
      <c r="J155" s="1414"/>
      <c r="K155" s="1414" t="s">
        <v>288</v>
      </c>
      <c r="L155" s="1414"/>
      <c r="M155" s="1414" t="s">
        <v>289</v>
      </c>
      <c r="N155" s="1414"/>
      <c r="O155" s="1414" t="s">
        <v>290</v>
      </c>
      <c r="P155" s="1414"/>
      <c r="Q155" s="1414" t="s">
        <v>291</v>
      </c>
      <c r="R155" s="1414"/>
      <c r="S155" s="1414" t="s">
        <v>292</v>
      </c>
      <c r="T155" s="1414"/>
      <c r="U155" s="1414" t="s">
        <v>293</v>
      </c>
      <c r="V155" s="1414"/>
      <c r="W155" s="477" t="str">
        <f>W$10</f>
        <v>S</v>
      </c>
      <c r="X155" s="477" t="str">
        <f t="shared" ref="X155:AD155" si="13">X$10</f>
        <v>U</v>
      </c>
      <c r="Y155" s="477" t="str">
        <f t="shared" si="13"/>
        <v>G</v>
      </c>
      <c r="Z155" s="477" t="str">
        <f t="shared" si="13"/>
        <v>R</v>
      </c>
      <c r="AA155" s="477" t="str">
        <f t="shared" si="13"/>
        <v>M</v>
      </c>
      <c r="AB155" s="477" t="str">
        <f t="shared" si="13"/>
        <v>D</v>
      </c>
      <c r="AC155" s="477" t="str">
        <f t="shared" si="13"/>
        <v>F</v>
      </c>
      <c r="AD155" s="477" t="str">
        <f t="shared" si="13"/>
        <v>Y</v>
      </c>
    </row>
    <row r="156" spans="1:30" x14ac:dyDescent="0.3">
      <c r="A156" s="118" t="str">
        <f>B157&amp;"A"</f>
        <v>2A</v>
      </c>
      <c r="B156" s="506"/>
      <c r="C156" s="571"/>
      <c r="D156" s="479" t="str">
        <f>VLOOKUP(B157,EventsOrder,4,FALSE)</f>
        <v>U14 Female</v>
      </c>
      <c r="E156" s="515" t="s">
        <v>149</v>
      </c>
      <c r="F156" s="480"/>
      <c r="G156" s="481" t="str">
        <f>VLOOKUP(($B157*10)+1,Results,$F$3,FALSE)</f>
        <v>Freya Carty</v>
      </c>
      <c r="H156" s="482"/>
      <c r="I156" s="483" t="str">
        <f>VLOOKUP(($B157*10)+2,Results,$F$3,FALSE)</f>
        <v>Maggie Silvers</v>
      </c>
      <c r="J156" s="482"/>
      <c r="K156" s="483" t="str">
        <f>VLOOKUP(($B157*10)+3,Results,$F$3,FALSE)</f>
        <v>Alicia Chorostowska</v>
      </c>
      <c r="L156" s="482"/>
      <c r="M156" s="483" t="str">
        <f>VLOOKUP(($B157*10)+4,Results,$F$3,FALSE)</f>
        <v>Sophie McKinnon</v>
      </c>
      <c r="N156" s="482"/>
      <c r="O156" s="483" t="str">
        <f>VLOOKUP(($B157*10)+5,Results,$F$3,FALSE)</f>
        <v>Lucy Harradence</v>
      </c>
      <c r="P156" s="482"/>
      <c r="Q156" s="483" t="str">
        <f>VLOOKUP(($B157*10)+6,Results,$F$3,FALSE)</f>
        <v>Alex Healy</v>
      </c>
      <c r="R156" s="484"/>
      <c r="S156" s="485" t="str">
        <f>VLOOKUP(($B157*10)+7,Results,$F$3,FALSE)</f>
        <v>Elsie Thornton</v>
      </c>
      <c r="T156" s="482"/>
      <c r="U156" s="483" t="str">
        <f>VLOOKUP(($B157*10)+8,Results,$F$3,FALSE)</f>
        <v>Lacey Eaton</v>
      </c>
      <c r="V156" s="486"/>
      <c r="W156" s="599"/>
      <c r="X156" s="488"/>
      <c r="Y156" s="488"/>
      <c r="Z156" s="488"/>
      <c r="AA156" s="488"/>
      <c r="AB156" s="488"/>
      <c r="AC156" s="488"/>
      <c r="AD156" s="488"/>
    </row>
    <row r="157" spans="1:30" x14ac:dyDescent="0.3">
      <c r="A157" s="118" t="str">
        <f>B157&amp;"A"</f>
        <v>2A</v>
      </c>
      <c r="B157" s="24">
        <v>2</v>
      </c>
      <c r="C157" s="572">
        <f>VLOOKUP(B157,EventsOrder,2,FALSE)</f>
        <v>11</v>
      </c>
      <c r="D157" s="490"/>
      <c r="E157" s="11"/>
      <c r="F157" s="492"/>
      <c r="G157" s="493" t="str">
        <f>VLOOKUP(($B157*10)+1,Results,$G$3,FALSE)</f>
        <v>Rugby</v>
      </c>
      <c r="H157" s="494" t="str">
        <f>VLOOKUP(($B157*10)+1,Results,$H$3,FALSE)</f>
        <v>4.59.1</v>
      </c>
      <c r="I157" s="495" t="str">
        <f>VLOOKUP(($B157*10)+2,Results,$G$3,FALSE)</f>
        <v>Strat</v>
      </c>
      <c r="J157" s="494" t="str">
        <f>VLOOKUP(($B157*10)+2,Results,$H$3,FALSE)</f>
        <v>5.11.0</v>
      </c>
      <c r="K157" s="495" t="str">
        <f>VLOOKUP(($B157*10)+3,Results,$G$3,FALSE)</f>
        <v>K&amp;S</v>
      </c>
      <c r="L157" s="494" t="str">
        <f>VLOOKUP(($B157*10)+3,Results,$H$3,FALSE)</f>
        <v>5.12.5</v>
      </c>
      <c r="M157" s="495" t="str">
        <f>VLOOKUP(($B157*10)+4,Results,$G$3,FALSE)</f>
        <v>BRAT</v>
      </c>
      <c r="N157" s="494" t="str">
        <f>VLOOKUP(($B157*10)+4,Results,$H$3,FALSE)</f>
        <v>5.22.0</v>
      </c>
      <c r="O157" s="495" t="str">
        <f>VLOOKUP(($B157*10)+5,Results,$G$3,FALSE)</f>
        <v>Royal</v>
      </c>
      <c r="P157" s="494" t="str">
        <f>VLOOKUP(($B157*10)+5,Results,$H$3,FALSE)</f>
        <v>5.29.0</v>
      </c>
      <c r="Q157" s="495" t="str">
        <f>VLOOKUP(($B157*10)+6,Results,$G$3,FALSE)</f>
        <v>Sol</v>
      </c>
      <c r="R157" s="495" t="str">
        <f>VLOOKUP(($B157*10)+6,Results,$H$3,FALSE)</f>
        <v>5.35.5</v>
      </c>
      <c r="S157" s="496" t="str">
        <f>VLOOKUP(($B157*10)+7,Results,$G$3,FALSE)</f>
        <v>Worc</v>
      </c>
      <c r="T157" s="494" t="str">
        <f>VLOOKUP(($B157*10)+7,Results,$H$3,FALSE)</f>
        <v>5.58.4</v>
      </c>
      <c r="U157" s="495" t="str">
        <f>VLOOKUP(($B157*10)+8,Results,$G$3,FALSE)</f>
        <v>Tam</v>
      </c>
      <c r="V157" s="497" t="str">
        <f>VLOOKUP(($B157*10)+8,Results,$H$3,FALSE)</f>
        <v>6.00.6</v>
      </c>
      <c r="W157" s="600">
        <f>VLOOKUP(($B157*10)+1,Results,$I$3,FALSE)</f>
        <v>5</v>
      </c>
      <c r="X157" s="499">
        <f>VLOOKUP(($B157*10)+2,Results,$I$3,FALSE)</f>
        <v>6</v>
      </c>
      <c r="Y157" s="499">
        <f>VLOOKUP(($B157*10)+3,Results,$I$3,FALSE)</f>
        <v>4</v>
      </c>
      <c r="Z157" s="499">
        <f>VLOOKUP(($B157*10)+4,Results,$I$3,FALSE)</f>
        <v>8</v>
      </c>
      <c r="AA157" s="499">
        <f>VLOOKUP(($B157*10)+5,Results,$I$3,FALSE)</f>
        <v>3</v>
      </c>
      <c r="AB157" s="499">
        <f>VLOOKUP(($B157*10)+6,Results,$I$3,FALSE)</f>
        <v>7</v>
      </c>
      <c r="AC157" s="499">
        <f>VLOOKUP(($B157*10)+7,Results,$I$3,FALSE)</f>
        <v>1</v>
      </c>
      <c r="AD157" s="499">
        <f>VLOOKUP(($B157*10)+8,Results,$I$3,FALSE)</f>
        <v>2</v>
      </c>
    </row>
    <row r="158" spans="1:30" x14ac:dyDescent="0.3">
      <c r="A158" s="118" t="str">
        <f>B157&amp;"B"</f>
        <v>2B</v>
      </c>
      <c r="B158" s="506"/>
      <c r="C158" s="572"/>
      <c r="D158" s="479" t="str">
        <f>VLOOKUP(B157,EventsOrder,3,FALSE)</f>
        <v>1500m</v>
      </c>
      <c r="E158" s="515" t="s">
        <v>94</v>
      </c>
      <c r="F158" s="529"/>
      <c r="G158" s="547" t="str">
        <f>VLOOKUP(($B157*10)+1,Results,$F$4,FALSE)</f>
        <v>Mollie Diplock</v>
      </c>
      <c r="H158" s="517"/>
      <c r="I158" s="548" t="str">
        <f>VLOOKUP(($B157*10)+2,Results,$F$4,FALSE)</f>
        <v>Emilia Dudley</v>
      </c>
      <c r="J158" s="517"/>
      <c r="K158" s="548" t="str">
        <f>VLOOKUP(($B157*10)+3,Results,$F$4,FALSE)</f>
        <v>Isabelle McCann</v>
      </c>
      <c r="L158" s="517"/>
      <c r="M158" s="548" t="str">
        <f>VLOOKUP(($B157*10)+4,Results,$F$4,FALSE)</f>
        <v>Poppy West</v>
      </c>
      <c r="N158" s="517"/>
      <c r="O158" s="548" t="str">
        <f>VLOOKUP(($B157*10)+5,Results,$F$4,FALSE)</f>
        <v>Marlei Bignot</v>
      </c>
      <c r="P158" s="517"/>
      <c r="Q158" s="548" t="str">
        <f>VLOOKUP(($B157*10)+6,Results,$F$4,FALSE)</f>
        <v>Rosie Groves</v>
      </c>
      <c r="R158" s="549"/>
      <c r="S158" s="575" t="str">
        <f>VLOOKUP(($B157*10)+7,Results,$F$4,FALSE)</f>
        <v xml:space="preserve">
Maliyka lewis</v>
      </c>
      <c r="T158" s="517"/>
      <c r="U158" s="548" t="str">
        <f>VLOOKUP(($B157*10)+8,Results,$F$4,FALSE)</f>
        <v/>
      </c>
      <c r="V158" s="519"/>
      <c r="W158" s="599"/>
      <c r="X158" s="488"/>
      <c r="Y158" s="488"/>
      <c r="Z158" s="488"/>
      <c r="AA158" s="488"/>
      <c r="AB158" s="488"/>
      <c r="AC158" s="488"/>
      <c r="AD158" s="488"/>
    </row>
    <row r="159" spans="1:30" ht="15" thickBot="1" x14ac:dyDescent="0.35">
      <c r="A159" s="118" t="str">
        <f>B157&amp;"B"</f>
        <v>2B</v>
      </c>
      <c r="B159" s="506"/>
      <c r="C159" s="576"/>
      <c r="D159" s="502"/>
      <c r="E159" s="523"/>
      <c r="F159" s="503"/>
      <c r="G159" s="554" t="str">
        <f>VLOOKUP(($B157*10)+1,Results,$G$4,FALSE)</f>
        <v>Rugby</v>
      </c>
      <c r="H159" s="577" t="str">
        <f>VLOOKUP(($B157*10)+1,Results,$H$4,FALSE)</f>
        <v>5.14.5</v>
      </c>
      <c r="I159" s="556" t="str">
        <f>VLOOKUP(($B157*10)+2,Results,$G$4,FALSE)</f>
        <v>Royal</v>
      </c>
      <c r="J159" s="577" t="str">
        <f>VLOOKUP(($B157*10)+2,Results,$H$4,FALSE)</f>
        <v>5.26.6</v>
      </c>
      <c r="K159" s="556" t="str">
        <f>VLOOKUP(($B157*10)+3,Results,$G$4,FALSE)</f>
        <v>K&amp;S</v>
      </c>
      <c r="L159" s="577" t="str">
        <f>VLOOKUP(($B157*10)+3,Results,$H$4,FALSE)</f>
        <v>5.29.6</v>
      </c>
      <c r="M159" s="556" t="str">
        <f>VLOOKUP(($B157*10)+4,Results,$G$4,FALSE)</f>
        <v>Strat</v>
      </c>
      <c r="N159" s="577" t="str">
        <f>VLOOKUP(($B157*10)+4,Results,$H$4,FALSE)</f>
        <v>5.35.6</v>
      </c>
      <c r="O159" s="556" t="str">
        <f>VLOOKUP(($B157*10)+5,Results,$G$4,FALSE)</f>
        <v>Tam</v>
      </c>
      <c r="P159" s="577" t="str">
        <f>VLOOKUP(($B157*10)+5,Results,$H$4,FALSE)</f>
        <v>5.54.9</v>
      </c>
      <c r="Q159" s="556" t="str">
        <f>VLOOKUP(($B157*10)+6,Results,$G$4,FALSE)</f>
        <v>Worc</v>
      </c>
      <c r="R159" s="577" t="str">
        <f>VLOOKUP(($B157*10)+6,Results,$H$4,FALSE)</f>
        <v>5.57.0</v>
      </c>
      <c r="S159" s="556" t="str">
        <f>VLOOKUP(($B157*10)+7,Results,$G$4,FALSE)</f>
        <v>BRAT</v>
      </c>
      <c r="T159" s="577" t="str">
        <f>VLOOKUP(($B157*10)+7,Results,$H$4,FALSE)</f>
        <v>6.20.6</v>
      </c>
      <c r="U159" s="556">
        <f>VLOOKUP(($B157*10)+8,Results,$G$4,FALSE)</f>
        <v>0</v>
      </c>
      <c r="V159" s="578">
        <f>VLOOKUP(($B157*10)+8,Results,$H$4,FALSE)</f>
        <v>0</v>
      </c>
      <c r="W159" s="600">
        <f>VLOOKUP(($B157*10)+1,Results,$I$4,FALSE)</f>
        <v>2</v>
      </c>
      <c r="X159" s="499">
        <f>VLOOKUP(($B157*10)+2,Results,$I$4,FALSE)</f>
        <v>6</v>
      </c>
      <c r="Y159" s="499">
        <f>VLOOKUP(($B157*10)+3,Results,$I$4,FALSE)</f>
        <v>7</v>
      </c>
      <c r="Z159" s="499">
        <f>VLOOKUP(($B157*10)+4,Results,$I$4,FALSE)</f>
        <v>8</v>
      </c>
      <c r="AA159" s="499">
        <f>VLOOKUP(($B157*10)+5,Results,$I$4,FALSE)</f>
        <v>0</v>
      </c>
      <c r="AB159" s="499">
        <f>VLOOKUP(($B157*10)+6,Results,$I$4,FALSE)</f>
        <v>5</v>
      </c>
      <c r="AC159" s="499">
        <f>VLOOKUP(($B157*10)+7,Results,$I$4,FALSE)</f>
        <v>4</v>
      </c>
      <c r="AD159" s="499">
        <f>VLOOKUP(($B157*10)+8,Results,$I$4,FALSE)</f>
        <v>3</v>
      </c>
    </row>
    <row r="160" spans="1:30" x14ac:dyDescent="0.3">
      <c r="A160" s="118" t="str">
        <f>B161&amp;"A"</f>
        <v>8A</v>
      </c>
      <c r="B160" s="506"/>
      <c r="C160" s="571"/>
      <c r="D160" s="479" t="str">
        <f>VLOOKUP(B161,EventsOrder,4,FALSE)</f>
        <v>U14 Female</v>
      </c>
      <c r="E160" s="515" t="s">
        <v>149</v>
      </c>
      <c r="F160" s="480"/>
      <c r="G160" s="481" t="str">
        <f>VLOOKUP(($B161*10)+1,Results,$F$3,FALSE)</f>
        <v>Taya Young</v>
      </c>
      <c r="H160" s="482"/>
      <c r="I160" s="483" t="str">
        <f>VLOOKUP(($B161*10)+2,Results,$F$3,FALSE)</f>
        <v>Darcy mcdaid</v>
      </c>
      <c r="J160" s="482"/>
      <c r="K160" s="483" t="str">
        <f>VLOOKUP(($B161*10)+3,Results,$F$3,FALSE)</f>
        <v>Isla Porter</v>
      </c>
      <c r="L160" s="482"/>
      <c r="M160" s="483" t="str">
        <f>VLOOKUP(($B161*10)+4,Results,$F$3,FALSE)</f>
        <v>Matilda Kiernan</v>
      </c>
      <c r="N160" s="482"/>
      <c r="O160" s="483" t="str">
        <f>VLOOKUP(($B161*10)+5,Results,$F$3,FALSE)</f>
        <v>Mabel Edgerton</v>
      </c>
      <c r="P160" s="482"/>
      <c r="Q160" s="483" t="str">
        <f>VLOOKUP(($B161*10)+6,Results,$F$3,FALSE)</f>
        <v>Sara Clewer</v>
      </c>
      <c r="R160" s="484"/>
      <c r="S160" s="485" t="str">
        <f>VLOOKUP(($B161*10)+7,Results,$F$3,FALSE)</f>
        <v>Alice Smith</v>
      </c>
      <c r="T160" s="482"/>
      <c r="U160" s="483" t="str">
        <f>VLOOKUP(($B161*10)+8,Results,$F$3,FALSE)</f>
        <v/>
      </c>
      <c r="V160" s="486"/>
      <c r="W160" s="599"/>
      <c r="X160" s="488"/>
      <c r="Y160" s="488"/>
      <c r="Z160" s="488"/>
      <c r="AA160" s="488"/>
      <c r="AB160" s="488"/>
      <c r="AC160" s="488"/>
      <c r="AD160" s="488"/>
    </row>
    <row r="161" spans="1:30" x14ac:dyDescent="0.3">
      <c r="A161" s="118" t="str">
        <f>B161&amp;"A"</f>
        <v>8A</v>
      </c>
      <c r="B161" s="24">
        <v>8</v>
      </c>
      <c r="C161" s="572">
        <f>VLOOKUP(B161,EventsOrder,2,FALSE)</f>
        <v>11.3</v>
      </c>
      <c r="D161" s="490"/>
      <c r="E161" s="11"/>
      <c r="F161" s="492"/>
      <c r="G161" s="493" t="str">
        <f>VLOOKUP(($B161*10)+1,Results,$G$3,FALSE)</f>
        <v>Rugby</v>
      </c>
      <c r="H161" s="505">
        <f>VLOOKUP(($B161*10)+1,Results,$H$3,FALSE)</f>
        <v>12.4</v>
      </c>
      <c r="I161" s="495" t="str">
        <f>VLOOKUP(($B161*10)+2,Results,$G$3,FALSE)</f>
        <v>BRAT</v>
      </c>
      <c r="J161" s="505">
        <f>VLOOKUP(($B161*10)+2,Results,$H$3,FALSE)</f>
        <v>13.2</v>
      </c>
      <c r="K161" s="495" t="str">
        <f>VLOOKUP(($B161*10)+3,Results,$G$3,FALSE)</f>
        <v>Worc</v>
      </c>
      <c r="L161" s="505">
        <f>VLOOKUP(($B161*10)+3,Results,$H$3,FALSE)</f>
        <v>14.6</v>
      </c>
      <c r="M161" s="495" t="str">
        <f>VLOOKUP(($B161*10)+4,Results,$G$3,FALSE)</f>
        <v>K&amp;S</v>
      </c>
      <c r="N161" s="505">
        <f>VLOOKUP(($B161*10)+4,Results,$H$3,FALSE)</f>
        <v>15.3</v>
      </c>
      <c r="O161" s="495" t="str">
        <f>VLOOKUP(($B161*10)+5,Results,$G$3,FALSE)</f>
        <v>Royal</v>
      </c>
      <c r="P161" s="505">
        <f>VLOOKUP(($B161*10)+5,Results,$H$3,FALSE)</f>
        <v>15.4</v>
      </c>
      <c r="Q161" s="495" t="str">
        <f>VLOOKUP(($B161*10)+6,Results,$G$3,FALSE)</f>
        <v>Strat</v>
      </c>
      <c r="R161" s="505">
        <f>VLOOKUP(($B161*10)+6,Results,$H$3,FALSE)</f>
        <v>15.5</v>
      </c>
      <c r="S161" s="496" t="str">
        <f>VLOOKUP(($B161*10)+7,Results,$G$3,FALSE)</f>
        <v>Tam</v>
      </c>
      <c r="T161" s="505">
        <f>VLOOKUP(($B161*10)+7,Results,$H$3,FALSE)</f>
        <v>15.6</v>
      </c>
      <c r="U161" s="495">
        <f>VLOOKUP(($B161*10)+8,Results,$G$3,FALSE)</f>
        <v>0</v>
      </c>
      <c r="V161" s="601">
        <f>VLOOKUP(($B161*10)+8,Results,$H$3,FALSE)</f>
        <v>0</v>
      </c>
      <c r="W161" s="600">
        <f>VLOOKUP(($B161*10)+1,Results,$I$3,FALSE)</f>
        <v>7</v>
      </c>
      <c r="X161" s="499">
        <f>VLOOKUP(($B161*10)+2,Results,$I$3,FALSE)</f>
        <v>5</v>
      </c>
      <c r="Y161" s="499">
        <f>VLOOKUP(($B161*10)+3,Results,$I$3,FALSE)</f>
        <v>4</v>
      </c>
      <c r="Z161" s="499">
        <f>VLOOKUP(($B161*10)+4,Results,$I$3,FALSE)</f>
        <v>8</v>
      </c>
      <c r="AA161" s="499">
        <f>VLOOKUP(($B161*10)+5,Results,$I$3,FALSE)</f>
        <v>0</v>
      </c>
      <c r="AB161" s="499">
        <f>VLOOKUP(($B161*10)+6,Results,$I$3,FALSE)</f>
        <v>3</v>
      </c>
      <c r="AC161" s="499">
        <f>VLOOKUP(($B161*10)+7,Results,$I$3,FALSE)</f>
        <v>2</v>
      </c>
      <c r="AD161" s="499">
        <f>VLOOKUP(($B161*10)+8,Results,$I$3,FALSE)</f>
        <v>6</v>
      </c>
    </row>
    <row r="162" spans="1:30" x14ac:dyDescent="0.3">
      <c r="A162" s="118" t="str">
        <f>B161&amp;"B"</f>
        <v>8B</v>
      </c>
      <c r="B162" s="506"/>
      <c r="C162" s="572"/>
      <c r="D162" s="479" t="str">
        <f>VLOOKUP(B161,EventsOrder,3,FALSE)</f>
        <v>75m hurdles</v>
      </c>
      <c r="E162" s="515" t="s">
        <v>94</v>
      </c>
      <c r="F162" s="529"/>
      <c r="G162" s="547" t="str">
        <f>VLOOKUP(($B161*10)+1,Results,$F$4,FALSE)</f>
        <v>Agnes thomson</v>
      </c>
      <c r="H162" s="517"/>
      <c r="I162" s="548" t="str">
        <f>VLOOKUP(($B161*10)+2,Results,$F$4,FALSE)</f>
        <v>Lara Ryan-Gill</v>
      </c>
      <c r="J162" s="517"/>
      <c r="K162" s="548" t="str">
        <f>VLOOKUP(($B161*10)+3,Results,$F$4,FALSE)</f>
        <v>Esme Dyer</v>
      </c>
      <c r="L162" s="517"/>
      <c r="M162" s="548" t="str">
        <f>VLOOKUP(($B161*10)+4,Results,$F$4,FALSE)</f>
        <v>Jessica Husselbee</v>
      </c>
      <c r="N162" s="517"/>
      <c r="O162" s="548" t="str">
        <f>VLOOKUP(($B161*10)+5,Results,$F$4,FALSE)</f>
        <v>Betsy Houltby</v>
      </c>
      <c r="P162" s="517"/>
      <c r="Q162" s="548" t="str">
        <f>VLOOKUP(($B161*10)+6,Results,$F$4,FALSE)</f>
        <v>Isabelle McCann</v>
      </c>
      <c r="R162" s="549"/>
      <c r="S162" s="575" t="str">
        <f>VLOOKUP(($B161*10)+7,Results,$F$4,FALSE)</f>
        <v/>
      </c>
      <c r="T162" s="517"/>
      <c r="U162" s="548" t="str">
        <f>VLOOKUP(($B161*10)+8,Results,$F$4,FALSE)</f>
        <v/>
      </c>
      <c r="V162" s="519"/>
      <c r="W162" s="599"/>
      <c r="X162" s="488"/>
      <c r="Y162" s="488"/>
      <c r="Z162" s="488"/>
      <c r="AA162" s="488"/>
      <c r="AB162" s="488"/>
      <c r="AC162" s="488"/>
      <c r="AD162" s="488"/>
    </row>
    <row r="163" spans="1:30" ht="15" thickBot="1" x14ac:dyDescent="0.35">
      <c r="A163" s="118" t="str">
        <f>B161&amp;"B"</f>
        <v>8B</v>
      </c>
      <c r="B163" s="506"/>
      <c r="C163" s="576"/>
      <c r="D163" s="502"/>
      <c r="E163" s="523"/>
      <c r="F163" s="503"/>
      <c r="G163" s="554" t="str">
        <f>VLOOKUP(($B161*10)+1,Results,$G$4,FALSE)</f>
        <v>BRAT</v>
      </c>
      <c r="H163" s="505">
        <f>VLOOKUP(($B161*10)+1,Results,$H$4,FALSE)</f>
        <v>12.9</v>
      </c>
      <c r="I163" s="556" t="str">
        <f>VLOOKUP(($B161*10)+2,Results,$G$4,FALSE)</f>
        <v>Strat</v>
      </c>
      <c r="J163" s="505">
        <f>VLOOKUP(($B161*10)+2,Results,$H$4,FALSE)</f>
        <v>14.4</v>
      </c>
      <c r="K163" s="556" t="str">
        <f>VLOOKUP(($B161*10)+3,Results,$G$4,FALSE)</f>
        <v>Worc</v>
      </c>
      <c r="L163" s="505">
        <f>VLOOKUP(($B161*10)+3,Results,$H$4,FALSE)</f>
        <v>15.7</v>
      </c>
      <c r="M163" s="556" t="str">
        <f>VLOOKUP(($B161*10)+4,Results,$G$4,FALSE)</f>
        <v>Tam</v>
      </c>
      <c r="N163" s="505">
        <f>VLOOKUP(($B161*10)+4,Results,$H$4,FALSE)</f>
        <v>16.5</v>
      </c>
      <c r="O163" s="556" t="str">
        <f>VLOOKUP(($B161*10)+5,Results,$G$4,FALSE)</f>
        <v>Rugby</v>
      </c>
      <c r="P163" s="505">
        <f>VLOOKUP(($B161*10)+5,Results,$H$4,FALSE)</f>
        <v>17.7</v>
      </c>
      <c r="Q163" s="556" t="str">
        <f>VLOOKUP(($B161*10)+6,Results,$G$4,FALSE)</f>
        <v>K&amp;S</v>
      </c>
      <c r="R163" s="505">
        <f>VLOOKUP(($B161*10)+6,Results,$H$4,FALSE)</f>
        <v>18.600000000000001</v>
      </c>
      <c r="S163" s="556">
        <f>VLOOKUP(($B161*10)+7,Results,$G$4,FALSE)</f>
        <v>0</v>
      </c>
      <c r="T163" s="505">
        <f>VLOOKUP(($B161*10)+7,Results,$H$4,FALSE)</f>
        <v>0</v>
      </c>
      <c r="U163" s="556">
        <f>VLOOKUP(($B161*10)+8,Results,$G$4,FALSE)</f>
        <v>0</v>
      </c>
      <c r="V163" s="601">
        <f>VLOOKUP(($B161*10)+8,Results,$H$4,FALSE)</f>
        <v>0</v>
      </c>
      <c r="W163" s="600">
        <f>VLOOKUP(($B161*10)+1,Results,$I$4,FALSE)</f>
        <v>8</v>
      </c>
      <c r="X163" s="499">
        <f>VLOOKUP(($B161*10)+2,Results,$I$4,FALSE)</f>
        <v>3</v>
      </c>
      <c r="Y163" s="499">
        <f>VLOOKUP(($B161*10)+3,Results,$I$4,FALSE)</f>
        <v>0</v>
      </c>
      <c r="Z163" s="499">
        <f>VLOOKUP(($B161*10)+4,Results,$I$4,FALSE)</f>
        <v>4</v>
      </c>
      <c r="AA163" s="499">
        <f>VLOOKUP(($B161*10)+5,Results,$I$4,FALSE)</f>
        <v>0</v>
      </c>
      <c r="AB163" s="499">
        <f>VLOOKUP(($B161*10)+6,Results,$I$4,FALSE)</f>
        <v>7</v>
      </c>
      <c r="AC163" s="499">
        <f>VLOOKUP(($B161*10)+7,Results,$I$4,FALSE)</f>
        <v>5</v>
      </c>
      <c r="AD163" s="499">
        <f>VLOOKUP(($B161*10)+8,Results,$I$4,FALSE)</f>
        <v>6</v>
      </c>
    </row>
    <row r="164" spans="1:30" x14ac:dyDescent="0.3">
      <c r="A164" s="118" t="str">
        <f>B165&amp;"A"</f>
        <v>25A</v>
      </c>
      <c r="B164" s="506"/>
      <c r="C164" s="571"/>
      <c r="D164" s="479" t="str">
        <f>VLOOKUP(B165,EventsOrder,4,FALSE)</f>
        <v>U14 Female</v>
      </c>
      <c r="E164" s="515" t="s">
        <v>149</v>
      </c>
      <c r="F164" s="480"/>
      <c r="G164" s="481" t="str">
        <f>VLOOKUP(($B165*10)+1,Results,$F$3,FALSE)</f>
        <v>Violet French</v>
      </c>
      <c r="H164" s="482"/>
      <c r="I164" s="483" t="str">
        <f>VLOOKUP(($B165*10)+2,Results,$F$3,FALSE)</f>
        <v>Sophia Wood</v>
      </c>
      <c r="J164" s="482"/>
      <c r="K164" s="483" t="str">
        <f>VLOOKUP(($B165*10)+3,Results,$F$3,FALSE)</f>
        <v>Amelie Davis-Beard</v>
      </c>
      <c r="L164" s="482"/>
      <c r="M164" s="483" t="str">
        <f>VLOOKUP(($B165*10)+4,Results,$F$3,FALSE)</f>
        <v>Charlotte Brian</v>
      </c>
      <c r="N164" s="482"/>
      <c r="O164" s="483" t="str">
        <f>VLOOKUP(($B165*10)+5,Results,$F$3,FALSE)</f>
        <v xml:space="preserve">
Eliana Dawit</v>
      </c>
      <c r="P164" s="482"/>
      <c r="Q164" s="483" t="str">
        <f>VLOOKUP(($B165*10)+6,Results,$F$3,FALSE)</f>
        <v>Elsie Pipitone</v>
      </c>
      <c r="R164" s="484"/>
      <c r="S164" s="485" t="str">
        <f>VLOOKUP(($B165*10)+7,Results,$F$3,FALSE)</f>
        <v>Scarlett Edgar</v>
      </c>
      <c r="T164" s="482"/>
      <c r="U164" s="483" t="str">
        <f>VLOOKUP(($B165*10)+8,Results,$F$3,FALSE)</f>
        <v>Edie Worth</v>
      </c>
      <c r="V164" s="486"/>
      <c r="W164" s="599"/>
      <c r="X164" s="488"/>
      <c r="Y164" s="488"/>
      <c r="Z164" s="488"/>
      <c r="AA164" s="488"/>
      <c r="AB164" s="488"/>
      <c r="AC164" s="488"/>
      <c r="AD164" s="488"/>
    </row>
    <row r="165" spans="1:30" x14ac:dyDescent="0.3">
      <c r="A165" s="118" t="str">
        <f>B165&amp;"A"</f>
        <v>25A</v>
      </c>
      <c r="B165" s="24">
        <v>25</v>
      </c>
      <c r="C165" s="572">
        <f>VLOOKUP(B165,EventsOrder,2,FALSE)</f>
        <v>12.4</v>
      </c>
      <c r="D165" s="490"/>
      <c r="E165" s="11"/>
      <c r="F165" s="492"/>
      <c r="G165" s="493" t="str">
        <f>VLOOKUP(($B165*10)+1,Results,$G$3,FALSE)</f>
        <v>Rugby</v>
      </c>
      <c r="H165" s="494" t="str">
        <f>VLOOKUP(($B165*10)+1,Results,$H$3,FALSE)</f>
        <v>2.27.8</v>
      </c>
      <c r="I165" s="495" t="str">
        <f>VLOOKUP(($B165*10)+2,Results,$G$3,FALSE)</f>
        <v>Sol</v>
      </c>
      <c r="J165" s="494" t="str">
        <f>VLOOKUP(($B165*10)+2,Results,$H$3,FALSE)</f>
        <v>2.29.4</v>
      </c>
      <c r="K165" s="495" t="str">
        <f>VLOOKUP(($B165*10)+3,Results,$G$3,FALSE)</f>
        <v>K&amp;S</v>
      </c>
      <c r="L165" s="494" t="str">
        <f>VLOOKUP(($B165*10)+3,Results,$H$3,FALSE)</f>
        <v>2.29.9</v>
      </c>
      <c r="M165" s="495" t="str">
        <f>VLOOKUP(($B165*10)+4,Results,$G$3,FALSE)</f>
        <v>Tam</v>
      </c>
      <c r="N165" s="494" t="str">
        <f>VLOOKUP(($B165*10)+4,Results,$H$3,FALSE)</f>
        <v>2.31.1</v>
      </c>
      <c r="O165" s="495" t="str">
        <f>VLOOKUP(($B165*10)+5,Results,$G$3,FALSE)</f>
        <v>BRAT</v>
      </c>
      <c r="P165" s="494" t="str">
        <f>VLOOKUP(($B165*10)+5,Results,$H$3,FALSE)</f>
        <v>2.33.4</v>
      </c>
      <c r="Q165" s="495" t="str">
        <f>VLOOKUP(($B165*10)+6,Results,$G$3,FALSE)</f>
        <v>Strat</v>
      </c>
      <c r="R165" s="495" t="str">
        <f>VLOOKUP(($B165*10)+6,Results,$H$3,FALSE)</f>
        <v>2.40.4</v>
      </c>
      <c r="S165" s="496" t="str">
        <f>VLOOKUP(($B165*10)+7,Results,$G$3,FALSE)</f>
        <v>Royal</v>
      </c>
      <c r="T165" s="494" t="str">
        <f>VLOOKUP(($B165*10)+7,Results,$H$3,FALSE)</f>
        <v>2.40.5</v>
      </c>
      <c r="U165" s="495" t="str">
        <f>VLOOKUP(($B165*10)+8,Results,$G$3,FALSE)</f>
        <v>Worc</v>
      </c>
      <c r="V165" s="497" t="str">
        <f>VLOOKUP(($B165*10)+8,Results,$H$3,FALSE)</f>
        <v>2.43.0</v>
      </c>
      <c r="W165" s="600">
        <f>VLOOKUP(($B165*10)+1,Results,$I$3,FALSE)</f>
        <v>4</v>
      </c>
      <c r="X165" s="499">
        <f>VLOOKUP(($B165*10)+2,Results,$I$3,FALSE)</f>
        <v>6</v>
      </c>
      <c r="Y165" s="499">
        <f>VLOOKUP(($B165*10)+3,Results,$I$3,FALSE)</f>
        <v>2</v>
      </c>
      <c r="Z165" s="499">
        <f>VLOOKUP(($B165*10)+4,Results,$I$3,FALSE)</f>
        <v>8</v>
      </c>
      <c r="AA165" s="499">
        <f>VLOOKUP(($B165*10)+5,Results,$I$3,FALSE)</f>
        <v>7</v>
      </c>
      <c r="AB165" s="499">
        <f>VLOOKUP(($B165*10)+6,Results,$I$3,FALSE)</f>
        <v>3</v>
      </c>
      <c r="AC165" s="499">
        <f>VLOOKUP(($B165*10)+7,Results,$I$3,FALSE)</f>
        <v>5</v>
      </c>
      <c r="AD165" s="499">
        <f>VLOOKUP(($B165*10)+8,Results,$I$3,FALSE)</f>
        <v>1</v>
      </c>
    </row>
    <row r="166" spans="1:30" x14ac:dyDescent="0.3">
      <c r="A166" s="118" t="str">
        <f>B165&amp;"B"</f>
        <v>25B</v>
      </c>
      <c r="B166" s="506"/>
      <c r="C166" s="572"/>
      <c r="D166" s="479" t="str">
        <f>VLOOKUP(B165,EventsOrder,3,FALSE)</f>
        <v>800m</v>
      </c>
      <c r="E166" s="515" t="s">
        <v>94</v>
      </c>
      <c r="F166" s="529"/>
      <c r="G166" s="547" t="str">
        <f>VLOOKUP(($B165*10)+1,Results,$F$4,FALSE)</f>
        <v>Emily Ross</v>
      </c>
      <c r="H166" s="517"/>
      <c r="I166" s="548" t="str">
        <f>VLOOKUP(($B165*10)+2,Results,$F$4,FALSE)</f>
        <v>Millie Lowden</v>
      </c>
      <c r="J166" s="517"/>
      <c r="K166" s="548" t="str">
        <f>VLOOKUP(($B165*10)+3,Results,$F$4,FALSE)</f>
        <v>Jessica Husselbee</v>
      </c>
      <c r="L166" s="517"/>
      <c r="M166" s="548" t="str">
        <f>VLOOKUP(($B165*10)+4,Results,$F$4,FALSE)</f>
        <v>Caitlin Hobday</v>
      </c>
      <c r="N166" s="517"/>
      <c r="O166" s="548" t="str">
        <f>VLOOKUP(($B165*10)+5,Results,$F$4,FALSE)</f>
        <v>Imogen McCann</v>
      </c>
      <c r="P166" s="517"/>
      <c r="Q166" s="548" t="str">
        <f>VLOOKUP(($B165*10)+6,Results,$F$4,FALSE)</f>
        <v>Caitlin Bosworth</v>
      </c>
      <c r="R166" s="549"/>
      <c r="S166" s="575" t="str">
        <f>VLOOKUP(($B165*10)+7,Results,$F$4,FALSE)</f>
        <v>Joanna O'Connor Delgado</v>
      </c>
      <c r="T166" s="517"/>
      <c r="U166" s="548" t="str">
        <f>VLOOKUP(($B165*10)+8,Results,$F$4,FALSE)</f>
        <v>Anastasia Constantinou</v>
      </c>
      <c r="V166" s="519"/>
      <c r="W166" s="599"/>
      <c r="X166" s="488"/>
      <c r="Y166" s="488"/>
      <c r="Z166" s="488"/>
      <c r="AA166" s="488"/>
      <c r="AB166" s="488"/>
      <c r="AC166" s="488"/>
      <c r="AD166" s="488"/>
    </row>
    <row r="167" spans="1:30" ht="15" thickBot="1" x14ac:dyDescent="0.35">
      <c r="A167" s="118" t="str">
        <f>B165&amp;"B"</f>
        <v>25B</v>
      </c>
      <c r="B167" s="506"/>
      <c r="C167" s="576"/>
      <c r="D167" s="502"/>
      <c r="E167" s="523"/>
      <c r="F167" s="503"/>
      <c r="G167" s="554" t="str">
        <f>VLOOKUP(($B165*10)+1,Results,$G$4,FALSE)</f>
        <v>Sol</v>
      </c>
      <c r="H167" s="577" t="str">
        <f>VLOOKUP(($B165*10)+1,Results,$H$4,FALSE)</f>
        <v>2.34.0</v>
      </c>
      <c r="I167" s="556" t="str">
        <f>VLOOKUP(($B165*10)+2,Results,$G$4,FALSE)</f>
        <v>Strat</v>
      </c>
      <c r="J167" s="577" t="str">
        <f>VLOOKUP(($B165*10)+2,Results,$H$4,FALSE)</f>
        <v>2.35.7</v>
      </c>
      <c r="K167" s="556" t="str">
        <f>VLOOKUP(($B165*10)+3,Results,$G$4,FALSE)</f>
        <v>Tam</v>
      </c>
      <c r="L167" s="577" t="str">
        <f>VLOOKUP(($B165*10)+3,Results,$H$4,FALSE)</f>
        <v>2.46.6</v>
      </c>
      <c r="M167" s="556" t="str">
        <f>VLOOKUP(($B165*10)+4,Results,$G$4,FALSE)</f>
        <v>Royal</v>
      </c>
      <c r="N167" s="577" t="str">
        <f>VLOOKUP(($B165*10)+4,Results,$H$4,FALSE)</f>
        <v>2.47.6</v>
      </c>
      <c r="O167" s="556" t="str">
        <f>VLOOKUP(($B165*10)+5,Results,$G$4,FALSE)</f>
        <v>K&amp;S</v>
      </c>
      <c r="P167" s="577" t="str">
        <f>VLOOKUP(($B165*10)+5,Results,$H$4,FALSE)</f>
        <v>2.49.7</v>
      </c>
      <c r="Q167" s="556" t="str">
        <f>VLOOKUP(($B165*10)+6,Results,$G$4,FALSE)</f>
        <v>Rugby</v>
      </c>
      <c r="R167" s="577" t="str">
        <f>VLOOKUP(($B165*10)+6,Results,$H$4,FALSE)</f>
        <v>3.00.8</v>
      </c>
      <c r="S167" s="556" t="str">
        <f>VLOOKUP(($B165*10)+7,Results,$G$4,FALSE)</f>
        <v>BRAT</v>
      </c>
      <c r="T167" s="577" t="str">
        <f>VLOOKUP(($B165*10)+7,Results,$H$4,FALSE)</f>
        <v>3.02.3</v>
      </c>
      <c r="U167" s="556" t="str">
        <f>VLOOKUP(($B165*10)+8,Results,$G$4,FALSE)</f>
        <v>Worc</v>
      </c>
      <c r="V167" s="578" t="str">
        <f>VLOOKUP(($B165*10)+8,Results,$H$4,FALSE)</f>
        <v>3.05.8</v>
      </c>
      <c r="W167" s="600">
        <f>VLOOKUP(($B165*10)+1,Results,$I$4,FALSE)</f>
        <v>2</v>
      </c>
      <c r="X167" s="499">
        <f>VLOOKUP(($B165*10)+2,Results,$I$4,FALSE)</f>
        <v>4</v>
      </c>
      <c r="Y167" s="499">
        <f>VLOOKUP(($B165*10)+3,Results,$I$4,FALSE)</f>
        <v>5</v>
      </c>
      <c r="Z167" s="499">
        <f>VLOOKUP(($B165*10)+4,Results,$I$4,FALSE)</f>
        <v>3</v>
      </c>
      <c r="AA167" s="499">
        <f>VLOOKUP(($B165*10)+5,Results,$I$4,FALSE)</f>
        <v>8</v>
      </c>
      <c r="AB167" s="499">
        <f>VLOOKUP(($B165*10)+6,Results,$I$4,FALSE)</f>
        <v>7</v>
      </c>
      <c r="AC167" s="499">
        <f>VLOOKUP(($B165*10)+7,Results,$I$4,FALSE)</f>
        <v>6</v>
      </c>
      <c r="AD167" s="499">
        <f>VLOOKUP(($B165*10)+8,Results,$I$4,FALSE)</f>
        <v>1</v>
      </c>
    </row>
    <row r="168" spans="1:30" x14ac:dyDescent="0.3">
      <c r="A168" s="118" t="str">
        <f>B169&amp;"A"</f>
        <v>29A</v>
      </c>
      <c r="B168" s="506"/>
      <c r="C168" s="571"/>
      <c r="D168" s="479" t="str">
        <f>VLOOKUP(B169,EventsOrder,4,FALSE)</f>
        <v>U14 Female</v>
      </c>
      <c r="E168" s="515" t="s">
        <v>149</v>
      </c>
      <c r="F168" s="480"/>
      <c r="G168" s="481" t="str">
        <f>VLOOKUP(($B169*10)+1,Results,$F$3,FALSE)</f>
        <v>Martha Edwards</v>
      </c>
      <c r="H168" s="482"/>
      <c r="I168" s="483" t="str">
        <f>VLOOKUP(($B169*10)+2,Results,$F$3,FALSE)</f>
        <v>Rose Ricardo</v>
      </c>
      <c r="J168" s="482"/>
      <c r="K168" s="483" t="str">
        <f>VLOOKUP(($B169*10)+3,Results,$F$3,FALSE)</f>
        <v>Annabelle Ani</v>
      </c>
      <c r="L168" s="482"/>
      <c r="M168" s="483" t="str">
        <f>VLOOKUP(($B169*10)+4,Results,$F$3,FALSE)</f>
        <v>Lila Warwick</v>
      </c>
      <c r="N168" s="482"/>
      <c r="O168" s="483" t="str">
        <f>VLOOKUP(($B169*10)+5,Results,$F$3,FALSE)</f>
        <v>Chloe Burt</v>
      </c>
      <c r="P168" s="482"/>
      <c r="Q168" s="483" t="str">
        <f>VLOOKUP(($B169*10)+6,Results,$F$3,FALSE)</f>
        <v>Rosie Groves</v>
      </c>
      <c r="R168" s="484"/>
      <c r="S168" s="485" t="str">
        <f>VLOOKUP(($B169*10)+7,Results,$F$3,FALSE)</f>
        <v>Megan McKeown</v>
      </c>
      <c r="T168" s="482"/>
      <c r="U168" s="483" t="str">
        <f>VLOOKUP(($B169*10)+8,Results,$F$3,FALSE)</f>
        <v>Evie Smith</v>
      </c>
      <c r="V168" s="486"/>
      <c r="W168" s="599"/>
      <c r="X168" s="488"/>
      <c r="Y168" s="488"/>
      <c r="Z168" s="488"/>
      <c r="AA168" s="488"/>
      <c r="AB168" s="488"/>
      <c r="AC168" s="488"/>
      <c r="AD168" s="488"/>
    </row>
    <row r="169" spans="1:30" x14ac:dyDescent="0.3">
      <c r="A169" s="118" t="str">
        <f>B169&amp;"A"</f>
        <v>29A</v>
      </c>
      <c r="B169" s="24">
        <v>29</v>
      </c>
      <c r="C169" s="572">
        <f>VLOOKUP(B169,EventsOrder,2,FALSE)</f>
        <v>1.3</v>
      </c>
      <c r="D169" s="490"/>
      <c r="E169" s="11"/>
      <c r="F169" s="492"/>
      <c r="G169" s="493" t="str">
        <f>VLOOKUP(($B169*10)+1,Results,$G$3,FALSE)</f>
        <v>Strat</v>
      </c>
      <c r="H169" s="573">
        <f>VLOOKUP(($B169*10)+1,Results,$H$3,FALSE)</f>
        <v>1.47</v>
      </c>
      <c r="I169" s="495" t="str">
        <f>VLOOKUP(($B169*10)+2,Results,$G$3,FALSE)</f>
        <v>BRAT</v>
      </c>
      <c r="J169" s="573">
        <f>VLOOKUP(($B169*10)+2,Results,$H$3,FALSE)</f>
        <v>1.44</v>
      </c>
      <c r="K169" s="495" t="str">
        <f>VLOOKUP(($B169*10)+3,Results,$G$3,FALSE)</f>
        <v>Royal</v>
      </c>
      <c r="L169" s="573">
        <f>VLOOKUP(($B169*10)+3,Results,$H$3,FALSE)</f>
        <v>1.3</v>
      </c>
      <c r="M169" s="495" t="str">
        <f>VLOOKUP(($B169*10)+4,Results,$G$3,FALSE)</f>
        <v>K&amp;S</v>
      </c>
      <c r="N169" s="573">
        <f>VLOOKUP(($B169*10)+4,Results,$H$3,FALSE)</f>
        <v>1.3</v>
      </c>
      <c r="O169" s="495" t="str">
        <f>VLOOKUP(($B169*10)+5,Results,$G$3,FALSE)</f>
        <v>Sol</v>
      </c>
      <c r="P169" s="573">
        <f>VLOOKUP(($B169*10)+5,Results,$H$3,FALSE)</f>
        <v>1.3</v>
      </c>
      <c r="Q169" s="495" t="str">
        <f>VLOOKUP(($B169*10)+6,Results,$G$3,FALSE)</f>
        <v>Worc</v>
      </c>
      <c r="R169" s="574">
        <f>VLOOKUP(($B169*10)+6,Results,$H$3,FALSE)</f>
        <v>1.3</v>
      </c>
      <c r="S169" s="496" t="str">
        <f>VLOOKUP(($B169*10)+7,Results,$G$3,FALSE)</f>
        <v>Rugby</v>
      </c>
      <c r="T169" s="573">
        <f>VLOOKUP(($B169*10)+7,Results,$H$3,FALSE)</f>
        <v>1.2</v>
      </c>
      <c r="U169" s="495" t="str">
        <f>VLOOKUP(($B169*10)+8,Results,$G$3,FALSE)</f>
        <v>Tam</v>
      </c>
      <c r="V169" s="528">
        <f>VLOOKUP(($B169*10)+8,Results,$H$3,FALSE)</f>
        <v>1.1499999999999999</v>
      </c>
      <c r="W169" s="600">
        <f>VLOOKUP(($B169*10)+1,Results,$I$3,FALSE)</f>
        <v>7</v>
      </c>
      <c r="X169" s="499">
        <f>VLOOKUP(($B169*10)+2,Results,$I$3,FALSE)</f>
        <v>5.5</v>
      </c>
      <c r="Y169" s="499">
        <f>VLOOKUP(($B169*10)+3,Results,$I$3,FALSE)</f>
        <v>5.5</v>
      </c>
      <c r="Z169" s="499">
        <f>VLOOKUP(($B169*10)+4,Results,$I$3,FALSE)</f>
        <v>2</v>
      </c>
      <c r="AA169" s="499">
        <f>VLOOKUP(($B169*10)+5,Results,$I$3,FALSE)</f>
        <v>4</v>
      </c>
      <c r="AB169" s="499">
        <f>VLOOKUP(($B169*10)+6,Results,$I$3,FALSE)</f>
        <v>8</v>
      </c>
      <c r="AC169" s="499">
        <f>VLOOKUP(($B169*10)+7,Results,$I$3,FALSE)</f>
        <v>1</v>
      </c>
      <c r="AD169" s="499">
        <f>VLOOKUP(($B169*10)+8,Results,$I$3,FALSE)</f>
        <v>3</v>
      </c>
    </row>
    <row r="170" spans="1:30" x14ac:dyDescent="0.3">
      <c r="A170" s="118" t="str">
        <f>B169&amp;"B"</f>
        <v>29B</v>
      </c>
      <c r="B170" s="506"/>
      <c r="C170" s="572"/>
      <c r="D170" s="479" t="str">
        <f>VLOOKUP(B169,EventsOrder,3,FALSE)</f>
        <v>High Jump</v>
      </c>
      <c r="E170" s="515" t="s">
        <v>94</v>
      </c>
      <c r="F170" s="529"/>
      <c r="G170" s="547" t="str">
        <f>VLOOKUP(($B169*10)+1,Results,$F$4,FALSE)</f>
        <v>Amelie Davis-Beard</v>
      </c>
      <c r="H170" s="517"/>
      <c r="I170" s="548" t="str">
        <f>VLOOKUP(($B169*10)+2,Results,$F$4,FALSE)</f>
        <v>Mar O'Connor Delgado</v>
      </c>
      <c r="J170" s="517"/>
      <c r="K170" s="548" t="str">
        <f>VLOOKUP(($B169*10)+3,Results,$F$4,FALSE)</f>
        <v>Grace Read</v>
      </c>
      <c r="L170" s="517"/>
      <c r="M170" s="548" t="str">
        <f>VLOOKUP(($B169*10)+4,Results,$F$4,FALSE)</f>
        <v>Lara Ryan-Gill</v>
      </c>
      <c r="N170" s="517"/>
      <c r="O170" s="548" t="str">
        <f>VLOOKUP(($B169*10)+5,Results,$F$4,FALSE)</f>
        <v>Emily Ross</v>
      </c>
      <c r="P170" s="517"/>
      <c r="Q170" s="548" t="str">
        <f>VLOOKUP(($B169*10)+6,Results,$F$4,FALSE)</f>
        <v>Jessica Husselbee</v>
      </c>
      <c r="R170" s="549"/>
      <c r="S170" s="575" t="str">
        <f>VLOOKUP(($B169*10)+7,Results,$F$4,FALSE)</f>
        <v>Edie Worth</v>
      </c>
      <c r="T170" s="517"/>
      <c r="U170" s="548" t="str">
        <f>VLOOKUP(($B169*10)+8,Results,$F$4,FALSE)</f>
        <v>Abigail Dilworth</v>
      </c>
      <c r="V170" s="519"/>
      <c r="W170" s="599"/>
      <c r="X170" s="488"/>
      <c r="Y170" s="488"/>
      <c r="Z170" s="488"/>
      <c r="AA170" s="488"/>
      <c r="AB170" s="488"/>
      <c r="AC170" s="488"/>
      <c r="AD170" s="488"/>
    </row>
    <row r="171" spans="1:30" ht="15" thickBot="1" x14ac:dyDescent="0.35">
      <c r="A171" s="118" t="str">
        <f>B169&amp;"B"</f>
        <v>29B</v>
      </c>
      <c r="B171" s="506"/>
      <c r="C171" s="576"/>
      <c r="D171" s="502"/>
      <c r="E171" s="523"/>
      <c r="F171" s="503"/>
      <c r="G171" s="554" t="str">
        <f>VLOOKUP(($B169*10)+1,Results,$G$4,FALSE)</f>
        <v>K&amp;S</v>
      </c>
      <c r="H171" s="526">
        <f>VLOOKUP(($B169*10)+1,Results,$H$4,FALSE)</f>
        <v>1.3</v>
      </c>
      <c r="I171" s="556" t="str">
        <f>VLOOKUP(($B169*10)+2,Results,$G$4,FALSE)</f>
        <v>BRAT</v>
      </c>
      <c r="J171" s="526">
        <f>VLOOKUP(($B169*10)+2,Results,$H$4,FALSE)</f>
        <v>1.3</v>
      </c>
      <c r="K171" s="556" t="str">
        <f>VLOOKUP(($B169*10)+3,Results,$G$4,FALSE)</f>
        <v>Rugby</v>
      </c>
      <c r="L171" s="526">
        <f>VLOOKUP(($B169*10)+3,Results,$H$4,FALSE)</f>
        <v>1.2</v>
      </c>
      <c r="M171" s="556" t="str">
        <f>VLOOKUP(($B169*10)+4,Results,$G$4,FALSE)</f>
        <v>Strat</v>
      </c>
      <c r="N171" s="526">
        <f>VLOOKUP(($B169*10)+4,Results,$H$4,FALSE)</f>
        <v>1.2</v>
      </c>
      <c r="O171" s="556" t="str">
        <f>VLOOKUP(($B169*10)+5,Results,$G$4,FALSE)</f>
        <v>Sol</v>
      </c>
      <c r="P171" s="526">
        <f>VLOOKUP(($B169*10)+5,Results,$H$4,FALSE)</f>
        <v>1.1499999999999999</v>
      </c>
      <c r="Q171" s="556" t="str">
        <f>VLOOKUP(($B169*10)+6,Results,$G$4,FALSE)</f>
        <v>Tam</v>
      </c>
      <c r="R171" s="602">
        <f>VLOOKUP(($B169*10)+6,Results,$H$4,FALSE)</f>
        <v>1.1499999999999999</v>
      </c>
      <c r="S171" s="603" t="str">
        <f>VLOOKUP(($B169*10)+7,Results,$G$4,FALSE)</f>
        <v>Worc</v>
      </c>
      <c r="T171" s="526">
        <f>VLOOKUP(($B169*10)+7,Results,$H$4,FALSE)</f>
        <v>1.1499999999999999</v>
      </c>
      <c r="U171" s="556" t="str">
        <f>VLOOKUP(($B169*10)+8,Results,$G$4,FALSE)</f>
        <v>Royal</v>
      </c>
      <c r="V171" s="533">
        <f>VLOOKUP(($B169*10)+8,Results,$H$4,FALSE)</f>
        <v>1.1499999999999999</v>
      </c>
      <c r="W171" s="600">
        <f>VLOOKUP(($B169*10)+1,Results,$I$4,FALSE)</f>
        <v>7</v>
      </c>
      <c r="X171" s="499">
        <f>VLOOKUP(($B169*10)+2,Results,$I$4,FALSE)</f>
        <v>8</v>
      </c>
      <c r="Y171" s="499">
        <f>VLOOKUP(($B169*10)+3,Results,$I$4,FALSE)</f>
        <v>1.5</v>
      </c>
      <c r="Z171" s="499">
        <f>VLOOKUP(($B169*10)+4,Results,$I$4,FALSE)</f>
        <v>6</v>
      </c>
      <c r="AA171" s="499">
        <f>VLOOKUP(($B169*10)+5,Results,$I$4,FALSE)</f>
        <v>4</v>
      </c>
      <c r="AB171" s="499">
        <f>VLOOKUP(($B169*10)+6,Results,$I$4,FALSE)</f>
        <v>5</v>
      </c>
      <c r="AC171" s="499">
        <f>VLOOKUP(($B169*10)+7,Results,$I$4,FALSE)</f>
        <v>3</v>
      </c>
      <c r="AD171" s="499">
        <f>VLOOKUP(($B169*10)+8,Results,$I$4,FALSE)</f>
        <v>1.5</v>
      </c>
    </row>
    <row r="172" spans="1:30" x14ac:dyDescent="0.3">
      <c r="A172" s="118" t="str">
        <f>B173&amp;"A"</f>
        <v>36A</v>
      </c>
      <c r="B172" s="506"/>
      <c r="C172" s="571"/>
      <c r="D172" s="479" t="str">
        <f>VLOOKUP(B173,EventsOrder,4,FALSE)</f>
        <v>U14 Female</v>
      </c>
      <c r="E172" s="515" t="s">
        <v>149</v>
      </c>
      <c r="F172" s="480"/>
      <c r="G172" s="481" t="str">
        <f>VLOOKUP(($B173*10)+1,Results,$F$3,FALSE)</f>
        <v/>
      </c>
      <c r="H172" s="482"/>
      <c r="I172" s="483" t="str">
        <f>VLOOKUP(($B173*10)+2,Results,$F$3,FALSE)</f>
        <v/>
      </c>
      <c r="J172" s="482"/>
      <c r="K172" s="483" t="str">
        <f>VLOOKUP(($B173*10)+3,Results,$F$3,FALSE)</f>
        <v/>
      </c>
      <c r="L172" s="482"/>
      <c r="M172" s="483" t="str">
        <f>VLOOKUP(($B173*10)+4,Results,$F$3,FALSE)</f>
        <v/>
      </c>
      <c r="N172" s="482"/>
      <c r="O172" s="483" t="str">
        <f>VLOOKUP(($B173*10)+5,Results,$F$3,FALSE)</f>
        <v/>
      </c>
      <c r="P172" s="482"/>
      <c r="Q172" s="483" t="str">
        <f>VLOOKUP(($B173*10)+6,Results,$F$3,FALSE)</f>
        <v/>
      </c>
      <c r="R172" s="484"/>
      <c r="S172" s="485" t="str">
        <f>VLOOKUP(($B173*10)+7,Results,$F$3,FALSE)</f>
        <v/>
      </c>
      <c r="T172" s="482"/>
      <c r="U172" s="483" t="str">
        <f>VLOOKUP(($B173*10)+8,Results,$F$3,FALSE)</f>
        <v/>
      </c>
      <c r="V172" s="486"/>
      <c r="W172" s="599"/>
      <c r="X172" s="488"/>
      <c r="Y172" s="488"/>
      <c r="Z172" s="488"/>
      <c r="AA172" s="488"/>
      <c r="AB172" s="488"/>
      <c r="AC172" s="488"/>
      <c r="AD172" s="488"/>
    </row>
    <row r="173" spans="1:30" x14ac:dyDescent="0.3">
      <c r="A173" s="118" t="str">
        <f>B173&amp;"A"</f>
        <v>36A</v>
      </c>
      <c r="B173" s="24">
        <v>36</v>
      </c>
      <c r="C173" s="572">
        <f>VLOOKUP(B173,EventsOrder,2,FALSE)</f>
        <v>1.5</v>
      </c>
      <c r="D173" s="490"/>
      <c r="E173" s="11"/>
      <c r="F173" s="492"/>
      <c r="G173" s="493">
        <f>VLOOKUP(($B173*10)+1,Results,$G$3,FALSE)</f>
        <v>0</v>
      </c>
      <c r="H173" s="573">
        <f>VLOOKUP(($B173*10)+1,Results,$H$3,FALSE)</f>
        <v>0</v>
      </c>
      <c r="I173" s="495">
        <f>VLOOKUP(($B173*10)+2,Results,$G$3,FALSE)</f>
        <v>0</v>
      </c>
      <c r="J173" s="573">
        <f>VLOOKUP(($B173*10)+2,Results,$H$3,FALSE)</f>
        <v>0</v>
      </c>
      <c r="K173" s="495">
        <f>VLOOKUP(($B173*10)+3,Results,$G$3,FALSE)</f>
        <v>0</v>
      </c>
      <c r="L173" s="573">
        <f>VLOOKUP(($B173*10)+3,Results,$H$3,FALSE)</f>
        <v>0</v>
      </c>
      <c r="M173" s="495">
        <f>VLOOKUP(($B173*10)+4,Results,$G$3,FALSE)</f>
        <v>0</v>
      </c>
      <c r="N173" s="573">
        <f>VLOOKUP(($B173*10)+4,Results,$H$3,FALSE)</f>
        <v>0</v>
      </c>
      <c r="O173" s="495">
        <f>VLOOKUP(($B173*10)+5,Results,$G$3,FALSE)</f>
        <v>0</v>
      </c>
      <c r="P173" s="573">
        <f>VLOOKUP(($B173*10)+5,Results,$H$3,FALSE)</f>
        <v>0</v>
      </c>
      <c r="Q173" s="495">
        <f>VLOOKUP(($B173*10)+6,Results,$G$3,FALSE)</f>
        <v>0</v>
      </c>
      <c r="R173" s="573">
        <f>VLOOKUP(($B173*10)+6,Results,$H$3,FALSE)</f>
        <v>0</v>
      </c>
      <c r="S173" s="496">
        <f>VLOOKUP(($B173*10)+7,Results,$G$3,FALSE)</f>
        <v>0</v>
      </c>
      <c r="T173" s="573">
        <f>VLOOKUP(($B173*10)+7,Results,$H$3,FALSE)</f>
        <v>0</v>
      </c>
      <c r="U173" s="495">
        <f>VLOOKUP(($B173*10)+8,Results,$G$3,FALSE)</f>
        <v>0</v>
      </c>
      <c r="V173" s="528">
        <f>VLOOKUP(($B173*10)+8,Results,$H$3,FALSE)</f>
        <v>0</v>
      </c>
      <c r="W173" s="600">
        <f>VLOOKUP(($B173*10)+1,Results,$I$3,FALSE)</f>
        <v>0</v>
      </c>
      <c r="X173" s="499">
        <f>VLOOKUP(($B173*10)+2,Results,$I$3,FALSE)</f>
        <v>0</v>
      </c>
      <c r="Y173" s="499">
        <f>VLOOKUP(($B173*10)+3,Results,$I$3,FALSE)</f>
        <v>0</v>
      </c>
      <c r="Z173" s="499">
        <f>VLOOKUP(($B173*10)+4,Results,$I$3,FALSE)</f>
        <v>0</v>
      </c>
      <c r="AA173" s="499">
        <f>VLOOKUP(($B173*10)+5,Results,$I$3,FALSE)</f>
        <v>0</v>
      </c>
      <c r="AB173" s="499">
        <f>VLOOKUP(($B173*10)+6,Results,$I$3,FALSE)</f>
        <v>0</v>
      </c>
      <c r="AC173" s="499">
        <f>VLOOKUP(($B173*10)+7,Results,$I$3,FALSE)</f>
        <v>0</v>
      </c>
      <c r="AD173" s="499">
        <f>VLOOKUP(($B173*10)+8,Results,$I$3,FALSE)</f>
        <v>0</v>
      </c>
    </row>
    <row r="174" spans="1:30" x14ac:dyDescent="0.3">
      <c r="A174" s="118" t="str">
        <f>B173&amp;"B"</f>
        <v>36B</v>
      </c>
      <c r="B174" s="506"/>
      <c r="C174" s="572"/>
      <c r="D174" s="479" t="str">
        <f>VLOOKUP(B173,EventsOrder,3,FALSE)</f>
        <v>Discus</v>
      </c>
      <c r="E174" s="515" t="s">
        <v>94</v>
      </c>
      <c r="F174" s="529"/>
      <c r="G174" s="547" t="str">
        <f>VLOOKUP(($B173*10)+1,Results,$F$4,FALSE)</f>
        <v/>
      </c>
      <c r="H174" s="517"/>
      <c r="I174" s="548" t="str">
        <f>VLOOKUP(($B173*10)+2,Results,$F$4,FALSE)</f>
        <v/>
      </c>
      <c r="J174" s="517"/>
      <c r="K174" s="548" t="str">
        <f>VLOOKUP(($B173*10)+3,Results,$F$4,FALSE)</f>
        <v/>
      </c>
      <c r="L174" s="517"/>
      <c r="M174" s="548" t="str">
        <f>VLOOKUP(($B173*10)+4,Results,$F$4,FALSE)</f>
        <v/>
      </c>
      <c r="N174" s="517"/>
      <c r="O174" s="548" t="str">
        <f>VLOOKUP(($B173*10)+5,Results,$F$4,FALSE)</f>
        <v/>
      </c>
      <c r="P174" s="517"/>
      <c r="Q174" s="548" t="str">
        <f>VLOOKUP(($B173*10)+6,Results,$F$4,FALSE)</f>
        <v/>
      </c>
      <c r="R174" s="549"/>
      <c r="S174" s="575" t="str">
        <f>VLOOKUP(($B173*10)+7,Results,$F$4,FALSE)</f>
        <v/>
      </c>
      <c r="T174" s="517"/>
      <c r="U174" s="548" t="str">
        <f>VLOOKUP(($B173*10)+8,Results,$F$4,FALSE)</f>
        <v/>
      </c>
      <c r="V174" s="519"/>
      <c r="W174" s="599"/>
      <c r="X174" s="488"/>
      <c r="Y174" s="488"/>
      <c r="Z174" s="488"/>
      <c r="AA174" s="488"/>
      <c r="AB174" s="488"/>
      <c r="AC174" s="488"/>
      <c r="AD174" s="488"/>
    </row>
    <row r="175" spans="1:30" ht="15" thickBot="1" x14ac:dyDescent="0.35">
      <c r="A175" s="118" t="str">
        <f>B173&amp;"B"</f>
        <v>36B</v>
      </c>
      <c r="B175" s="506"/>
      <c r="C175" s="576"/>
      <c r="D175" s="502"/>
      <c r="E175" s="523"/>
      <c r="F175" s="503"/>
      <c r="G175" s="554">
        <f>VLOOKUP(($B173*10)+1,Results,$G$4,FALSE)</f>
        <v>0</v>
      </c>
      <c r="H175" s="573">
        <f>VLOOKUP(($B173*10)+1,Results,$H$4,FALSE)</f>
        <v>0</v>
      </c>
      <c r="I175" s="556">
        <f>VLOOKUP(($B173*10)+2,Results,$G$4,FALSE)</f>
        <v>0</v>
      </c>
      <c r="J175" s="573">
        <f>VLOOKUP(($B173*10)+2,Results,$H$4,FALSE)</f>
        <v>0</v>
      </c>
      <c r="K175" s="556">
        <f>VLOOKUP(($B173*10)+3,Results,$G$4,FALSE)</f>
        <v>0</v>
      </c>
      <c r="L175" s="573">
        <f>VLOOKUP(($B173*10)+3,Results,$H$4,FALSE)</f>
        <v>0</v>
      </c>
      <c r="M175" s="556">
        <f>VLOOKUP(($B173*10)+4,Results,$G$4,FALSE)</f>
        <v>0</v>
      </c>
      <c r="N175" s="573">
        <f>VLOOKUP(($B173*10)+4,Results,$H$4,FALSE)</f>
        <v>0</v>
      </c>
      <c r="O175" s="556">
        <f>VLOOKUP(($B173*10)+5,Results,$G$4,FALSE)</f>
        <v>0</v>
      </c>
      <c r="P175" s="573">
        <f>VLOOKUP(($B173*10)+5,Results,$H$4,FALSE)</f>
        <v>0</v>
      </c>
      <c r="Q175" s="556">
        <f>VLOOKUP(($B173*10)+6,Results,$G$4,FALSE)</f>
        <v>0</v>
      </c>
      <c r="R175" s="573">
        <f>VLOOKUP(($B173*10)+6,Results,$H$4,FALSE)</f>
        <v>0</v>
      </c>
      <c r="S175" s="556">
        <f>VLOOKUP(($B173*10)+7,Results,$G$4,FALSE)</f>
        <v>0</v>
      </c>
      <c r="T175" s="573">
        <f>VLOOKUP(($B173*10)+7,Results,$H$4,FALSE)</f>
        <v>0</v>
      </c>
      <c r="U175" s="556">
        <f>VLOOKUP(($B173*10)+8,Results,$G$4,FALSE)</f>
        <v>0</v>
      </c>
      <c r="V175" s="528">
        <f>VLOOKUP(($B173*10)+8,Results,$H$4,FALSE)</f>
        <v>0</v>
      </c>
      <c r="W175" s="600">
        <f>VLOOKUP(($B173*10)+1,Results,$I$4,FALSE)</f>
        <v>0</v>
      </c>
      <c r="X175" s="499">
        <f>VLOOKUP(($B173*10)+2,Results,$I$4,FALSE)</f>
        <v>0</v>
      </c>
      <c r="Y175" s="499">
        <f>VLOOKUP(($B173*10)+3,Results,$I$4,FALSE)</f>
        <v>0</v>
      </c>
      <c r="Z175" s="499">
        <f>VLOOKUP(($B173*10)+4,Results,$I$4,FALSE)</f>
        <v>0</v>
      </c>
      <c r="AA175" s="499">
        <f>VLOOKUP(($B173*10)+5,Results,$I$4,FALSE)</f>
        <v>0</v>
      </c>
      <c r="AB175" s="499">
        <f>VLOOKUP(($B173*10)+6,Results,$I$4,FALSE)</f>
        <v>0</v>
      </c>
      <c r="AC175" s="499">
        <f>VLOOKUP(($B173*10)+7,Results,$I$4,FALSE)</f>
        <v>0</v>
      </c>
      <c r="AD175" s="499">
        <f>VLOOKUP(($B173*10)+8,Results,$I$4,FALSE)</f>
        <v>0</v>
      </c>
    </row>
    <row r="176" spans="1:30" x14ac:dyDescent="0.3">
      <c r="A176" s="118" t="str">
        <f>B177&amp;"A"</f>
        <v>39A</v>
      </c>
      <c r="B176" s="506"/>
      <c r="C176" s="571"/>
      <c r="D176" s="479" t="str">
        <f>VLOOKUP(B177,EventsOrder,4,FALSE)</f>
        <v>U14 Female</v>
      </c>
      <c r="E176" s="515" t="s">
        <v>149</v>
      </c>
      <c r="F176" s="480"/>
      <c r="G176" s="481" t="str">
        <f>VLOOKUP(($B177*10)+1,Results,$F$3,FALSE)</f>
        <v>Pippa Richards</v>
      </c>
      <c r="H176" s="482"/>
      <c r="I176" s="483" t="str">
        <f>VLOOKUP(($B177*10)+2,Results,$F$3,FALSE)</f>
        <v>Ava Blundell</v>
      </c>
      <c r="J176" s="482"/>
      <c r="K176" s="483" t="str">
        <f>VLOOKUP(($B177*10)+3,Results,$F$3,FALSE)</f>
        <v>Annabelle Ani</v>
      </c>
      <c r="L176" s="482"/>
      <c r="M176" s="483" t="str">
        <f>VLOOKUP(($B177*10)+4,Results,$F$3,FALSE)</f>
        <v>Freya Draycott</v>
      </c>
      <c r="N176" s="482"/>
      <c r="O176" s="483" t="str">
        <f>VLOOKUP(($B177*10)+5,Results,$F$3,FALSE)</f>
        <v>Reese Ridgway</v>
      </c>
      <c r="P176" s="482"/>
      <c r="Q176" s="483" t="str">
        <f>VLOOKUP(($B177*10)+6,Results,$F$3,FALSE)</f>
        <v>Agnes thomson</v>
      </c>
      <c r="R176" s="484"/>
      <c r="S176" s="485" t="str">
        <f>VLOOKUP(($B177*10)+7,Results,$F$3,FALSE)</f>
        <v>Isla Porter</v>
      </c>
      <c r="T176" s="482"/>
      <c r="U176" s="483" t="str">
        <f>VLOOKUP(($B177*10)+8,Results,$F$3,FALSE)</f>
        <v>Evangeline Harris</v>
      </c>
      <c r="V176" s="486"/>
      <c r="W176" s="599"/>
      <c r="X176" s="488"/>
      <c r="Y176" s="488"/>
      <c r="Z176" s="488"/>
      <c r="AA176" s="488"/>
      <c r="AB176" s="488"/>
      <c r="AC176" s="488"/>
      <c r="AD176" s="488"/>
    </row>
    <row r="177" spans="1:30" x14ac:dyDescent="0.3">
      <c r="A177" s="118" t="str">
        <f>B177&amp;"A"</f>
        <v>39A</v>
      </c>
      <c r="B177" s="24">
        <v>39</v>
      </c>
      <c r="C177" s="572">
        <f>VLOOKUP(B177,EventsOrder,2,FALSE)</f>
        <v>2.2000000000000002</v>
      </c>
      <c r="D177" s="490"/>
      <c r="E177" s="11"/>
      <c r="F177" s="492"/>
      <c r="G177" s="493" t="str">
        <f>VLOOKUP(($B177*10)+1,Results,$G$3,FALSE)</f>
        <v>K&amp;S</v>
      </c>
      <c r="H177" s="505">
        <f>VLOOKUP(($B177*10)+1,Results,$H$3,FALSE)</f>
        <v>13.5</v>
      </c>
      <c r="I177" s="495" t="str">
        <f>VLOOKUP(($B177*10)+2,Results,$G$3,FALSE)</f>
        <v>Sol</v>
      </c>
      <c r="J177" s="505">
        <f>VLOOKUP(($B177*10)+2,Results,$H$3,FALSE)</f>
        <v>13.5</v>
      </c>
      <c r="K177" s="495" t="str">
        <f>VLOOKUP(($B177*10)+3,Results,$G$3,FALSE)</f>
        <v>Royal</v>
      </c>
      <c r="L177" s="505">
        <f>VLOOKUP(($B177*10)+3,Results,$H$3,FALSE)</f>
        <v>13.7</v>
      </c>
      <c r="M177" s="495" t="str">
        <f>VLOOKUP(($B177*10)+4,Results,$G$3,FALSE)</f>
        <v>Tam</v>
      </c>
      <c r="N177" s="505">
        <f>VLOOKUP(($B177*10)+4,Results,$H$3,FALSE)</f>
        <v>14.2</v>
      </c>
      <c r="O177" s="495" t="str">
        <f>VLOOKUP(($B177*10)+5,Results,$G$3,FALSE)</f>
        <v>Rugby</v>
      </c>
      <c r="P177" s="505">
        <f>VLOOKUP(($B177*10)+5,Results,$H$3,FALSE)</f>
        <v>14.4</v>
      </c>
      <c r="Q177" s="495" t="str">
        <f>VLOOKUP(($B177*10)+6,Results,$G$3,FALSE)</f>
        <v>BRAT</v>
      </c>
      <c r="R177" s="505">
        <f>VLOOKUP(($B177*10)+6,Results,$H$3,FALSE)</f>
        <v>14.4</v>
      </c>
      <c r="S177" s="496" t="str">
        <f>VLOOKUP(($B177*10)+7,Results,$G$3,FALSE)</f>
        <v>Worc</v>
      </c>
      <c r="T177" s="505">
        <f>VLOOKUP(($B177*10)+7,Results,$H$3,FALSE)</f>
        <v>14.7</v>
      </c>
      <c r="U177" s="495" t="str">
        <f>VLOOKUP(($B177*10)+8,Results,$G$3,FALSE)</f>
        <v>Strat</v>
      </c>
      <c r="V177" s="601">
        <f>VLOOKUP(($B177*10)+8,Results,$H$3,FALSE)</f>
        <v>14.9</v>
      </c>
      <c r="W177" s="600">
        <f>VLOOKUP(($B177*10)+1,Results,$I$3,FALSE)</f>
        <v>3</v>
      </c>
      <c r="X177" s="499">
        <f>VLOOKUP(($B177*10)+2,Results,$I$3,FALSE)</f>
        <v>8</v>
      </c>
      <c r="Y177" s="499">
        <f>VLOOKUP(($B177*10)+3,Results,$I$3,FALSE)</f>
        <v>6</v>
      </c>
      <c r="Z177" s="499">
        <f>VLOOKUP(($B177*10)+4,Results,$I$3,FALSE)</f>
        <v>4</v>
      </c>
      <c r="AA177" s="499">
        <f>VLOOKUP(($B177*10)+5,Results,$I$3,FALSE)</f>
        <v>7</v>
      </c>
      <c r="AB177" s="499">
        <f>VLOOKUP(($B177*10)+6,Results,$I$3,FALSE)</f>
        <v>1</v>
      </c>
      <c r="AC177" s="499">
        <f>VLOOKUP(($B177*10)+7,Results,$I$3,FALSE)</f>
        <v>5</v>
      </c>
      <c r="AD177" s="499">
        <f>VLOOKUP(($B177*10)+8,Results,$I$3,FALSE)</f>
        <v>2</v>
      </c>
    </row>
    <row r="178" spans="1:30" x14ac:dyDescent="0.3">
      <c r="A178" s="118" t="str">
        <f>B177&amp;"B"</f>
        <v>39B</v>
      </c>
      <c r="B178" s="506"/>
      <c r="C178" s="572"/>
      <c r="D178" s="479" t="str">
        <f>VLOOKUP(B177,EventsOrder,3,FALSE)</f>
        <v>100m</v>
      </c>
      <c r="E178" s="515" t="s">
        <v>94</v>
      </c>
      <c r="F178" s="529"/>
      <c r="G178" s="547" t="str">
        <f>VLOOKUP(($B177*10)+1,Results,$F$4,FALSE)</f>
        <v>Savannah wedderburn</v>
      </c>
      <c r="H178" s="517"/>
      <c r="I178" s="548" t="str">
        <f>VLOOKUP(($B177*10)+2,Results,$F$4,FALSE)</f>
        <v>Sara Clewer</v>
      </c>
      <c r="J178" s="517"/>
      <c r="K178" s="548" t="str">
        <f>VLOOKUP(($B177*10)+3,Results,$F$4,FALSE)</f>
        <v>Ava Collett</v>
      </c>
      <c r="L178" s="517"/>
      <c r="M178" s="548" t="str">
        <f>VLOOKUP(($B177*10)+4,Results,$F$4,FALSE)</f>
        <v>Brooke Butler</v>
      </c>
      <c r="N178" s="517"/>
      <c r="O178" s="548" t="str">
        <f>VLOOKUP(($B177*10)+5,Results,$F$4,FALSE)</f>
        <v>Matilda Famuyiwa</v>
      </c>
      <c r="P178" s="517"/>
      <c r="Q178" s="548" t="str">
        <f>VLOOKUP(($B177*10)+6,Results,$F$4,FALSE)</f>
        <v>Matilda Kiernan</v>
      </c>
      <c r="R178" s="549"/>
      <c r="S178" s="575" t="str">
        <f>VLOOKUP(($B177*10)+7,Results,$F$4,FALSE)</f>
        <v>Evie Smith</v>
      </c>
      <c r="T178" s="517"/>
      <c r="U178" s="548" t="str">
        <f>VLOOKUP(($B177*10)+8,Results,$F$4,FALSE)</f>
        <v>Esme Dyer</v>
      </c>
      <c r="V178" s="519"/>
      <c r="W178" s="599"/>
      <c r="X178" s="488"/>
      <c r="Y178" s="488"/>
      <c r="Z178" s="488"/>
      <c r="AA178" s="488"/>
      <c r="AB178" s="488"/>
      <c r="AC178" s="488"/>
      <c r="AD178" s="488"/>
    </row>
    <row r="179" spans="1:30" ht="15" thickBot="1" x14ac:dyDescent="0.35">
      <c r="A179" s="118" t="str">
        <f>B177&amp;"B"</f>
        <v>39B</v>
      </c>
      <c r="B179" s="506"/>
      <c r="C179" s="576"/>
      <c r="D179" s="502"/>
      <c r="E179" s="523"/>
      <c r="F179" s="503"/>
      <c r="G179" s="554" t="str">
        <f>VLOOKUP(($B177*10)+1,Results,$G$4,FALSE)</f>
        <v>BRAT</v>
      </c>
      <c r="H179" s="505">
        <f>VLOOKUP(($B177*10)+1,Results,$H$4,FALSE)</f>
        <v>14.5</v>
      </c>
      <c r="I179" s="495" t="str">
        <f>VLOOKUP(($B177*10)+2,Results,$G$4,FALSE)</f>
        <v>Strat</v>
      </c>
      <c r="J179" s="505">
        <f>VLOOKUP(($B177*10)+2,Results,$H$4,FALSE)</f>
        <v>14.5</v>
      </c>
      <c r="K179" s="495" t="str">
        <f>VLOOKUP(($B177*10)+3,Results,$G$4,FALSE)</f>
        <v>Sol</v>
      </c>
      <c r="L179" s="505">
        <f>VLOOKUP(($B177*10)+3,Results,$H$4,FALSE)</f>
        <v>14.5</v>
      </c>
      <c r="M179" s="495" t="str">
        <f>VLOOKUP(($B177*10)+4,Results,$G$4,FALSE)</f>
        <v>Royal</v>
      </c>
      <c r="N179" s="505">
        <f>VLOOKUP(($B177*10)+4,Results,$H$4,FALSE)</f>
        <v>14.7</v>
      </c>
      <c r="O179" s="495" t="str">
        <f>VLOOKUP(($B177*10)+5,Results,$G$4,FALSE)</f>
        <v>Rugby</v>
      </c>
      <c r="P179" s="505">
        <f>VLOOKUP(($B177*10)+5,Results,$H$4,FALSE)</f>
        <v>14.9</v>
      </c>
      <c r="Q179" s="495" t="str">
        <f>VLOOKUP(($B177*10)+6,Results,$G$4,FALSE)</f>
        <v>K&amp;S</v>
      </c>
      <c r="R179" s="505">
        <f>VLOOKUP(($B177*10)+6,Results,$H$4,FALSE)</f>
        <v>15.1</v>
      </c>
      <c r="S179" s="496" t="str">
        <f>VLOOKUP(($B177*10)+7,Results,$G$4,FALSE)</f>
        <v>Tam</v>
      </c>
      <c r="T179" s="505">
        <f>VLOOKUP(($B177*10)+7,Results,$H$4,FALSE)</f>
        <v>15.3</v>
      </c>
      <c r="U179" s="495" t="str">
        <f>VLOOKUP(($B177*10)+8,Results,$G$4,FALSE)</f>
        <v>Worc</v>
      </c>
      <c r="V179" s="601">
        <f>VLOOKUP(($B177*10)+8,Results,$H$4,FALSE)</f>
        <v>15.8</v>
      </c>
      <c r="W179" s="600">
        <f>VLOOKUP(($B177*10)+1,Results,$I$4,FALSE)</f>
        <v>8</v>
      </c>
      <c r="X179" s="499">
        <f>VLOOKUP(($B177*10)+2,Results,$I$4,FALSE)</f>
        <v>3</v>
      </c>
      <c r="Y179" s="499">
        <f>VLOOKUP(($B177*10)+3,Results,$I$4,FALSE)</f>
        <v>5</v>
      </c>
      <c r="Z179" s="499">
        <f>VLOOKUP(($B177*10)+4,Results,$I$4,FALSE)</f>
        <v>4</v>
      </c>
      <c r="AA179" s="499">
        <f>VLOOKUP(($B177*10)+5,Results,$I$4,FALSE)</f>
        <v>6</v>
      </c>
      <c r="AB179" s="499">
        <f>VLOOKUP(($B177*10)+6,Results,$I$4,FALSE)</f>
        <v>7</v>
      </c>
      <c r="AC179" s="499">
        <f>VLOOKUP(($B177*10)+7,Results,$I$4,FALSE)</f>
        <v>2</v>
      </c>
      <c r="AD179" s="499">
        <f>VLOOKUP(($B177*10)+8,Results,$I$4,FALSE)</f>
        <v>1</v>
      </c>
    </row>
    <row r="180" spans="1:30" x14ac:dyDescent="0.3">
      <c r="A180" s="118" t="str">
        <f>B181&amp;"A"</f>
        <v>52A</v>
      </c>
      <c r="B180" s="506"/>
      <c r="C180" s="571"/>
      <c r="D180" s="479" t="str">
        <f>VLOOKUP(B181,EventsOrder,4,FALSE)</f>
        <v>U14 Female</v>
      </c>
      <c r="E180" s="515" t="s">
        <v>149</v>
      </c>
      <c r="F180" s="480"/>
      <c r="G180" s="481" t="str">
        <f>VLOOKUP(($B181*10)+1,Results,$F$3,FALSE)</f>
        <v>Gracie Hodgkins</v>
      </c>
      <c r="H180" s="482"/>
      <c r="I180" s="483" t="str">
        <f>VLOOKUP(($B181*10)+2,Results,$F$3,FALSE)</f>
        <v>Mar O'Connor Delgado</v>
      </c>
      <c r="J180" s="482"/>
      <c r="K180" s="483" t="str">
        <f>VLOOKUP(($B181*10)+3,Results,$F$3,FALSE)</f>
        <v>Freya Draycott</v>
      </c>
      <c r="L180" s="482"/>
      <c r="M180" s="483" t="str">
        <f>VLOOKUP(($B181*10)+4,Results,$F$3,FALSE)</f>
        <v>Lila Warwick</v>
      </c>
      <c r="N180" s="482"/>
      <c r="O180" s="483" t="str">
        <f>VLOOKUP(($B181*10)+5,Results,$F$3,FALSE)</f>
        <v>Maggie Silvers</v>
      </c>
      <c r="P180" s="482"/>
      <c r="Q180" s="483" t="str">
        <f>VLOOKUP(($B181*10)+6,Results,$F$3,FALSE)</f>
        <v>Ava Blundell</v>
      </c>
      <c r="R180" s="484"/>
      <c r="S180" s="485" t="str">
        <f>VLOOKUP(($B181*10)+7,Results,$F$3,FALSE)</f>
        <v>Annabelle Pattinson</v>
      </c>
      <c r="T180" s="482"/>
      <c r="U180" s="483" t="str">
        <f>VLOOKUP(($B181*10)+8,Results,$F$3,FALSE)</f>
        <v>Lyla Pearce</v>
      </c>
      <c r="V180" s="486"/>
      <c r="W180" s="599"/>
      <c r="X180" s="488"/>
      <c r="Y180" s="488"/>
      <c r="Z180" s="488"/>
      <c r="AA180" s="488"/>
      <c r="AB180" s="488"/>
      <c r="AC180" s="488"/>
      <c r="AD180" s="488"/>
    </row>
    <row r="181" spans="1:30" x14ac:dyDescent="0.3">
      <c r="A181" s="118" t="str">
        <f>B181&amp;"A"</f>
        <v>52A</v>
      </c>
      <c r="B181" s="24">
        <v>52</v>
      </c>
      <c r="C181" s="572">
        <f>VLOOKUP(B181,EventsOrder,2,FALSE)</f>
        <v>2.5</v>
      </c>
      <c r="D181" s="490"/>
      <c r="E181" s="11"/>
      <c r="F181" s="492"/>
      <c r="G181" s="493" t="str">
        <f>VLOOKUP(($B181*10)+1,Results,$G$3,FALSE)</f>
        <v>Worc</v>
      </c>
      <c r="H181" s="573">
        <f>VLOOKUP(($B181*10)+1,Results,$H$3,FALSE)</f>
        <v>4.1500000000000004</v>
      </c>
      <c r="I181" s="495" t="str">
        <f>VLOOKUP(($B181*10)+2,Results,$G$3,FALSE)</f>
        <v>BRAT</v>
      </c>
      <c r="J181" s="573">
        <f>VLOOKUP(($B181*10)+2,Results,$H$3,FALSE)</f>
        <v>3.9</v>
      </c>
      <c r="K181" s="495" t="str">
        <f>VLOOKUP(($B181*10)+3,Results,$G$3,FALSE)</f>
        <v>Tam</v>
      </c>
      <c r="L181" s="573">
        <f>VLOOKUP(($B181*10)+3,Results,$H$3,FALSE)</f>
        <v>3.82</v>
      </c>
      <c r="M181" s="495" t="str">
        <f>VLOOKUP(($B181*10)+4,Results,$G$3,FALSE)</f>
        <v>K&amp;S</v>
      </c>
      <c r="N181" s="573">
        <f>VLOOKUP(($B181*10)+4,Results,$H$3,FALSE)</f>
        <v>3.76</v>
      </c>
      <c r="O181" s="495" t="str">
        <f>VLOOKUP(($B181*10)+5,Results,$G$3,FALSE)</f>
        <v>Strat</v>
      </c>
      <c r="P181" s="573">
        <f>VLOOKUP(($B181*10)+5,Results,$H$3,FALSE)</f>
        <v>3.69</v>
      </c>
      <c r="Q181" s="495" t="str">
        <f>VLOOKUP(($B181*10)+6,Results,$G$3,FALSE)</f>
        <v>Sol</v>
      </c>
      <c r="R181" s="574">
        <f>VLOOKUP(($B181*10)+6,Results,$H$3,FALSE)</f>
        <v>3.6</v>
      </c>
      <c r="S181" s="496" t="str">
        <f>VLOOKUP(($B181*10)+7,Results,$G$3,FALSE)</f>
        <v>Royal</v>
      </c>
      <c r="T181" s="573">
        <f>VLOOKUP(($B181*10)+7,Results,$H$3,FALSE)</f>
        <v>3.4</v>
      </c>
      <c r="U181" s="495" t="str">
        <f>VLOOKUP(($B181*10)+8,Results,$G$3,FALSE)</f>
        <v>Rugby</v>
      </c>
      <c r="V181" s="528">
        <f>VLOOKUP(($B181*10)+8,Results,$H$3,FALSE)</f>
        <v>3.38</v>
      </c>
      <c r="W181" s="600">
        <f>VLOOKUP(($B181*10)+1,Results,$I$3,FALSE)</f>
        <v>7</v>
      </c>
      <c r="X181" s="499">
        <f>VLOOKUP(($B181*10)+2,Results,$I$3,FALSE)</f>
        <v>5</v>
      </c>
      <c r="Y181" s="499">
        <f>VLOOKUP(($B181*10)+3,Results,$I$3,FALSE)</f>
        <v>2</v>
      </c>
      <c r="Z181" s="499">
        <f>VLOOKUP(($B181*10)+4,Results,$I$3,FALSE)</f>
        <v>1</v>
      </c>
      <c r="AA181" s="499">
        <f>VLOOKUP(($B181*10)+5,Results,$I$3,FALSE)</f>
        <v>3</v>
      </c>
      <c r="AB181" s="499">
        <f>VLOOKUP(($B181*10)+6,Results,$I$3,FALSE)</f>
        <v>4</v>
      </c>
      <c r="AC181" s="499">
        <f>VLOOKUP(($B181*10)+7,Results,$I$3,FALSE)</f>
        <v>6</v>
      </c>
      <c r="AD181" s="499">
        <f>VLOOKUP(($B181*10)+8,Results,$I$3,FALSE)</f>
        <v>8</v>
      </c>
    </row>
    <row r="182" spans="1:30" x14ac:dyDescent="0.3">
      <c r="A182" s="118" t="str">
        <f>B181&amp;"B"</f>
        <v>52B</v>
      </c>
      <c r="B182" s="506"/>
      <c r="C182" s="572"/>
      <c r="D182" s="479" t="str">
        <f>VLOOKUP(B181,EventsOrder,3,FALSE)</f>
        <v>Long Jump</v>
      </c>
      <c r="E182" s="515" t="s">
        <v>94</v>
      </c>
      <c r="F182" s="529"/>
      <c r="G182" s="547" t="str">
        <f>VLOOKUP(($B181*10)+1,Results,$F$4,FALSE)</f>
        <v>Agnes thomson</v>
      </c>
      <c r="H182" s="517"/>
      <c r="I182" s="548" t="str">
        <f>VLOOKUP(($B181*10)+2,Results,$F$4,FALSE)</f>
        <v>Pippa Richards</v>
      </c>
      <c r="J182" s="517"/>
      <c r="K182" s="548" t="str">
        <f>VLOOKUP(($B181*10)+3,Results,$F$4,FALSE)</f>
        <v>Annabel Ryan-Gill</v>
      </c>
      <c r="L182" s="517"/>
      <c r="M182" s="548" t="str">
        <f>VLOOKUP(($B181*10)+4,Results,$F$4,FALSE)</f>
        <v>Eva Christophorou</v>
      </c>
      <c r="N182" s="517"/>
      <c r="O182" s="548" t="str">
        <f>VLOOKUP(($B181*10)+5,Results,$F$4,FALSE)</f>
        <v>Ava Blundell</v>
      </c>
      <c r="P182" s="517"/>
      <c r="Q182" s="548" t="str">
        <f>VLOOKUP(($B181*10)+6,Results,$F$4,FALSE)</f>
        <v>Brooke Butler</v>
      </c>
      <c r="R182" s="549"/>
      <c r="S182" s="575" t="str">
        <f>VLOOKUP(($B181*10)+7,Results,$F$4,FALSE)</f>
        <v>Sophie Hadley</v>
      </c>
      <c r="T182" s="517"/>
      <c r="U182" s="548" t="str">
        <f>VLOOKUP(($B181*10)+8,Results,$F$4,FALSE)</f>
        <v>Elsie Thornton</v>
      </c>
      <c r="V182" s="519"/>
      <c r="W182" s="599"/>
      <c r="X182" s="488"/>
      <c r="Y182" s="488"/>
      <c r="Z182" s="488"/>
      <c r="AA182" s="488"/>
      <c r="AB182" s="488"/>
      <c r="AC182" s="488"/>
      <c r="AD182" s="488"/>
    </row>
    <row r="183" spans="1:30" ht="15" thickBot="1" x14ac:dyDescent="0.35">
      <c r="A183" s="118" t="str">
        <f>B181&amp;"B"</f>
        <v>52B</v>
      </c>
      <c r="B183" s="506"/>
      <c r="C183" s="576"/>
      <c r="D183" s="502"/>
      <c r="E183" s="523"/>
      <c r="F183" s="503"/>
      <c r="G183" s="554" t="str">
        <f>VLOOKUP(($B181*10)+1,Results,$G$4,FALSE)</f>
        <v>BRAT</v>
      </c>
      <c r="H183" s="573">
        <f>VLOOKUP(($B181*10)+1,Results,$H$4,FALSE)</f>
        <v>3.85</v>
      </c>
      <c r="I183" s="495" t="str">
        <f>VLOOKUP(($B181*10)+2,Results,$G$4,FALSE)</f>
        <v>K&amp;S</v>
      </c>
      <c r="J183" s="573">
        <f>VLOOKUP(($B181*10)+2,Results,$H$4,FALSE)</f>
        <v>3.67</v>
      </c>
      <c r="K183" s="495" t="str">
        <f>VLOOKUP(($B181*10)+3,Results,$G$4,FALSE)</f>
        <v>Strat</v>
      </c>
      <c r="L183" s="573">
        <f>VLOOKUP(($B181*10)+3,Results,$H$4,FALSE)</f>
        <v>3.6</v>
      </c>
      <c r="M183" s="495" t="str">
        <f>VLOOKUP(($B181*10)+4,Results,$G$4,FALSE)</f>
        <v>Tam</v>
      </c>
      <c r="N183" s="573">
        <f>VLOOKUP(($B181*10)+4,Results,$H$4,FALSE)</f>
        <v>3.49</v>
      </c>
      <c r="O183" s="495" t="str">
        <f>VLOOKUP(($B181*10)+5,Results,$G$4,FALSE)</f>
        <v>Sol</v>
      </c>
      <c r="P183" s="573">
        <f>VLOOKUP(($B181*10)+5,Results,$H$4,FALSE)</f>
        <v>3.4</v>
      </c>
      <c r="Q183" s="495" t="str">
        <f>VLOOKUP(($B181*10)+6,Results,$G$4,FALSE)</f>
        <v>Royal</v>
      </c>
      <c r="R183" s="574">
        <f>VLOOKUP(($B181*10)+6,Results,$H$4,FALSE)</f>
        <v>3.35</v>
      </c>
      <c r="S183" s="496" t="str">
        <f>VLOOKUP(($B181*10)+7,Results,$G$4,FALSE)</f>
        <v>Rugby</v>
      </c>
      <c r="T183" s="573">
        <f>VLOOKUP(($B181*10)+7,Results,$H$4,FALSE)</f>
        <v>3.33</v>
      </c>
      <c r="U183" s="495" t="str">
        <f>VLOOKUP(($B181*10)+8,Results,$G$4,FALSE)</f>
        <v>Worc</v>
      </c>
      <c r="V183" s="528">
        <f>VLOOKUP(($B181*10)+8,Results,$H$4,FALSE)</f>
        <v>2.87</v>
      </c>
      <c r="W183" s="600">
        <f>VLOOKUP(($B181*10)+1,Results,$I$4,FALSE)</f>
        <v>8</v>
      </c>
      <c r="X183" s="499">
        <f>VLOOKUP(($B181*10)+2,Results,$I$4,FALSE)</f>
        <v>7</v>
      </c>
      <c r="Y183" s="499">
        <f>VLOOKUP(($B181*10)+3,Results,$I$4,FALSE)</f>
        <v>3</v>
      </c>
      <c r="Z183" s="499">
        <f>VLOOKUP(($B181*10)+4,Results,$I$4,FALSE)</f>
        <v>2</v>
      </c>
      <c r="AA183" s="499">
        <f>VLOOKUP(($B181*10)+5,Results,$I$4,FALSE)</f>
        <v>4</v>
      </c>
      <c r="AB183" s="499">
        <f>VLOOKUP(($B181*10)+6,Results,$I$4,FALSE)</f>
        <v>6</v>
      </c>
      <c r="AC183" s="499">
        <f>VLOOKUP(($B181*10)+7,Results,$I$4,FALSE)</f>
        <v>5</v>
      </c>
      <c r="AD183" s="499">
        <f>VLOOKUP(($B181*10)+8,Results,$I$4,FALSE)</f>
        <v>1</v>
      </c>
    </row>
    <row r="184" spans="1:30" x14ac:dyDescent="0.3">
      <c r="A184" s="118" t="str">
        <f>B185&amp;"A"</f>
        <v>59A</v>
      </c>
      <c r="B184" s="506"/>
      <c r="C184" s="571"/>
      <c r="D184" s="479" t="str">
        <f>VLOOKUP(B185,EventsOrder,4,FALSE)</f>
        <v>U14 Female</v>
      </c>
      <c r="E184" s="515" t="s">
        <v>149</v>
      </c>
      <c r="F184" s="480"/>
      <c r="G184" s="481" t="str">
        <f>VLOOKUP(($B185*10)+1,Results,$F$3,FALSE)</f>
        <v>Taya Young</v>
      </c>
      <c r="H184" s="482"/>
      <c r="I184" s="483" t="str">
        <f>VLOOKUP(($B185*10)+2,Results,$F$3,FALSE)</f>
        <v>Rose Ricardo</v>
      </c>
      <c r="J184" s="482"/>
      <c r="K184" s="483" t="str">
        <f>VLOOKUP(($B185*10)+3,Results,$F$3,FALSE)</f>
        <v>Alice McIntosh</v>
      </c>
      <c r="L184" s="482"/>
      <c r="M184" s="483" t="str">
        <f>VLOOKUP(($B185*10)+4,Results,$F$3,FALSE)</f>
        <v>Caitlin Hobday</v>
      </c>
      <c r="N184" s="482"/>
      <c r="O184" s="483" t="str">
        <f>VLOOKUP(($B185*10)+5,Results,$F$3,FALSE)</f>
        <v>Edith Masson</v>
      </c>
      <c r="P184" s="482"/>
      <c r="Q184" s="483" t="str">
        <f>VLOOKUP(($B185*10)+6,Results,$F$3,FALSE)</f>
        <v>Gracie Hodgkins</v>
      </c>
      <c r="R184" s="484"/>
      <c r="S184" s="485" t="str">
        <f>VLOOKUP(($B185*10)+7,Results,$F$3,FALSE)</f>
        <v>Imogen McCann</v>
      </c>
      <c r="T184" s="482"/>
      <c r="U184" s="483" t="str">
        <f>VLOOKUP(($B185*10)+8,Results,$F$3,FALSE)</f>
        <v>Eva Christophorou</v>
      </c>
      <c r="V184" s="486"/>
      <c r="W184" s="599"/>
      <c r="X184" s="488"/>
      <c r="Y184" s="488"/>
      <c r="Z184" s="488"/>
      <c r="AA184" s="488"/>
      <c r="AB184" s="488"/>
      <c r="AC184" s="488"/>
      <c r="AD184" s="488"/>
    </row>
    <row r="185" spans="1:30" x14ac:dyDescent="0.3">
      <c r="A185" s="118" t="str">
        <f>B185&amp;"A"</f>
        <v>59A</v>
      </c>
      <c r="B185" s="24">
        <v>59</v>
      </c>
      <c r="C185" s="572">
        <f>VLOOKUP(B185,EventsOrder,2,FALSE)</f>
        <v>3.3</v>
      </c>
      <c r="D185" s="490"/>
      <c r="E185" s="11"/>
      <c r="F185" s="492"/>
      <c r="G185" s="493" t="str">
        <f>VLOOKUP(($B185*10)+1,Results,$G$3,FALSE)</f>
        <v>Rugby</v>
      </c>
      <c r="H185" s="573">
        <f>VLOOKUP(($B185*10)+1,Results,$H$3,FALSE)</f>
        <v>9.25</v>
      </c>
      <c r="I185" s="495" t="str">
        <f>VLOOKUP(($B185*10)+2,Results,$G$3,FALSE)</f>
        <v>BRAT</v>
      </c>
      <c r="J185" s="573">
        <f>VLOOKUP(($B185*10)+2,Results,$H$3,FALSE)</f>
        <v>8.4499999999999993</v>
      </c>
      <c r="K185" s="495" t="str">
        <f>VLOOKUP(($B185*10)+3,Results,$G$3,FALSE)</f>
        <v>Strat</v>
      </c>
      <c r="L185" s="573">
        <f>VLOOKUP(($B185*10)+3,Results,$H$3,FALSE)</f>
        <v>6.8</v>
      </c>
      <c r="M185" s="495" t="str">
        <f>VLOOKUP(($B185*10)+4,Results,$G$3,FALSE)</f>
        <v>Royal</v>
      </c>
      <c r="N185" s="573">
        <f>VLOOKUP(($B185*10)+4,Results,$H$3,FALSE)</f>
        <v>6.56</v>
      </c>
      <c r="O185" s="495" t="str">
        <f>VLOOKUP(($B185*10)+5,Results,$G$3,FALSE)</f>
        <v>Sol</v>
      </c>
      <c r="P185" s="573">
        <f>VLOOKUP(($B185*10)+5,Results,$H$3,FALSE)</f>
        <v>6.52</v>
      </c>
      <c r="Q185" s="495" t="str">
        <f>VLOOKUP(($B185*10)+6,Results,$G$3,FALSE)</f>
        <v>Worc</v>
      </c>
      <c r="R185" s="573">
        <f>VLOOKUP(($B185*10)+6,Results,$H$3,FALSE)</f>
        <v>6.44</v>
      </c>
      <c r="S185" s="496" t="str">
        <f>VLOOKUP(($B185*10)+7,Results,$G$3,FALSE)</f>
        <v>K&amp;S</v>
      </c>
      <c r="T185" s="573">
        <f>VLOOKUP(($B185*10)+7,Results,$H$3,FALSE)</f>
        <v>6.42</v>
      </c>
      <c r="U185" s="495" t="str">
        <f>VLOOKUP(($B185*10)+8,Results,$G$3,FALSE)</f>
        <v>Tam</v>
      </c>
      <c r="V185" s="528">
        <f>VLOOKUP(($B185*10)+8,Results,$H$3,FALSE)</f>
        <v>6.25</v>
      </c>
      <c r="W185" s="600">
        <f>VLOOKUP(($B185*10)+1,Results,$I$3,FALSE)</f>
        <v>7</v>
      </c>
      <c r="X185" s="499">
        <f>VLOOKUP(($B185*10)+2,Results,$I$3,FALSE)</f>
        <v>2</v>
      </c>
      <c r="Y185" s="499">
        <f>VLOOKUP(($B185*10)+3,Results,$I$3,FALSE)</f>
        <v>5</v>
      </c>
      <c r="Z185" s="499">
        <f>VLOOKUP(($B185*10)+4,Results,$I$3,FALSE)</f>
        <v>8</v>
      </c>
      <c r="AA185" s="499">
        <f>VLOOKUP(($B185*10)+5,Results,$I$3,FALSE)</f>
        <v>4</v>
      </c>
      <c r="AB185" s="499">
        <f>VLOOKUP(($B185*10)+6,Results,$I$3,FALSE)</f>
        <v>6</v>
      </c>
      <c r="AC185" s="499">
        <f>VLOOKUP(($B185*10)+7,Results,$I$3,FALSE)</f>
        <v>1</v>
      </c>
      <c r="AD185" s="499">
        <f>VLOOKUP(($B185*10)+8,Results,$I$3,FALSE)</f>
        <v>3</v>
      </c>
    </row>
    <row r="186" spans="1:30" x14ac:dyDescent="0.3">
      <c r="A186" s="118" t="str">
        <f>B185&amp;"B"</f>
        <v>59B</v>
      </c>
      <c r="B186" s="506"/>
      <c r="C186" s="572"/>
      <c r="D186" s="479" t="str">
        <f>VLOOKUP(B185,EventsOrder,3,FALSE)</f>
        <v>Shot</v>
      </c>
      <c r="E186" s="515" t="s">
        <v>94</v>
      </c>
      <c r="F186" s="529"/>
      <c r="G186" s="547" t="str">
        <f>VLOOKUP(($B185*10)+1,Results,$F$4,FALSE)</f>
        <v>Hiba Bailey</v>
      </c>
      <c r="H186" s="517"/>
      <c r="I186" s="548" t="str">
        <f>VLOOKUP(($B185*10)+2,Results,$F$4,FALSE)</f>
        <v>Isabelle McCann</v>
      </c>
      <c r="J186" s="517"/>
      <c r="K186" s="548" t="str">
        <f>VLOOKUP(($B185*10)+3,Results,$F$4,FALSE)</f>
        <v>Phoebe Ricketts</v>
      </c>
      <c r="L186" s="517"/>
      <c r="M186" s="548" t="str">
        <f>VLOOKUP(($B185*10)+4,Results,$F$4,FALSE)</f>
        <v>Martha Edwards</v>
      </c>
      <c r="N186" s="517"/>
      <c r="O186" s="548" t="str">
        <f>VLOOKUP(($B185*10)+5,Results,$F$4,FALSE)</f>
        <v>Lacey Eaton</v>
      </c>
      <c r="P186" s="517"/>
      <c r="Q186" s="548" t="str">
        <f>VLOOKUP(($B185*10)+6,Results,$F$4,FALSE)</f>
        <v>Anastasia Constantinou</v>
      </c>
      <c r="R186" s="549"/>
      <c r="S186" s="575" t="str">
        <f>VLOOKUP(($B185*10)+7,Results,$F$4,FALSE)</f>
        <v/>
      </c>
      <c r="T186" s="517"/>
      <c r="U186" s="548" t="str">
        <f>VLOOKUP(($B185*10)+8,Results,$F$4,FALSE)</f>
        <v/>
      </c>
      <c r="V186" s="519"/>
      <c r="W186" s="599"/>
      <c r="X186" s="488"/>
      <c r="Y186" s="488"/>
      <c r="Z186" s="488"/>
      <c r="AA186" s="488"/>
      <c r="AB186" s="488"/>
      <c r="AC186" s="488"/>
      <c r="AD186" s="488"/>
    </row>
    <row r="187" spans="1:30" ht="15" thickBot="1" x14ac:dyDescent="0.35">
      <c r="A187" s="118" t="str">
        <f>B185&amp;"B"</f>
        <v>59B</v>
      </c>
      <c r="B187" s="506"/>
      <c r="C187" s="576"/>
      <c r="D187" s="502"/>
      <c r="E187" s="523"/>
      <c r="F187" s="503"/>
      <c r="G187" s="554" t="str">
        <f>VLOOKUP(($B185*10)+1,Results,$G$4,FALSE)</f>
        <v>BRAT</v>
      </c>
      <c r="H187" s="573">
        <f>VLOOKUP(($B185*10)+1,Results,$H$4,FALSE)</f>
        <v>6.98</v>
      </c>
      <c r="I187" s="556" t="str">
        <f>VLOOKUP(($B185*10)+2,Results,$G$4,FALSE)</f>
        <v>K&amp;S</v>
      </c>
      <c r="J187" s="573">
        <f>VLOOKUP(($B185*10)+2,Results,$H$4,FALSE)</f>
        <v>6.1</v>
      </c>
      <c r="K187" s="556" t="str">
        <f>VLOOKUP(($B185*10)+3,Results,$G$4,FALSE)</f>
        <v>Sol</v>
      </c>
      <c r="L187" s="573">
        <f>VLOOKUP(($B185*10)+3,Results,$H$4,FALSE)</f>
        <v>5.94</v>
      </c>
      <c r="M187" s="556" t="str">
        <f>VLOOKUP(($B185*10)+4,Results,$G$4,FALSE)</f>
        <v>Strat</v>
      </c>
      <c r="N187" s="573">
        <f>VLOOKUP(($B185*10)+4,Results,$H$4,FALSE)</f>
        <v>4.6900000000000004</v>
      </c>
      <c r="O187" s="556" t="str">
        <f>VLOOKUP(($B185*10)+5,Results,$G$4,FALSE)</f>
        <v>Tam</v>
      </c>
      <c r="P187" s="573">
        <f>VLOOKUP(($B185*10)+5,Results,$H$4,FALSE)</f>
        <v>4.66</v>
      </c>
      <c r="Q187" s="556" t="str">
        <f>VLOOKUP(($B185*10)+6,Results,$G$4,FALSE)</f>
        <v>Worc</v>
      </c>
      <c r="R187" s="573">
        <f>VLOOKUP(($B185*10)+6,Results,$H$4,FALSE)</f>
        <v>3.67</v>
      </c>
      <c r="S187" s="556">
        <f>VLOOKUP(($B185*10)+7,Results,$G$4,FALSE)</f>
        <v>0</v>
      </c>
      <c r="T187" s="573">
        <f>VLOOKUP(($B185*10)+7,Results,$H$4,FALSE)</f>
        <v>5</v>
      </c>
      <c r="U187" s="556">
        <f>VLOOKUP(($B185*10)+8,Results,$G$4,FALSE)</f>
        <v>0</v>
      </c>
      <c r="V187" s="528">
        <f>VLOOKUP(($B185*10)+8,Results,$H$4,FALSE)</f>
        <v>0</v>
      </c>
      <c r="W187" s="600">
        <f>VLOOKUP(($B185*10)+1,Results,$I$4,FALSE)</f>
        <v>8</v>
      </c>
      <c r="X187" s="499">
        <f>VLOOKUP(($B185*10)+2,Results,$I$4,FALSE)</f>
        <v>7</v>
      </c>
      <c r="Y187" s="499">
        <f>VLOOKUP(($B185*10)+3,Results,$I$4,FALSE)</f>
        <v>0</v>
      </c>
      <c r="Z187" s="499">
        <f>VLOOKUP(($B185*10)+4,Results,$I$4,FALSE)</f>
        <v>0</v>
      </c>
      <c r="AA187" s="499">
        <f>VLOOKUP(($B185*10)+5,Results,$I$4,FALSE)</f>
        <v>6</v>
      </c>
      <c r="AB187" s="499">
        <f>VLOOKUP(($B185*10)+6,Results,$I$4,FALSE)</f>
        <v>5</v>
      </c>
      <c r="AC187" s="499">
        <f>VLOOKUP(($B185*10)+7,Results,$I$4,FALSE)</f>
        <v>4</v>
      </c>
      <c r="AD187" s="499">
        <f>VLOOKUP(($B185*10)+8,Results,$I$4,FALSE)</f>
        <v>3</v>
      </c>
    </row>
    <row r="188" spans="1:30" x14ac:dyDescent="0.3">
      <c r="A188" s="118" t="str">
        <f>B189&amp;"A"</f>
        <v>66A</v>
      </c>
      <c r="B188" s="506"/>
      <c r="C188" s="571"/>
      <c r="D188" s="479" t="str">
        <f>VLOOKUP(B189,EventsOrder,4,FALSE)</f>
        <v>U14 Female</v>
      </c>
      <c r="E188" s="515" t="s">
        <v>149</v>
      </c>
      <c r="F188" s="480"/>
      <c r="G188" s="481" t="str">
        <f>VLOOKUP(($B189*10)+1,Results,$F$3,FALSE)</f>
        <v>Pippa Richards</v>
      </c>
      <c r="H188" s="482"/>
      <c r="I188" s="483" t="str">
        <f>VLOOKUP(($B189*10)+2,Results,$F$3,FALSE)</f>
        <v>Mabel Edgerton</v>
      </c>
      <c r="J188" s="482"/>
      <c r="K188" s="483" t="str">
        <f>VLOOKUP(($B189*10)+3,Results,$F$3,FALSE)</f>
        <v>Ava Blundell</v>
      </c>
      <c r="L188" s="482"/>
      <c r="M188" s="483" t="str">
        <f>VLOOKUP(($B189*10)+4,Results,$F$3,FALSE)</f>
        <v>Gracie Hodgkins</v>
      </c>
      <c r="N188" s="482"/>
      <c r="O188" s="483" t="str">
        <f>VLOOKUP(($B189*10)+5,Results,$F$3,FALSE)</f>
        <v>Freya Draycott</v>
      </c>
      <c r="P188" s="482"/>
      <c r="Q188" s="483" t="str">
        <f>VLOOKUP(($B189*10)+6,Results,$F$3,FALSE)</f>
        <v>Elsie Pipitone</v>
      </c>
      <c r="R188" s="484"/>
      <c r="S188" s="485" t="str">
        <f>VLOOKUP(($B189*10)+7,Results,$F$3,FALSE)</f>
        <v>Amber Butler</v>
      </c>
      <c r="T188" s="482"/>
      <c r="U188" s="483" t="str">
        <f>VLOOKUP(($B189*10)+8,Results,$F$3,FALSE)</f>
        <v xml:space="preserve">
Savannah Wedderburn</v>
      </c>
      <c r="V188" s="486"/>
      <c r="W188" s="599"/>
      <c r="X188" s="488"/>
      <c r="Y188" s="488"/>
      <c r="Z188" s="488"/>
      <c r="AA188" s="488"/>
      <c r="AB188" s="488"/>
      <c r="AC188" s="488"/>
      <c r="AD188" s="488"/>
    </row>
    <row r="189" spans="1:30" x14ac:dyDescent="0.3">
      <c r="A189" s="118" t="str">
        <f>B189&amp;"A"</f>
        <v>66A</v>
      </c>
      <c r="B189" s="24">
        <v>66</v>
      </c>
      <c r="C189" s="572">
        <f>VLOOKUP(B189,EventsOrder,2,FALSE)</f>
        <v>3.55</v>
      </c>
      <c r="D189" s="490"/>
      <c r="E189" s="11"/>
      <c r="F189" s="492"/>
      <c r="G189" s="493" t="str">
        <f>VLOOKUP(($B189*10)+1,Results,$G$3,FALSE)</f>
        <v>K&amp;S</v>
      </c>
      <c r="H189" s="505">
        <f>VLOOKUP(($B189*10)+1,Results,$H$3,FALSE)</f>
        <v>28</v>
      </c>
      <c r="I189" s="495" t="str">
        <f>VLOOKUP(($B189*10)+2,Results,$G$3,FALSE)</f>
        <v>Royal</v>
      </c>
      <c r="J189" s="505">
        <f>VLOOKUP(($B189*10)+2,Results,$H$3,FALSE)</f>
        <v>28.4</v>
      </c>
      <c r="K189" s="495" t="str">
        <f>VLOOKUP(($B189*10)+3,Results,$G$3,FALSE)</f>
        <v>Sol</v>
      </c>
      <c r="L189" s="505">
        <f>VLOOKUP(($B189*10)+3,Results,$H$3,FALSE)</f>
        <v>28.9</v>
      </c>
      <c r="M189" s="495" t="str">
        <f>VLOOKUP(($B189*10)+4,Results,$G$3,FALSE)</f>
        <v>Worc</v>
      </c>
      <c r="N189" s="505">
        <f>VLOOKUP(($B189*10)+4,Results,$H$3,FALSE)</f>
        <v>29.2</v>
      </c>
      <c r="O189" s="495" t="str">
        <f>VLOOKUP(($B189*10)+5,Results,$G$3,FALSE)</f>
        <v>Tam</v>
      </c>
      <c r="P189" s="505">
        <f>VLOOKUP(($B189*10)+5,Results,$H$3,FALSE)</f>
        <v>29.6</v>
      </c>
      <c r="Q189" s="495" t="str">
        <f>VLOOKUP(($B189*10)+6,Results,$G$3,FALSE)</f>
        <v>Strat</v>
      </c>
      <c r="R189" s="505">
        <f>VLOOKUP(($B189*10)+6,Results,$H$3,FALSE)</f>
        <v>29.6</v>
      </c>
      <c r="S189" s="496" t="str">
        <f>VLOOKUP(($B189*10)+7,Results,$G$3,FALSE)</f>
        <v>Rugby</v>
      </c>
      <c r="T189" s="505">
        <f>VLOOKUP(($B189*10)+7,Results,$H$3,FALSE)</f>
        <v>30.2</v>
      </c>
      <c r="U189" s="495" t="str">
        <f>VLOOKUP(($B189*10)+8,Results,$G$3,FALSE)</f>
        <v>BRAT</v>
      </c>
      <c r="V189" s="601">
        <f>VLOOKUP(($B189*10)+8,Results,$H$3,FALSE)</f>
        <v>31.8</v>
      </c>
      <c r="W189" s="600">
        <f>VLOOKUP(($B189*10)+1,Results,$I$3,FALSE)</f>
        <v>1</v>
      </c>
      <c r="X189" s="499">
        <f>VLOOKUP(($B189*10)+2,Results,$I$3,FALSE)</f>
        <v>8</v>
      </c>
      <c r="Y189" s="499">
        <f>VLOOKUP(($B189*10)+3,Results,$I$3,FALSE)</f>
        <v>7</v>
      </c>
      <c r="Z189" s="499">
        <f>VLOOKUP(($B189*10)+4,Results,$I$3,FALSE)</f>
        <v>2</v>
      </c>
      <c r="AA189" s="499">
        <f>VLOOKUP(($B189*10)+5,Results,$I$3,FALSE)</f>
        <v>6</v>
      </c>
      <c r="AB189" s="499">
        <f>VLOOKUP(($B189*10)+6,Results,$I$3,FALSE)</f>
        <v>3</v>
      </c>
      <c r="AC189" s="499">
        <f>VLOOKUP(($B189*10)+7,Results,$I$3,FALSE)</f>
        <v>4</v>
      </c>
      <c r="AD189" s="499">
        <f>VLOOKUP(($B189*10)+8,Results,$I$3,FALSE)</f>
        <v>5</v>
      </c>
    </row>
    <row r="190" spans="1:30" x14ac:dyDescent="0.3">
      <c r="A190" s="118" t="str">
        <f>B189&amp;"B"</f>
        <v>66B</v>
      </c>
      <c r="B190" s="506"/>
      <c r="C190" s="572"/>
      <c r="D190" s="479" t="str">
        <f>VLOOKUP(B189,EventsOrder,3,FALSE)</f>
        <v>200m</v>
      </c>
      <c r="E190" s="515" t="s">
        <v>94</v>
      </c>
      <c r="F190" s="529"/>
      <c r="G190" s="547" t="str">
        <f>VLOOKUP(($B189*10)+1,Results,$F$4,FALSE)</f>
        <v>Lila Warwick</v>
      </c>
      <c r="H190" s="517"/>
      <c r="I190" s="548" t="str">
        <f>VLOOKUP(($B189*10)+2,Results,$F$4,FALSE)</f>
        <v>Abby Ruggles</v>
      </c>
      <c r="J190" s="517"/>
      <c r="K190" s="548" t="str">
        <f>VLOOKUP(($B189*10)+3,Results,$F$4,FALSE)</f>
        <v>Darcy mcdaid</v>
      </c>
      <c r="L190" s="517"/>
      <c r="M190" s="548" t="str">
        <f>VLOOKUP(($B189*10)+4,Results,$F$4,FALSE)</f>
        <v>Sophia Agius</v>
      </c>
      <c r="N190" s="517"/>
      <c r="O190" s="548" t="str">
        <f>VLOOKUP(($B189*10)+5,Results,$F$4,FALSE)</f>
        <v>Abigail Dilworth</v>
      </c>
      <c r="P190" s="517"/>
      <c r="Q190" s="548" t="str">
        <f>VLOOKUP(($B189*10)+6,Results,$F$4,FALSE)</f>
        <v>Isla Porter</v>
      </c>
      <c r="R190" s="549"/>
      <c r="S190" s="575" t="str">
        <f>VLOOKUP(($B189*10)+7,Results,$F$4,FALSE)</f>
        <v>Evie Smith</v>
      </c>
      <c r="T190" s="517"/>
      <c r="U190" s="548" t="str">
        <f>VLOOKUP(($B189*10)+8,Results,$F$4,FALSE)</f>
        <v>Evangeline Harris</v>
      </c>
      <c r="V190" s="519"/>
      <c r="W190" s="599"/>
      <c r="X190" s="488"/>
      <c r="Y190" s="488"/>
      <c r="Z190" s="488"/>
      <c r="AA190" s="488"/>
      <c r="AB190" s="488"/>
      <c r="AC190" s="488"/>
      <c r="AD190" s="488"/>
    </row>
    <row r="191" spans="1:30" ht="15" thickBot="1" x14ac:dyDescent="0.35">
      <c r="A191" s="118" t="str">
        <f>B189&amp;"B"</f>
        <v>66B</v>
      </c>
      <c r="B191" s="506"/>
      <c r="C191" s="576"/>
      <c r="D191" s="502"/>
      <c r="E191" s="523"/>
      <c r="F191" s="503"/>
      <c r="G191" s="554" t="str">
        <f>VLOOKUP(($B189*10)+1,Results,$G$4,FALSE)</f>
        <v>K&amp;S</v>
      </c>
      <c r="H191" s="505">
        <f>VLOOKUP(($B189*10)+1,Results,$H$4,FALSE)</f>
        <v>28.8</v>
      </c>
      <c r="I191" s="495" t="str">
        <f>VLOOKUP(($B189*10)+2,Results,$G$4,FALSE)</f>
        <v>Sol</v>
      </c>
      <c r="J191" s="505">
        <f>VLOOKUP(($B189*10)+2,Results,$H$4,FALSE)</f>
        <v>29</v>
      </c>
      <c r="K191" s="495" t="str">
        <f>VLOOKUP(($B189*10)+3,Results,$G$4,FALSE)</f>
        <v>BRAT</v>
      </c>
      <c r="L191" s="505">
        <f>VLOOKUP(($B189*10)+3,Results,$H$4,FALSE)</f>
        <v>29.1</v>
      </c>
      <c r="M191" s="495" t="str">
        <f>VLOOKUP(($B189*10)+4,Results,$G$4,FALSE)</f>
        <v>Rugby</v>
      </c>
      <c r="N191" s="505">
        <f>VLOOKUP(($B189*10)+4,Results,$H$4,FALSE)</f>
        <v>29.5</v>
      </c>
      <c r="O191" s="495" t="str">
        <f>VLOOKUP(($B189*10)+5,Results,$G$4,FALSE)</f>
        <v>Royal</v>
      </c>
      <c r="P191" s="505">
        <f>VLOOKUP(($B189*10)+5,Results,$H$4,FALSE)</f>
        <v>30.6</v>
      </c>
      <c r="Q191" s="495" t="str">
        <f>VLOOKUP(($B189*10)+6,Results,$G$4,FALSE)</f>
        <v>Worc</v>
      </c>
      <c r="R191" s="505">
        <f>VLOOKUP(($B189*10)+6,Results,$H$4,FALSE)</f>
        <v>30.7</v>
      </c>
      <c r="S191" s="496" t="str">
        <f>VLOOKUP(($B189*10)+7,Results,$G$4,FALSE)</f>
        <v>Tam</v>
      </c>
      <c r="T191" s="505">
        <f>VLOOKUP(($B189*10)+7,Results,$H$4,FALSE)</f>
        <v>32</v>
      </c>
      <c r="U191" s="495" t="str">
        <f>VLOOKUP(($B189*10)+8,Results,$G$4,FALSE)</f>
        <v>Strat</v>
      </c>
      <c r="V191" s="601">
        <f>VLOOKUP(($B189*10)+8,Results,$H$4,FALSE)</f>
        <v>32</v>
      </c>
      <c r="W191" s="600">
        <f>VLOOKUP(($B189*10)+1,Results,$I$4,FALSE)</f>
        <v>6</v>
      </c>
      <c r="X191" s="499">
        <f>VLOOKUP(($B189*10)+2,Results,$I$4,FALSE)</f>
        <v>8</v>
      </c>
      <c r="Y191" s="499">
        <f>VLOOKUP(($B189*10)+3,Results,$I$4,FALSE)</f>
        <v>4</v>
      </c>
      <c r="Z191" s="499">
        <f>VLOOKUP(($B189*10)+4,Results,$I$4,FALSE)</f>
        <v>5</v>
      </c>
      <c r="AA191" s="499">
        <f>VLOOKUP(($B189*10)+5,Results,$I$4,FALSE)</f>
        <v>7</v>
      </c>
      <c r="AB191" s="499">
        <f>VLOOKUP(($B189*10)+6,Results,$I$4,FALSE)</f>
        <v>1</v>
      </c>
      <c r="AC191" s="499">
        <f>VLOOKUP(($B189*10)+7,Results,$I$4,FALSE)</f>
        <v>2</v>
      </c>
      <c r="AD191" s="499">
        <f>VLOOKUP(($B189*10)+8,Results,$I$4,FALSE)</f>
        <v>3</v>
      </c>
    </row>
    <row r="192" spans="1:30" x14ac:dyDescent="0.3">
      <c r="A192" s="118" t="str">
        <f>B193&amp;"A"</f>
        <v>75A</v>
      </c>
      <c r="B192" s="506"/>
      <c r="C192" s="571"/>
      <c r="D192" s="479" t="str">
        <f>VLOOKUP(B193,EventsOrder,4,FALSE)</f>
        <v>U14 Female</v>
      </c>
      <c r="E192" s="515" t="s">
        <v>149</v>
      </c>
      <c r="F192" s="480"/>
      <c r="G192" s="481" t="str">
        <f>VLOOKUP(($B193*10)+1,Results,$F$3,FALSE)</f>
        <v>Alice McIntosh</v>
      </c>
      <c r="H192" s="482"/>
      <c r="I192" s="483" t="str">
        <f>VLOOKUP(($B193*10)+2,Results,$F$3,FALSE)</f>
        <v>Edith Masson</v>
      </c>
      <c r="J192" s="482"/>
      <c r="K192" s="483" t="str">
        <f>VLOOKUP(($B193*10)+3,Results,$F$3,FALSE)</f>
        <v>Darcy mcdaid</v>
      </c>
      <c r="L192" s="482"/>
      <c r="M192" s="483" t="str">
        <f>VLOOKUP(($B193*10)+4,Results,$F$3,FALSE)</f>
        <v>Taya Young</v>
      </c>
      <c r="N192" s="482"/>
      <c r="O192" s="483" t="str">
        <f>VLOOKUP(($B193*10)+5,Results,$F$3,FALSE)</f>
        <v>Amelie Davis-Beard</v>
      </c>
      <c r="P192" s="482"/>
      <c r="Q192" s="483" t="str">
        <f>VLOOKUP(($B193*10)+6,Results,$F$3,FALSE)</f>
        <v>Annabelle Pattinson</v>
      </c>
      <c r="R192" s="484"/>
      <c r="S192" s="485" t="str">
        <f>VLOOKUP(($B193*10)+7,Results,$F$3,FALSE)</f>
        <v>Rosie Groves</v>
      </c>
      <c r="T192" s="482"/>
      <c r="U192" s="483" t="str">
        <f>VLOOKUP(($B193*10)+8,Results,$F$3,FALSE)</f>
        <v>Eva Christophorou</v>
      </c>
      <c r="V192" s="486"/>
      <c r="W192" s="599"/>
      <c r="X192" s="488"/>
      <c r="Y192" s="488"/>
      <c r="Z192" s="488"/>
      <c r="AA192" s="488"/>
      <c r="AB192" s="488"/>
      <c r="AC192" s="488"/>
      <c r="AD192" s="488"/>
    </row>
    <row r="193" spans="1:30" x14ac:dyDescent="0.3">
      <c r="A193" s="118" t="str">
        <f>B193&amp;"A"</f>
        <v>75A</v>
      </c>
      <c r="B193" s="24">
        <v>75</v>
      </c>
      <c r="C193" s="572">
        <f>VLOOKUP(B193,EventsOrder,2,FALSE)</f>
        <v>4.2</v>
      </c>
      <c r="D193" s="490"/>
      <c r="E193" s="11"/>
      <c r="F193" s="492"/>
      <c r="G193" s="493" t="str">
        <f>VLOOKUP(($B193*10)+1,Results,$G$3,FALSE)</f>
        <v>Strat</v>
      </c>
      <c r="H193" s="573">
        <f>VLOOKUP(($B193*10)+1,Results,$H$3,FALSE)</f>
        <v>30.95</v>
      </c>
      <c r="I193" s="495" t="str">
        <f>VLOOKUP(($B193*10)+2,Results,$G$3,FALSE)</f>
        <v>Sol</v>
      </c>
      <c r="J193" s="573">
        <f>VLOOKUP(($B193*10)+2,Results,$H$3,FALSE)</f>
        <v>27</v>
      </c>
      <c r="K193" s="495" t="str">
        <f>VLOOKUP(($B193*10)+3,Results,$G$3,FALSE)</f>
        <v>BRAT</v>
      </c>
      <c r="L193" s="573">
        <f>VLOOKUP(($B193*10)+3,Results,$H$3,FALSE)</f>
        <v>23.03</v>
      </c>
      <c r="M193" s="495" t="str">
        <f>VLOOKUP(($B193*10)+4,Results,$G$3,FALSE)</f>
        <v>Rugby</v>
      </c>
      <c r="N193" s="573">
        <f>VLOOKUP(($B193*10)+4,Results,$H$3,FALSE)</f>
        <v>21.53</v>
      </c>
      <c r="O193" s="495" t="str">
        <f>VLOOKUP(($B193*10)+5,Results,$G$3,FALSE)</f>
        <v>K&amp;S</v>
      </c>
      <c r="P193" s="573">
        <f>VLOOKUP(($B193*10)+5,Results,$H$3,FALSE)</f>
        <v>20.11</v>
      </c>
      <c r="Q193" s="495" t="str">
        <f>VLOOKUP(($B193*10)+6,Results,$G$3,FALSE)</f>
        <v>Royal</v>
      </c>
      <c r="R193" s="574">
        <f>VLOOKUP(($B193*10)+6,Results,$H$3,FALSE)</f>
        <v>19.670000000000002</v>
      </c>
      <c r="S193" s="496" t="str">
        <f>VLOOKUP(($B193*10)+7,Results,$G$3,FALSE)</f>
        <v>Worc</v>
      </c>
      <c r="T193" s="573">
        <f>VLOOKUP(($B193*10)+7,Results,$H$3,FALSE)</f>
        <v>14.45</v>
      </c>
      <c r="U193" s="495" t="str">
        <f>VLOOKUP(($B193*10)+8,Results,$G$3,FALSE)</f>
        <v>Tam</v>
      </c>
      <c r="V193" s="528">
        <f>VLOOKUP(($B193*10)+8,Results,$H$3,FALSE)</f>
        <v>11.29</v>
      </c>
      <c r="W193" s="600">
        <f>VLOOKUP(($B193*10)+1,Results,$I$3,FALSE)</f>
        <v>6</v>
      </c>
      <c r="X193" s="499">
        <f>VLOOKUP(($B193*10)+2,Results,$I$3,FALSE)</f>
        <v>4</v>
      </c>
      <c r="Y193" s="499">
        <f>VLOOKUP(($B193*10)+3,Results,$I$3,FALSE)</f>
        <v>3</v>
      </c>
      <c r="Z193" s="499">
        <f>VLOOKUP(($B193*10)+4,Results,$I$3,FALSE)</f>
        <v>5</v>
      </c>
      <c r="AA193" s="499">
        <f>VLOOKUP(($B193*10)+5,Results,$I$3,FALSE)</f>
        <v>7</v>
      </c>
      <c r="AB193" s="499">
        <f>VLOOKUP(($B193*10)+6,Results,$I$3,FALSE)</f>
        <v>8</v>
      </c>
      <c r="AC193" s="499">
        <f>VLOOKUP(($B193*10)+7,Results,$I$3,FALSE)</f>
        <v>1</v>
      </c>
      <c r="AD193" s="499">
        <f>VLOOKUP(($B193*10)+8,Results,$I$3,FALSE)</f>
        <v>2</v>
      </c>
    </row>
    <row r="194" spans="1:30" x14ac:dyDescent="0.3">
      <c r="A194" s="118" t="str">
        <f>B193&amp;"B"</f>
        <v>75B</v>
      </c>
      <c r="B194" s="506"/>
      <c r="C194" s="572"/>
      <c r="D194" s="479" t="str">
        <f>VLOOKUP(B193,EventsOrder,3,FALSE)</f>
        <v>Javelin</v>
      </c>
      <c r="E194" s="515" t="s">
        <v>94</v>
      </c>
      <c r="F194" s="529"/>
      <c r="G194" s="547" t="str">
        <f>VLOOKUP(($B193*10)+1,Results,$F$4,FALSE)</f>
        <v>Reese Ridgway</v>
      </c>
      <c r="H194" s="517"/>
      <c r="I194" s="548" t="str">
        <f>VLOOKUP(($B193*10)+2,Results,$F$4,FALSE)</f>
        <v>Hiba Bailey</v>
      </c>
      <c r="J194" s="517"/>
      <c r="K194" s="548" t="str">
        <f>VLOOKUP(($B193*10)+3,Results,$F$4,FALSE)</f>
        <v>Imogen McCann</v>
      </c>
      <c r="L194" s="517"/>
      <c r="M194" s="548" t="str">
        <f>VLOOKUP(($B193*10)+4,Results,$F$4,FALSE)</f>
        <v>Martha Edwards</v>
      </c>
      <c r="N194" s="517"/>
      <c r="O194" s="548" t="str">
        <f>VLOOKUP(($B193*10)+5,Results,$F$4,FALSE)</f>
        <v>Mabel Edgerton</v>
      </c>
      <c r="P194" s="517"/>
      <c r="Q194" s="548" t="str">
        <f>VLOOKUP(($B193*10)+6,Results,$F$4,FALSE)</f>
        <v>Anastasia Constantinou</v>
      </c>
      <c r="R194" s="549"/>
      <c r="S194" s="575" t="str">
        <f>VLOOKUP(($B193*10)+7,Results,$F$4,FALSE)</f>
        <v/>
      </c>
      <c r="T194" s="517"/>
      <c r="U194" s="548" t="str">
        <f>VLOOKUP(($B193*10)+8,Results,$F$4,FALSE)</f>
        <v/>
      </c>
      <c r="V194" s="519"/>
      <c r="W194" s="599"/>
      <c r="X194" s="488"/>
      <c r="Y194" s="488"/>
      <c r="Z194" s="488"/>
      <c r="AA194" s="488"/>
      <c r="AB194" s="488"/>
      <c r="AC194" s="488"/>
      <c r="AD194" s="488"/>
    </row>
    <row r="195" spans="1:30" ht="15" thickBot="1" x14ac:dyDescent="0.35">
      <c r="A195" s="118" t="str">
        <f>B193&amp;"B"</f>
        <v>75B</v>
      </c>
      <c r="B195" s="530"/>
      <c r="C195" s="576"/>
      <c r="D195" s="502"/>
      <c r="E195" s="523"/>
      <c r="F195" s="503"/>
      <c r="G195" s="493" t="str">
        <f>VLOOKUP(($B193*10)+1,Results,$G$4,FALSE)</f>
        <v>Rugby</v>
      </c>
      <c r="H195" s="573">
        <f>VLOOKUP(($B193*10)+1,Results,$H$4,FALSE)</f>
        <v>17.53</v>
      </c>
      <c r="I195" s="495" t="str">
        <f>VLOOKUP(($B193*10)+2,Results,$G$4,FALSE)</f>
        <v>BRAT</v>
      </c>
      <c r="J195" s="573">
        <f>VLOOKUP(($B193*10)+2,Results,$H$4,FALSE)</f>
        <v>17.399999999999999</v>
      </c>
      <c r="K195" s="495" t="str">
        <f>VLOOKUP(($B193*10)+3,Results,$G$4,FALSE)</f>
        <v>K&amp;S</v>
      </c>
      <c r="L195" s="573">
        <f>VLOOKUP(($B193*10)+3,Results,$H$4,FALSE)</f>
        <v>16.54</v>
      </c>
      <c r="M195" s="495" t="str">
        <f>VLOOKUP(($B193*10)+4,Results,$G$4,FALSE)</f>
        <v>Strat</v>
      </c>
      <c r="N195" s="573">
        <f>VLOOKUP(($B193*10)+4,Results,$H$4,FALSE)</f>
        <v>11.31</v>
      </c>
      <c r="O195" s="495" t="str">
        <f>VLOOKUP(($B193*10)+5,Results,$G$4,FALSE)</f>
        <v>Royal</v>
      </c>
      <c r="P195" s="573">
        <f>VLOOKUP(($B193*10)+5,Results,$H$4,FALSE)</f>
        <v>10.42</v>
      </c>
      <c r="Q195" s="495" t="str">
        <f>VLOOKUP(($B193*10)+6,Results,$G$4,FALSE)</f>
        <v>Worc</v>
      </c>
      <c r="R195" s="574">
        <f>VLOOKUP(($B193*10)+6,Results,$H$4,FALSE)</f>
        <v>4.41</v>
      </c>
      <c r="S195" s="496">
        <f>VLOOKUP(($B193*10)+7,Results,$G$4,FALSE)</f>
        <v>0</v>
      </c>
      <c r="T195" s="573">
        <f>VLOOKUP(($B193*10)+7,Results,$H$4,FALSE)</f>
        <v>0</v>
      </c>
      <c r="U195" s="495">
        <f>VLOOKUP(($B193*10)+8,Results,$G$4,FALSE)</f>
        <v>0</v>
      </c>
      <c r="V195" s="528">
        <f>VLOOKUP(($B193*10)+8,Results,$H$4,FALSE)</f>
        <v>0</v>
      </c>
      <c r="W195" s="498">
        <f>VLOOKUP(($B193*10)+1,Results,$I$4,FALSE)</f>
        <v>7</v>
      </c>
      <c r="X195" s="499">
        <f>VLOOKUP(($B193*10)+2,Results,$I$4,FALSE)</f>
        <v>6</v>
      </c>
      <c r="Y195" s="499">
        <f>VLOOKUP(($B193*10)+3,Results,$I$4,FALSE)</f>
        <v>4</v>
      </c>
      <c r="Z195" s="499">
        <f>VLOOKUP(($B193*10)+4,Results,$I$4,FALSE)</f>
        <v>8</v>
      </c>
      <c r="AA195" s="499">
        <f>VLOOKUP(($B193*10)+5,Results,$I$4,FALSE)</f>
        <v>0</v>
      </c>
      <c r="AB195" s="499">
        <f>VLOOKUP(($B193*10)+6,Results,$I$4,FALSE)</f>
        <v>5</v>
      </c>
      <c r="AC195" s="499">
        <f>VLOOKUP(($B193*10)+7,Results,$I$4,FALSE)</f>
        <v>0</v>
      </c>
      <c r="AD195" s="499">
        <f>VLOOKUP(($B193*10)+8,Results,$I$4,FALSE)</f>
        <v>3</v>
      </c>
    </row>
    <row r="196" spans="1:30" ht="16.2" thickBot="1" x14ac:dyDescent="0.35">
      <c r="A196" s="118"/>
      <c r="B196" s="506"/>
      <c r="C196" s="507"/>
      <c r="D196" s="508" t="s">
        <v>296</v>
      </c>
      <c r="E196" s="476"/>
      <c r="F196" s="51"/>
      <c r="G196" s="554"/>
      <c r="H196" s="577"/>
      <c r="I196" s="556"/>
      <c r="J196" s="577"/>
      <c r="K196" s="556"/>
      <c r="L196" s="577"/>
      <c r="M196" s="556"/>
      <c r="N196" s="577"/>
      <c r="O196" s="556"/>
      <c r="P196" s="577"/>
      <c r="Q196" s="556"/>
      <c r="R196" s="556"/>
      <c r="S196" s="556"/>
      <c r="T196" s="577"/>
      <c r="U196" s="556"/>
      <c r="V196" s="578"/>
      <c r="W196" s="606"/>
      <c r="X196" s="512"/>
      <c r="Y196" s="512"/>
      <c r="Z196" s="512"/>
      <c r="AA196" s="512"/>
      <c r="AB196" s="512"/>
      <c r="AC196" s="512"/>
      <c r="AD196" s="488"/>
    </row>
    <row r="197" spans="1:30" x14ac:dyDescent="0.3">
      <c r="A197" s="118" t="str">
        <f>B198&amp;"A"</f>
        <v>82A</v>
      </c>
      <c r="B197" s="506"/>
      <c r="C197" s="524"/>
      <c r="F197" s="480"/>
      <c r="G197" s="481" t="str">
        <f>VLOOKUP(($B198*10)+1,Results,$F$3,FALSE)</f>
        <v>Royal Sutton</v>
      </c>
      <c r="H197" s="482"/>
      <c r="I197" s="483" t="str">
        <f>VLOOKUP(($B198*10)+2,Results,$F$3,FALSE)</f>
        <v>Rugby &amp; N'hampton</v>
      </c>
      <c r="J197" s="484"/>
      <c r="K197" s="485" t="str">
        <f>VLOOKUP(($B198*10)+3,Results,$F$3,FALSE)</f>
        <v>Kidder &amp; Stourport</v>
      </c>
      <c r="L197" s="482"/>
      <c r="M197" s="483" t="str">
        <f>VLOOKUP(($B198*10)+4,Results,$F$3,FALSE)</f>
        <v>Solihull &amp; S.Heath</v>
      </c>
      <c r="N197" s="482"/>
      <c r="O197" s="483" t="str">
        <f>VLOOKUP(($B198*10)+5,Results,$F$3,FALSE)</f>
        <v>BRAT</v>
      </c>
      <c r="P197" s="482"/>
      <c r="Q197" s="483" t="str">
        <f>VLOOKUP(($B198*10)+6,Results,$F$3,FALSE)</f>
        <v>Worcester</v>
      </c>
      <c r="R197" s="484"/>
      <c r="S197" s="485" t="str">
        <f>VLOOKUP(($B198*10)+7,Results,$F$3,FALSE)</f>
        <v>Stratford</v>
      </c>
      <c r="T197" s="482"/>
      <c r="U197" s="483" t="str">
        <f>VLOOKUP(($B198*10)+8,Results,$F$3,FALSE)</f>
        <v/>
      </c>
      <c r="V197" s="486"/>
      <c r="W197" s="599"/>
      <c r="X197" s="488"/>
      <c r="Y197" s="488"/>
      <c r="Z197" s="488"/>
      <c r="AA197" s="488"/>
      <c r="AB197" s="488"/>
      <c r="AC197" s="488"/>
      <c r="AD197" s="488"/>
    </row>
    <row r="198" spans="1:30" x14ac:dyDescent="0.3">
      <c r="A198" s="118" t="str">
        <f>B198&amp;"A"</f>
        <v>82A</v>
      </c>
      <c r="B198" s="24">
        <v>82</v>
      </c>
      <c r="C198" s="221">
        <f>VLOOKUP(B198,EventsOrder,2,FALSE)</f>
        <v>4.5</v>
      </c>
      <c r="D198" s="490" t="str">
        <f>VLOOKUP(B198,EventsOrder,4,FALSE)</f>
        <v>U14 Female</v>
      </c>
      <c r="E198" s="491"/>
      <c r="F198" s="492"/>
      <c r="G198" s="493" t="str">
        <f>VLOOKUP(($B198*10)+1,Results,$F$3-1,FALSE)</f>
        <v>G - Royal</v>
      </c>
      <c r="H198" s="505">
        <f>VLOOKUP(($B198*10)+1,Results,$H$3,FALSE)</f>
        <v>55</v>
      </c>
      <c r="I198" s="495" t="str">
        <f>VLOOKUP(($B198*10)+2,Results,$F$3-1,FALSE)</f>
        <v>R - Rugby</v>
      </c>
      <c r="J198" s="505">
        <f>VLOOKUP(($B198*10)+2,Results,$H$3,FALSE)</f>
        <v>55.9</v>
      </c>
      <c r="K198" s="495" t="str">
        <f>VLOOKUP(($B198*10)+3,Results,$F$3-1,FALSE)</f>
        <v>U - K&amp;S</v>
      </c>
      <c r="L198" s="505">
        <f>VLOOKUP(($B198*10)+3,Results,$H$3,FALSE)</f>
        <v>56.8</v>
      </c>
      <c r="M198" s="495" t="str">
        <f>VLOOKUP(($B198*10)+4,Results,$F$3-1,FALSE)</f>
        <v>M - Sol</v>
      </c>
      <c r="N198" s="505">
        <f>VLOOKUP(($B198*10)+4,Results,$H$3,FALSE)</f>
        <v>56.8</v>
      </c>
      <c r="O198" s="495" t="str">
        <f>VLOOKUP(($B198*10)+5,Results,$F$3-1,FALSE)</f>
        <v>S - BRAT</v>
      </c>
      <c r="P198" s="505">
        <f>VLOOKUP(($B198*10)+5,Results,$H$3,FALSE)</f>
        <v>57.5</v>
      </c>
      <c r="Q198" s="495" t="str">
        <f>VLOOKUP(($B198*10)+6,Results,$F$3-1,FALSE)</f>
        <v>Y - Worc</v>
      </c>
      <c r="R198" s="505">
        <f>VLOOKUP(($B198*10)+6,Results,$H$3,FALSE)</f>
        <v>59.1</v>
      </c>
      <c r="S198" s="495" t="str">
        <f>VLOOKUP(($B198*10)+7,Results,$F$3-1,FALSE)</f>
        <v>D - Strat</v>
      </c>
      <c r="T198" s="505">
        <f>VLOOKUP(($B198*10)+7,Results,$H$3,FALSE)</f>
        <v>63.4</v>
      </c>
      <c r="U198" s="495" t="str">
        <f>VLOOKUP(($B198*10)+8,Results,$F$3-1,FALSE)</f>
        <v/>
      </c>
      <c r="V198" s="601">
        <f>VLOOKUP(($B198*10)+8,Results,$H$3,FALSE)</f>
        <v>0</v>
      </c>
      <c r="W198" s="600">
        <f>VLOOKUP(($B198*10)+1,Results,$I$3,FALSE)</f>
        <v>4</v>
      </c>
      <c r="X198" s="499">
        <f>VLOOKUP(($B198*10)+2,Results,$I$3,FALSE)</f>
        <v>6</v>
      </c>
      <c r="Y198" s="499">
        <f>VLOOKUP(($B198*10)+3,Results,$I$3,FALSE)</f>
        <v>8</v>
      </c>
      <c r="Z198" s="499">
        <f>VLOOKUP(($B198*10)+4,Results,$I$3,FALSE)</f>
        <v>7</v>
      </c>
      <c r="AA198" s="499">
        <f>VLOOKUP(($B198*10)+5,Results,$I$3,FALSE)</f>
        <v>5</v>
      </c>
      <c r="AB198" s="499">
        <f>VLOOKUP(($B198*10)+6,Results,$I$3,FALSE)</f>
        <v>2</v>
      </c>
      <c r="AC198" s="499">
        <f>VLOOKUP(($B198*10)+7,Results,$I$3,FALSE)</f>
        <v>0</v>
      </c>
      <c r="AD198" s="499">
        <f>VLOOKUP(($B198*10)+8,Results,$I$3,FALSE)</f>
        <v>3</v>
      </c>
    </row>
    <row r="199" spans="1:30" x14ac:dyDescent="0.3">
      <c r="A199" s="118" t="str">
        <f>B198&amp;"B"</f>
        <v>82B</v>
      </c>
      <c r="B199" s="417"/>
      <c r="C199" s="550"/>
      <c r="D199" s="85"/>
      <c r="E199" s="56"/>
      <c r="F199" s="534">
        <v>1</v>
      </c>
      <c r="G199" s="609" t="str">
        <f>IF(LEN(G$198)&gt;1,HLOOKUP(G$198,Relays,$A488,FALSE),"")</f>
        <v xml:space="preserve">Taylor Upton </v>
      </c>
      <c r="H199" s="558"/>
      <c r="I199" s="582" t="str">
        <f>IF(LEN(I$198)&gt;1,HLOOKUP(I$198,Relays,$A488,FALSE),"")</f>
        <v>Ava Lawrence</v>
      </c>
      <c r="J199" s="560"/>
      <c r="K199" s="582" t="str">
        <f>IF(LEN(K$198)&gt;1,HLOOKUP(K$198,Relays,$A488,FALSE),"")</f>
        <v xml:space="preserve">Isabelle Evans </v>
      </c>
      <c r="L199" s="560"/>
      <c r="M199" s="582" t="str">
        <f>IF(LEN(M$198)&gt;1,HLOOKUP(M$198,Relays,$A488,FALSE),"")</f>
        <v>Jessica Blundell</v>
      </c>
      <c r="N199" s="583"/>
      <c r="O199" s="582" t="str">
        <f>IF(LEN(O$198)&gt;1,HLOOKUP(O$198,Relays,$A488,FALSE),"")</f>
        <v>Beatrice-Rosie Follows</v>
      </c>
      <c r="P199" s="561"/>
      <c r="Q199" s="582" t="str">
        <f>IF(LEN(Q$198)&gt;1,HLOOKUP(Q$198,Relays,$A488,FALSE),"")</f>
        <v>Bethany Gromski</v>
      </c>
      <c r="R199" s="561"/>
      <c r="S199" s="582" t="str">
        <f>IF(LEN(S$198)&gt;1,HLOOKUP(S$198,Relays,$A488,FALSE),"")</f>
        <v>Megan White</v>
      </c>
      <c r="T199" s="561"/>
      <c r="U199" s="582" t="str">
        <f>IF(LEN(U$198)&gt;1,HLOOKUP(U$198,Relays,$A488,FALSE),"")</f>
        <v/>
      </c>
      <c r="V199" s="584"/>
      <c r="W199" s="606"/>
      <c r="X199" s="512"/>
      <c r="Y199" s="512"/>
      <c r="Z199" s="512"/>
      <c r="AA199" s="512"/>
      <c r="AB199" s="512"/>
      <c r="AC199" s="512"/>
      <c r="AD199" s="512"/>
    </row>
    <row r="200" spans="1:30" x14ac:dyDescent="0.3">
      <c r="A200" s="118" t="str">
        <f>B198&amp;"B"</f>
        <v>82B</v>
      </c>
      <c r="B200" s="506"/>
      <c r="D200" s="479" t="str">
        <f>VLOOKUP(B198,EventsOrder,3,FALSE)</f>
        <v>4 x 100m</v>
      </c>
      <c r="E200" s="56"/>
      <c r="F200" s="534">
        <v>2</v>
      </c>
      <c r="G200" s="609" t="str">
        <f>IF(LEN(G$198)&gt;1,HLOOKUP(G$198,Relays,$A489,FALSE),"")</f>
        <v xml:space="preserve">Isabelle wakeman </v>
      </c>
      <c r="H200" s="562"/>
      <c r="I200" s="582" t="str">
        <f>IF(LEN(I$198)&gt;1,HLOOKUP(I$198,Relays,$A489,FALSE),"")</f>
        <v>Sophie Lawrence</v>
      </c>
      <c r="J200" s="562"/>
      <c r="K200" s="582" t="str">
        <f>IF(LEN(K$198)&gt;1,HLOOKUP(K$198,Relays,$A489,FALSE),"")</f>
        <v xml:space="preserve">Amelija Mendelyte </v>
      </c>
      <c r="L200" s="562"/>
      <c r="M200" s="582" t="str">
        <f>IF(LEN(M$198)&gt;1,HLOOKUP(M$198,Relays,$A489,FALSE),"")</f>
        <v>Elizabeth Fowler</v>
      </c>
      <c r="N200" s="562"/>
      <c r="O200" s="582" t="str">
        <f>IF(LEN(O$198)&gt;1,HLOOKUP(O$198,Relays,$A489,FALSE),"")</f>
        <v>Azucena Cereceda</v>
      </c>
      <c r="P200" s="562"/>
      <c r="Q200" s="582" t="str">
        <f>IF(LEN(Q$198)&gt;1,HLOOKUP(Q$198,Relays,$A489,FALSE),"")</f>
        <v>Ella Dyer</v>
      </c>
      <c r="R200" s="562"/>
      <c r="S200" s="582" t="str">
        <f>IF(LEN(S$198)&gt;1,HLOOKUP(S$198,Relays,$A489,FALSE),"")</f>
        <v>Saskia Atkins</v>
      </c>
      <c r="T200" s="562"/>
      <c r="U200" s="582" t="str">
        <f>IF(LEN(U$198)&gt;1,HLOOKUP(U$198,Relays,$A489,FALSE),"")</f>
        <v/>
      </c>
      <c r="V200" s="586"/>
      <c r="W200" s="606"/>
      <c r="X200" s="512"/>
      <c r="Y200" s="512"/>
      <c r="Z200" s="512"/>
      <c r="AA200" s="512"/>
      <c r="AB200" s="512"/>
      <c r="AC200" s="512"/>
      <c r="AD200" s="512"/>
    </row>
    <row r="201" spans="1:30" x14ac:dyDescent="0.3">
      <c r="A201" s="118" t="str">
        <f>B198&amp;"R"</f>
        <v>82R</v>
      </c>
      <c r="B201" s="506"/>
      <c r="C201" s="550"/>
      <c r="E201" s="56"/>
      <c r="F201" s="534">
        <v>3</v>
      </c>
      <c r="G201" s="609" t="str">
        <f>IF(LEN(G$198)&gt;1,HLOOKUP(G$198,Relays,$A490,FALSE),"")</f>
        <v xml:space="preserve">Indie Upton </v>
      </c>
      <c r="H201" s="560"/>
      <c r="I201" s="582" t="str">
        <f>IF(LEN(I$198)&gt;1,HLOOKUP(I$198,Relays,$A490,FALSE),"")</f>
        <v>Saffron Davies</v>
      </c>
      <c r="J201" s="560"/>
      <c r="K201" s="582" t="str">
        <f>IF(LEN(K$198)&gt;1,HLOOKUP(K$198,Relays,$A490,FALSE),"")</f>
        <v xml:space="preserve">Polly Richards </v>
      </c>
      <c r="L201" s="560"/>
      <c r="M201" s="582" t="str">
        <f>IF(LEN(M$198)&gt;1,HLOOKUP(M$198,Relays,$A490,FALSE),"")</f>
        <v>Molly Dale</v>
      </c>
      <c r="N201" s="560"/>
      <c r="O201" s="582" t="str">
        <f>IF(LEN(O$198)&gt;1,HLOOKUP(O$198,Relays,$A490,FALSE),"")</f>
        <v>Khushi Chanal</v>
      </c>
      <c r="P201" s="560"/>
      <c r="Q201" s="582" t="str">
        <f>IF(LEN(Q$198)&gt;1,HLOOKUP(Q$198,Relays,$A490,FALSE),"")</f>
        <v>Megan Mabey</v>
      </c>
      <c r="R201" s="560"/>
      <c r="S201" s="582" t="str">
        <f>IF(LEN(S$198)&gt;1,HLOOKUP(S$198,Relays,$A490,FALSE),"")</f>
        <v>Florence Castle</v>
      </c>
      <c r="T201" s="560"/>
      <c r="U201" s="582" t="str">
        <f>IF(LEN(U$198)&gt;1,HLOOKUP(U$198,Relays,$A490,FALSE),"")</f>
        <v/>
      </c>
      <c r="V201" s="586"/>
      <c r="W201" s="606"/>
      <c r="X201" s="488"/>
      <c r="Y201" s="488"/>
      <c r="Z201" s="488"/>
      <c r="AA201" s="488"/>
      <c r="AB201" s="488"/>
      <c r="AC201" s="488"/>
      <c r="AD201" s="488"/>
    </row>
    <row r="202" spans="1:30" ht="15" thickBot="1" x14ac:dyDescent="0.35">
      <c r="A202" s="118" t="str">
        <f>B198&amp;"S"</f>
        <v>82S</v>
      </c>
      <c r="B202" s="506"/>
      <c r="C202" s="501"/>
      <c r="D202" s="502"/>
      <c r="E202" s="116"/>
      <c r="F202" s="563">
        <v>4</v>
      </c>
      <c r="G202" s="610" t="str">
        <f>IF(LEN(G$198)&gt;1,HLOOKUP(G$198,Relays,$A491,FALSE),"")</f>
        <v xml:space="preserve">Lila Wilmore </v>
      </c>
      <c r="H202" s="565"/>
      <c r="I202" s="587" t="str">
        <f>IF(LEN(I$198)&gt;1,HLOOKUP(I$198,Relays,$A491,FALSE),"")</f>
        <v>Tavayah Lennox</v>
      </c>
      <c r="J202" s="565"/>
      <c r="K202" s="587" t="str">
        <f>IF(LEN(K$198)&gt;1,HLOOKUP(K$198,Relays,$A491,FALSE),"")</f>
        <v xml:space="preserve">Alice Thompson </v>
      </c>
      <c r="L202" s="565"/>
      <c r="M202" s="587" t="str">
        <f>IF(LEN(M$198)&gt;1,HLOOKUP(M$198,Relays,$A491,FALSE),"")</f>
        <v>Seren Dhami</v>
      </c>
      <c r="N202" s="565"/>
      <c r="O202" s="587" t="str">
        <f>IF(LEN(O$198)&gt;1,HLOOKUP(O$198,Relays,$A491,FALSE),"")</f>
        <v>Beatrix Thompson</v>
      </c>
      <c r="P202" s="565"/>
      <c r="Q202" s="587" t="str">
        <f>IF(LEN(Q$198)&gt;1,HLOOKUP(Q$198,Relays,$A491,FALSE),"")</f>
        <v>Annabelle Hadland</v>
      </c>
      <c r="R202" s="565"/>
      <c r="S202" s="587" t="str">
        <f>IF(LEN(S$198)&gt;1,HLOOKUP(S$198,Relays,$A491,FALSE),"")</f>
        <v>Elsie Gould</v>
      </c>
      <c r="T202" s="565"/>
      <c r="U202" s="587" t="str">
        <f>IF(LEN(U$198)&gt;1,HLOOKUP(U$198,Relays,$A491,FALSE),"")</f>
        <v/>
      </c>
      <c r="V202" s="588"/>
      <c r="W202" s="607"/>
      <c r="X202" s="521"/>
      <c r="Y202" s="521"/>
      <c r="Z202" s="521"/>
      <c r="AA202" s="521"/>
      <c r="AB202" s="521"/>
      <c r="AC202" s="521"/>
      <c r="AD202" s="521"/>
    </row>
    <row r="203" spans="1:30" x14ac:dyDescent="0.3">
      <c r="B203" s="589"/>
      <c r="C203" s="535"/>
      <c r="D203" s="535"/>
      <c r="E203" s="566"/>
      <c r="F203" s="535"/>
      <c r="G203" s="85"/>
      <c r="H203" s="85"/>
      <c r="I203" s="85"/>
      <c r="J203" s="85"/>
      <c r="K203" s="85"/>
      <c r="L203" s="85"/>
      <c r="M203" s="85"/>
      <c r="N203" s="85"/>
      <c r="O203" s="85"/>
      <c r="P203" s="85"/>
      <c r="Q203" s="85"/>
      <c r="R203" s="85"/>
      <c r="S203" s="85"/>
      <c r="T203" s="85"/>
      <c r="U203" s="85" t="s">
        <v>297</v>
      </c>
      <c r="V203" s="85"/>
      <c r="W203" s="590">
        <f>Officials!C$20</f>
        <v>14</v>
      </c>
      <c r="X203" s="591">
        <f>Officials!D$20</f>
        <v>14</v>
      </c>
      <c r="Y203" s="591">
        <f>Officials!E$20</f>
        <v>12</v>
      </c>
      <c r="Z203" s="591">
        <f>Officials!F$20</f>
        <v>14</v>
      </c>
      <c r="AA203" s="591">
        <f>Officials!G$20</f>
        <v>14</v>
      </c>
      <c r="AB203" s="591">
        <f>Officials!H$20</f>
        <v>14</v>
      </c>
      <c r="AC203" s="591">
        <f>Officials!I$20</f>
        <v>14</v>
      </c>
      <c r="AD203" s="592">
        <f>Officials!J$20</f>
        <v>14</v>
      </c>
    </row>
    <row r="204" spans="1:30" ht="15" thickBot="1" x14ac:dyDescent="0.35">
      <c r="B204" s="534">
        <f>COUNTIF(B156:B203,"&gt;0")</f>
        <v>11</v>
      </c>
      <c r="C204" s="535"/>
      <c r="D204" s="535"/>
      <c r="E204" s="566"/>
      <c r="F204" s="535"/>
      <c r="G204" s="85"/>
      <c r="H204" s="85"/>
      <c r="I204" s="85"/>
      <c r="J204" s="85"/>
      <c r="K204" s="85"/>
      <c r="L204" s="85"/>
      <c r="M204" s="85"/>
      <c r="N204" s="85"/>
      <c r="O204" s="85"/>
      <c r="P204" s="85"/>
      <c r="Q204" s="85"/>
      <c r="R204" s="85"/>
      <c r="S204" s="85"/>
      <c r="T204" s="85"/>
      <c r="U204" s="85" t="s">
        <v>295</v>
      </c>
      <c r="V204" s="85"/>
      <c r="W204" s="593">
        <f t="shared" ref="W204:AD204" si="14">SUM(W156:W203)</f>
        <v>121</v>
      </c>
      <c r="X204" s="537">
        <f t="shared" si="14"/>
        <v>121.5</v>
      </c>
      <c r="Y204" s="537">
        <f t="shared" si="14"/>
        <v>88</v>
      </c>
      <c r="Z204" s="537">
        <f t="shared" si="14"/>
        <v>107</v>
      </c>
      <c r="AA204" s="537">
        <f t="shared" si="14"/>
        <v>95</v>
      </c>
      <c r="AB204" s="688">
        <f t="shared" si="14"/>
        <v>107</v>
      </c>
      <c r="AC204" s="537">
        <f t="shared" si="14"/>
        <v>71</v>
      </c>
      <c r="AD204" s="538">
        <f t="shared" si="14"/>
        <v>71.5</v>
      </c>
    </row>
    <row r="205" spans="1:30" ht="15.6" thickTop="1" thickBot="1" x14ac:dyDescent="0.35">
      <c r="B205" s="589"/>
      <c r="C205" s="535"/>
      <c r="D205" s="535"/>
      <c r="E205" s="566"/>
      <c r="F205" s="535"/>
      <c r="G205" s="85"/>
      <c r="H205" s="85"/>
      <c r="I205" s="85"/>
      <c r="J205" s="85"/>
      <c r="K205" s="85"/>
      <c r="L205" s="85"/>
      <c r="M205" s="85"/>
      <c r="N205" s="85"/>
      <c r="O205" s="85"/>
      <c r="P205" s="85"/>
      <c r="Q205" s="85"/>
      <c r="R205" s="85"/>
      <c r="S205" s="85"/>
      <c r="T205" s="85"/>
      <c r="U205" s="85" t="s">
        <v>27</v>
      </c>
      <c r="V205" s="535"/>
      <c r="W205" s="540">
        <f t="shared" ref="W205:AD205" si="15">RANK(W204,$W204:$AD204)</f>
        <v>2</v>
      </c>
      <c r="X205" s="541">
        <f t="shared" si="15"/>
        <v>1</v>
      </c>
      <c r="Y205" s="541">
        <f t="shared" si="15"/>
        <v>6</v>
      </c>
      <c r="Z205" s="541">
        <f t="shared" si="15"/>
        <v>3</v>
      </c>
      <c r="AA205" s="541">
        <f t="shared" si="15"/>
        <v>5</v>
      </c>
      <c r="AB205" s="541">
        <f t="shared" si="15"/>
        <v>3</v>
      </c>
      <c r="AC205" s="541">
        <f t="shared" si="15"/>
        <v>8</v>
      </c>
      <c r="AD205" s="542">
        <f t="shared" si="15"/>
        <v>7</v>
      </c>
    </row>
    <row r="206" spans="1:30" ht="15" thickBot="1" x14ac:dyDescent="0.35">
      <c r="B206" s="589"/>
      <c r="C206"/>
      <c r="D206"/>
      <c r="G206" s="55"/>
      <c r="H206" s="55"/>
      <c r="I206" s="55"/>
      <c r="J206" s="55"/>
      <c r="K206" s="55"/>
      <c r="L206" s="55"/>
      <c r="M206" s="55"/>
      <c r="N206" s="55"/>
      <c r="O206" s="55"/>
      <c r="P206" s="55"/>
      <c r="Q206" s="55"/>
      <c r="R206" s="55"/>
      <c r="S206" s="55"/>
      <c r="T206" s="55"/>
      <c r="U206" s="543"/>
      <c r="V206" s="535"/>
      <c r="W206" s="544"/>
      <c r="X206" s="544"/>
      <c r="Y206" s="544"/>
      <c r="Z206" s="544"/>
      <c r="AA206" s="544"/>
      <c r="AB206" s="544"/>
      <c r="AC206" s="544"/>
      <c r="AD206" s="544"/>
    </row>
    <row r="207" spans="1:30" ht="36" customHeight="1" x14ac:dyDescent="0.3">
      <c r="A207" s="424"/>
      <c r="B207" s="1415" t="s">
        <v>258</v>
      </c>
      <c r="C207" s="448"/>
      <c r="D207" s="468"/>
      <c r="E207" s="469"/>
      <c r="F207" s="467"/>
      <c r="G207" s="567"/>
      <c r="H207" s="567"/>
      <c r="I207" s="568"/>
      <c r="J207" s="567"/>
      <c r="K207" s="689" t="s">
        <v>294</v>
      </c>
      <c r="L207" s="569"/>
      <c r="M207" s="568"/>
      <c r="N207" s="567"/>
      <c r="O207" s="567"/>
      <c r="P207" s="569"/>
      <c r="Q207" s="568"/>
      <c r="R207" s="569"/>
      <c r="S207" s="473"/>
      <c r="T207" s="569"/>
      <c r="U207" s="568"/>
      <c r="V207" s="569"/>
      <c r="W207" s="1411" t="str">
        <f>W$8</f>
        <v>BRAT</v>
      </c>
      <c r="X207" s="1411" t="str">
        <f t="shared" ref="X207:AD207" si="16">X$8</f>
        <v>Kidder &amp; Stourport</v>
      </c>
      <c r="Y207" s="1411" t="str">
        <f t="shared" si="16"/>
        <v>Royal Sutton</v>
      </c>
      <c r="Z207" s="1411" t="str">
        <f t="shared" si="16"/>
        <v>Rugby &amp; N'hampton</v>
      </c>
      <c r="AA207" s="1411" t="str">
        <f t="shared" si="16"/>
        <v>Solihull &amp; S.Heath</v>
      </c>
      <c r="AB207" s="1411" t="str">
        <f t="shared" si="16"/>
        <v>Stratford</v>
      </c>
      <c r="AC207" s="1411" t="str">
        <f t="shared" si="16"/>
        <v>Tamworth</v>
      </c>
      <c r="AD207" s="1411" t="str">
        <f t="shared" si="16"/>
        <v>Worcester</v>
      </c>
    </row>
    <row r="208" spans="1:30" ht="34.5" customHeight="1" thickBot="1" x14ac:dyDescent="0.35">
      <c r="A208" s="424"/>
      <c r="B208" s="1416"/>
      <c r="C208" s="455"/>
      <c r="D208" s="456" t="s">
        <v>64</v>
      </c>
      <c r="E208" s="457">
        <f>'Event Details'!E$9</f>
        <v>1</v>
      </c>
      <c r="F208" s="457"/>
      <c r="G208" s="56"/>
      <c r="H208" s="474" t="s">
        <v>460</v>
      </c>
      <c r="I208" s="459"/>
      <c r="J208" s="433"/>
      <c r="K208" s="460" t="s">
        <v>67</v>
      </c>
      <c r="L208" s="461" t="str">
        <f>'Event Details'!G$17</f>
        <v>Rugby &amp; N'hampton</v>
      </c>
      <c r="M208" s="459"/>
      <c r="N208" s="459"/>
      <c r="O208" s="459"/>
      <c r="P208" s="456"/>
      <c r="Q208" s="460" t="s">
        <v>66</v>
      </c>
      <c r="R208" s="463" t="str">
        <f>'Event Details'!C$17</f>
        <v>17th May 2026</v>
      </c>
      <c r="S208" s="459"/>
      <c r="T208" s="459"/>
      <c r="U208" s="459"/>
      <c r="V208" s="459"/>
      <c r="W208" s="1412"/>
      <c r="X208" s="1412"/>
      <c r="Y208" s="1412"/>
      <c r="Z208" s="1412"/>
      <c r="AA208" s="1412"/>
      <c r="AB208" s="1412"/>
      <c r="AC208" s="1412"/>
      <c r="AD208" s="1412"/>
    </row>
    <row r="209" spans="1:30" ht="15" thickBot="1" x14ac:dyDescent="0.35">
      <c r="B209" s="506"/>
      <c r="C209" s="570" t="s">
        <v>168</v>
      </c>
      <c r="D209" s="33" t="s">
        <v>165</v>
      </c>
      <c r="E209" s="476"/>
      <c r="F209" s="1342" t="s">
        <v>177</v>
      </c>
      <c r="G209" s="1413" t="s">
        <v>286</v>
      </c>
      <c r="H209" s="1413"/>
      <c r="I209" s="1414" t="s">
        <v>287</v>
      </c>
      <c r="J209" s="1414"/>
      <c r="K209" s="1414" t="s">
        <v>288</v>
      </c>
      <c r="L209" s="1414"/>
      <c r="M209" s="1414" t="s">
        <v>289</v>
      </c>
      <c r="N209" s="1414"/>
      <c r="O209" s="1414" t="s">
        <v>290</v>
      </c>
      <c r="P209" s="1414"/>
      <c r="Q209" s="1414" t="s">
        <v>291</v>
      </c>
      <c r="R209" s="1414"/>
      <c r="S209" s="1414" t="s">
        <v>292</v>
      </c>
      <c r="T209" s="1414"/>
      <c r="U209" s="1414" t="s">
        <v>293</v>
      </c>
      <c r="V209" s="1414"/>
      <c r="W209" s="477" t="str">
        <f>W$10</f>
        <v>S</v>
      </c>
      <c r="X209" s="477" t="str">
        <f t="shared" ref="X209:AD209" si="17">X$10</f>
        <v>U</v>
      </c>
      <c r="Y209" s="477" t="str">
        <f t="shared" si="17"/>
        <v>G</v>
      </c>
      <c r="Z209" s="477" t="str">
        <f t="shared" si="17"/>
        <v>R</v>
      </c>
      <c r="AA209" s="477" t="str">
        <f t="shared" si="17"/>
        <v>M</v>
      </c>
      <c r="AB209" s="477" t="str">
        <f t="shared" si="17"/>
        <v>D</v>
      </c>
      <c r="AC209" s="477" t="str">
        <f t="shared" si="17"/>
        <v>F</v>
      </c>
      <c r="AD209" s="477" t="str">
        <f t="shared" si="17"/>
        <v>Y</v>
      </c>
    </row>
    <row r="210" spans="1:30" x14ac:dyDescent="0.3">
      <c r="A210" s="118" t="str">
        <f>B211&amp;"A"</f>
        <v>7A</v>
      </c>
      <c r="B210" s="506"/>
      <c r="C210" s="571"/>
      <c r="D210" s="479" t="str">
        <f>VLOOKUP(B211,EventsOrder,4,FALSE)</f>
        <v>U16 Male</v>
      </c>
      <c r="E210" s="515" t="s">
        <v>149</v>
      </c>
      <c r="F210" s="480"/>
      <c r="G210" s="481" t="str">
        <f>VLOOKUP(($B211*10)+1,Results,$F$3,FALSE)</f>
        <v>Muayyad Mohamed</v>
      </c>
      <c r="H210" s="482"/>
      <c r="I210" s="483" t="str">
        <f>VLOOKUP(($B211*10)+2,Results,$F$3,FALSE)</f>
        <v>Charlie Hughes</v>
      </c>
      <c r="J210" s="482"/>
      <c r="K210" s="483" t="str">
        <f>VLOOKUP(($B211*10)+3,Results,$F$3,FALSE)</f>
        <v>Oscar Farmer</v>
      </c>
      <c r="L210" s="482"/>
      <c r="M210" s="483" t="str">
        <f>VLOOKUP(($B211*10)+4,Results,$F$3,FALSE)</f>
        <v xml:space="preserve">George Stacey Harper </v>
      </c>
      <c r="N210" s="482"/>
      <c r="O210" s="483" t="str">
        <f>VLOOKUP(($B211*10)+5,Results,$F$3,FALSE)</f>
        <v>Nathaniel Chapman</v>
      </c>
      <c r="P210" s="482"/>
      <c r="Q210" s="483" t="str">
        <f>VLOOKUP(($B211*10)+6,Results,$F$3,FALSE)</f>
        <v>Harry Morton</v>
      </c>
      <c r="R210" s="484"/>
      <c r="S210" s="485" t="str">
        <f>VLOOKUP(($B211*10)+7,Results,$F$3,FALSE)</f>
        <v>Gigi Okere</v>
      </c>
      <c r="T210" s="482"/>
      <c r="U210" s="483" t="str">
        <f>VLOOKUP(($B211*10)+8,Results,$F$3,FALSE)</f>
        <v>Arjun Singh Hira</v>
      </c>
      <c r="V210" s="486"/>
      <c r="W210" s="599"/>
      <c r="X210" s="488"/>
      <c r="Y210" s="488"/>
      <c r="Z210" s="488"/>
      <c r="AA210" s="488"/>
      <c r="AB210" s="488"/>
      <c r="AC210" s="488"/>
      <c r="AD210" s="488"/>
    </row>
    <row r="211" spans="1:30" x14ac:dyDescent="0.3">
      <c r="A211" s="118" t="str">
        <f>B211&amp;"A"</f>
        <v>7A</v>
      </c>
      <c r="B211" s="24">
        <v>7</v>
      </c>
      <c r="C211" s="572">
        <f>VLOOKUP(B211,EventsOrder,2,FALSE)</f>
        <v>12</v>
      </c>
      <c r="D211" s="490"/>
      <c r="E211" s="11"/>
      <c r="F211" s="492"/>
      <c r="G211" s="493" t="str">
        <f>VLOOKUP(($B211*10)+1,Results,$G$3,FALSE)</f>
        <v>BRAT</v>
      </c>
      <c r="H211" s="573">
        <f>VLOOKUP(($B211*10)+1,Results,$H$3,FALSE)</f>
        <v>5.72</v>
      </c>
      <c r="I211" s="495" t="str">
        <f>VLOOKUP(($B211*10)+2,Results,$G$3,FALSE)</f>
        <v>Sol</v>
      </c>
      <c r="J211" s="573">
        <f>VLOOKUP(($B211*10)+2,Results,$H$3,FALSE)</f>
        <v>5.4</v>
      </c>
      <c r="K211" s="495" t="str">
        <f>VLOOKUP(($B211*10)+3,Results,$G$3,FALSE)</f>
        <v>Worc</v>
      </c>
      <c r="L211" s="573">
        <f>VLOOKUP(($B211*10)+3,Results,$H$3,FALSE)</f>
        <v>5.17</v>
      </c>
      <c r="M211" s="495" t="str">
        <f>VLOOKUP(($B211*10)+4,Results,$G$3,FALSE)</f>
        <v>Strat</v>
      </c>
      <c r="N211" s="573">
        <f>VLOOKUP(($B211*10)+4,Results,$H$3,FALSE)</f>
        <v>4.83</v>
      </c>
      <c r="O211" s="495" t="str">
        <f>VLOOKUP(($B211*10)+5,Results,$G$3,FALSE)</f>
        <v>Royal</v>
      </c>
      <c r="P211" s="573">
        <f>VLOOKUP(($B211*10)+5,Results,$H$3,FALSE)</f>
        <v>4.7699999999999996</v>
      </c>
      <c r="Q211" s="495" t="str">
        <f>VLOOKUP(($B211*10)+6,Results,$G$3,FALSE)</f>
        <v>K&amp;S</v>
      </c>
      <c r="R211" s="574">
        <f>VLOOKUP(($B211*10)+6,Results,$H$3,FALSE)</f>
        <v>4.57</v>
      </c>
      <c r="S211" s="496" t="str">
        <f>VLOOKUP(($B211*10)+7,Results,$G$3,FALSE)</f>
        <v>Rugby</v>
      </c>
      <c r="T211" s="573">
        <f>VLOOKUP(($B211*10)+7,Results,$H$3,FALSE)</f>
        <v>4.3099999999999996</v>
      </c>
      <c r="U211" s="495" t="str">
        <f>VLOOKUP(($B211*10)+8,Results,$G$3,FALSE)</f>
        <v>Tam</v>
      </c>
      <c r="V211" s="528">
        <f>VLOOKUP(($B211*10)+8,Results,$H$3,FALSE)</f>
        <v>2.98</v>
      </c>
      <c r="W211" s="600">
        <f>VLOOKUP(($B211*10)+1,Results,$I$3,FALSE)</f>
        <v>8</v>
      </c>
      <c r="X211" s="499">
        <f>VLOOKUP(($B211*10)+2,Results,$I$3,FALSE)</f>
        <v>3</v>
      </c>
      <c r="Y211" s="499">
        <f>VLOOKUP(($B211*10)+3,Results,$I$3,FALSE)</f>
        <v>4</v>
      </c>
      <c r="Z211" s="499">
        <f>VLOOKUP(($B211*10)+4,Results,$I$3,FALSE)</f>
        <v>2</v>
      </c>
      <c r="AA211" s="499">
        <f>VLOOKUP(($B211*10)+5,Results,$I$3,FALSE)</f>
        <v>7</v>
      </c>
      <c r="AB211" s="499">
        <f>VLOOKUP(($B211*10)+6,Results,$I$3,FALSE)</f>
        <v>5</v>
      </c>
      <c r="AC211" s="499">
        <f>VLOOKUP(($B211*10)+7,Results,$I$3,FALSE)</f>
        <v>1</v>
      </c>
      <c r="AD211" s="499">
        <f>VLOOKUP(($B211*10)+8,Results,$I$3,FALSE)</f>
        <v>6</v>
      </c>
    </row>
    <row r="212" spans="1:30" x14ac:dyDescent="0.3">
      <c r="A212" s="118" t="str">
        <f>B211&amp;"B"</f>
        <v>7B</v>
      </c>
      <c r="B212" s="506"/>
      <c r="C212" s="572"/>
      <c r="D212" s="479" t="str">
        <f>VLOOKUP(B211,EventsOrder,3,FALSE)</f>
        <v>Long Jump</v>
      </c>
      <c r="E212" s="515" t="s">
        <v>94</v>
      </c>
      <c r="F212" s="529"/>
      <c r="G212" s="547" t="str">
        <f>VLOOKUP(($B211*10)+1,Results,$F$4,FALSE)</f>
        <v>Leo Rice</v>
      </c>
      <c r="H212" s="517"/>
      <c r="I212" s="548" t="str">
        <f>VLOOKUP(($B211*10)+2,Results,$F$4,FALSE)</f>
        <v>Jason Bedford</v>
      </c>
      <c r="J212" s="517"/>
      <c r="K212" s="548" t="str">
        <f>VLOOKUP(($B211*10)+3,Results,$F$4,FALSE)</f>
        <v>Hayden Helme</v>
      </c>
      <c r="L212" s="517"/>
      <c r="M212" s="548" t="str">
        <f>VLOOKUP(($B211*10)+4,Results,$F$4,FALSE)</f>
        <v>Jason Adobor</v>
      </c>
      <c r="N212" s="517"/>
      <c r="O212" s="548" t="str">
        <f>VLOOKUP(($B211*10)+5,Results,$F$4,FALSE)</f>
        <v xml:space="preserve">Jasper Cooper </v>
      </c>
      <c r="P212" s="517"/>
      <c r="Q212" s="548" t="str">
        <f>VLOOKUP(($B211*10)+6,Results,$F$4,FALSE)</f>
        <v/>
      </c>
      <c r="R212" s="549"/>
      <c r="S212" s="575" t="str">
        <f>VLOOKUP(($B211*10)+7,Results,$F$4,FALSE)</f>
        <v/>
      </c>
      <c r="T212" s="517"/>
      <c r="U212" s="548" t="str">
        <f>VLOOKUP(($B211*10)+8,Results,$F$4,FALSE)</f>
        <v/>
      </c>
      <c r="V212" s="519"/>
      <c r="W212" s="599"/>
      <c r="X212" s="488"/>
      <c r="Y212" s="488"/>
      <c r="Z212" s="488"/>
      <c r="AA212" s="488"/>
      <c r="AB212" s="488"/>
      <c r="AC212" s="488"/>
      <c r="AD212" s="488"/>
    </row>
    <row r="213" spans="1:30" ht="15" thickBot="1" x14ac:dyDescent="0.35">
      <c r="A213" s="118" t="str">
        <f>B211&amp;"B"</f>
        <v>7B</v>
      </c>
      <c r="B213" s="506"/>
      <c r="C213" s="576"/>
      <c r="D213" s="502"/>
      <c r="E213" s="523"/>
      <c r="F213" s="503"/>
      <c r="G213" s="554" t="str">
        <f>VLOOKUP(($B211*10)+1,Results,$G$4,FALSE)</f>
        <v>BRAT</v>
      </c>
      <c r="H213" s="573">
        <f>VLOOKUP(($B211*10)+1,Results,$H$4,FALSE)</f>
        <v>5.0199999999999996</v>
      </c>
      <c r="I213" s="495" t="str">
        <f>VLOOKUP(($B211*10)+2,Results,$G$4,FALSE)</f>
        <v>Sol</v>
      </c>
      <c r="J213" s="573">
        <f>VLOOKUP(($B211*10)+2,Results,$H$4,FALSE)</f>
        <v>4.9800000000000004</v>
      </c>
      <c r="K213" s="495" t="str">
        <f>VLOOKUP(($B211*10)+3,Results,$G$4,FALSE)</f>
        <v>Worc</v>
      </c>
      <c r="L213" s="573">
        <f>VLOOKUP(($B211*10)+3,Results,$H$4,FALSE)</f>
        <v>4.84</v>
      </c>
      <c r="M213" s="495" t="str">
        <f>VLOOKUP(($B211*10)+4,Results,$G$4,FALSE)</f>
        <v>Royal</v>
      </c>
      <c r="N213" s="573">
        <f>VLOOKUP(($B211*10)+4,Results,$H$4,FALSE)</f>
        <v>4.67</v>
      </c>
      <c r="O213" s="495" t="str">
        <f>VLOOKUP(($B211*10)+5,Results,$G$4,FALSE)</f>
        <v>Strat</v>
      </c>
      <c r="P213" s="573">
        <f>VLOOKUP(($B211*10)+5,Results,$H$4,FALSE)</f>
        <v>3.56</v>
      </c>
      <c r="Q213" s="495">
        <f>VLOOKUP(($B211*10)+6,Results,$G$4,FALSE)</f>
        <v>0</v>
      </c>
      <c r="R213" s="574">
        <f>VLOOKUP(($B211*10)+6,Results,$H$4,FALSE)</f>
        <v>0</v>
      </c>
      <c r="S213" s="496">
        <f>VLOOKUP(($B211*10)+7,Results,$G$4,FALSE)</f>
        <v>0</v>
      </c>
      <c r="T213" s="573">
        <f>VLOOKUP(($B211*10)+7,Results,$H$4,FALSE)</f>
        <v>0</v>
      </c>
      <c r="U213" s="495">
        <f>VLOOKUP(($B211*10)+8,Results,$G$4,FALSE)</f>
        <v>0</v>
      </c>
      <c r="V213" s="528">
        <f>VLOOKUP(($B211*10)+8,Results,$H$4,FALSE)</f>
        <v>0</v>
      </c>
      <c r="W213" s="600">
        <f>VLOOKUP(($B211*10)+1,Results,$I$4,FALSE)</f>
        <v>8</v>
      </c>
      <c r="X213" s="499">
        <f>VLOOKUP(($B211*10)+2,Results,$I$4,FALSE)</f>
        <v>0</v>
      </c>
      <c r="Y213" s="499">
        <f>VLOOKUP(($B211*10)+3,Results,$I$4,FALSE)</f>
        <v>5</v>
      </c>
      <c r="Z213" s="499">
        <f>VLOOKUP(($B211*10)+4,Results,$I$4,FALSE)</f>
        <v>0</v>
      </c>
      <c r="AA213" s="499">
        <f>VLOOKUP(($B211*10)+5,Results,$I$4,FALSE)</f>
        <v>7</v>
      </c>
      <c r="AB213" s="499">
        <f>VLOOKUP(($B211*10)+6,Results,$I$4,FALSE)</f>
        <v>4</v>
      </c>
      <c r="AC213" s="499">
        <f>VLOOKUP(($B211*10)+7,Results,$I$4,FALSE)</f>
        <v>0</v>
      </c>
      <c r="AD213" s="499">
        <f>VLOOKUP(($B211*10)+8,Results,$I$4,FALSE)</f>
        <v>6</v>
      </c>
    </row>
    <row r="214" spans="1:30" x14ac:dyDescent="0.3">
      <c r="A214" s="118" t="str">
        <f>B215&amp;"A"</f>
        <v>15A</v>
      </c>
      <c r="B214" s="506"/>
      <c r="C214" s="571"/>
      <c r="D214" s="479" t="str">
        <f>VLOOKUP(B215,EventsOrder,4,FALSE)</f>
        <v>U16 Male</v>
      </c>
      <c r="E214" s="515" t="s">
        <v>149</v>
      </c>
      <c r="F214" s="480"/>
      <c r="G214" s="481" t="str">
        <f>VLOOKUP(($B215*10)+1,Results,$F$3,FALSE)</f>
        <v>Zakariya Rush</v>
      </c>
      <c r="H214" s="482"/>
      <c r="I214" s="483" t="str">
        <f>VLOOKUP(($B215*10)+2,Results,$F$3,FALSE)</f>
        <v>Alex Haywood</v>
      </c>
      <c r="J214" s="482"/>
      <c r="K214" s="483" t="str">
        <f>VLOOKUP(($B215*10)+3,Results,$F$3,FALSE)</f>
        <v xml:space="preserve">Carter McKenzie </v>
      </c>
      <c r="L214" s="482"/>
      <c r="M214" s="483" t="str">
        <f>VLOOKUP(($B215*10)+4,Results,$F$3,FALSE)</f>
        <v>Toby Read</v>
      </c>
      <c r="N214" s="482"/>
      <c r="O214" s="483" t="str">
        <f>VLOOKUP(($B215*10)+5,Results,$F$3,FALSE)</f>
        <v>Noah Gordon</v>
      </c>
      <c r="P214" s="482"/>
      <c r="Q214" s="483" t="str">
        <f>VLOOKUP(($B215*10)+6,Results,$F$3,FALSE)</f>
        <v>Huw Mabey</v>
      </c>
      <c r="R214" s="484"/>
      <c r="S214" s="485" t="str">
        <f>VLOOKUP(($B215*10)+7,Results,$F$3,FALSE)</f>
        <v/>
      </c>
      <c r="T214" s="482"/>
      <c r="U214" s="483" t="str">
        <f>VLOOKUP(($B215*10)+8,Results,$F$3,FALSE)</f>
        <v/>
      </c>
      <c r="V214" s="486"/>
      <c r="W214" s="599"/>
      <c r="X214" s="488"/>
      <c r="Y214" s="488"/>
      <c r="Z214" s="488"/>
      <c r="AA214" s="488"/>
      <c r="AB214" s="488"/>
      <c r="AC214" s="488"/>
      <c r="AD214" s="488"/>
    </row>
    <row r="215" spans="1:30" x14ac:dyDescent="0.3">
      <c r="A215" s="118" t="str">
        <f>B215&amp;"A"</f>
        <v>15A</v>
      </c>
      <c r="B215" s="24">
        <v>15</v>
      </c>
      <c r="C215" s="572">
        <f>VLOOKUP(B215,EventsOrder,2,FALSE)</f>
        <v>12.1</v>
      </c>
      <c r="D215" s="490"/>
      <c r="E215" s="11"/>
      <c r="F215" s="492"/>
      <c r="G215" s="493" t="str">
        <f>VLOOKUP(($B215*10)+1,Results,$G$3,FALSE)</f>
        <v>Sol</v>
      </c>
      <c r="H215" s="494" t="str">
        <f>VLOOKUP(($B215*10)+1,Results,$H$3,FALSE)</f>
        <v>2.03.2</v>
      </c>
      <c r="I215" s="495" t="str">
        <f>VLOOKUP(($B215*10)+2,Results,$G$3,FALSE)</f>
        <v>Tam</v>
      </c>
      <c r="J215" s="494" t="str">
        <f>VLOOKUP(($B215*10)+2,Results,$H$3,FALSE)</f>
        <v>2.05.7</v>
      </c>
      <c r="K215" s="495" t="str">
        <f>VLOOKUP(($B215*10)+3,Results,$G$3,FALSE)</f>
        <v>Strat</v>
      </c>
      <c r="L215" s="494" t="str">
        <f>VLOOKUP(($B215*10)+3,Results,$H$3,FALSE)</f>
        <v>2.13.2</v>
      </c>
      <c r="M215" s="495" t="str">
        <f>VLOOKUP(($B215*10)+4,Results,$G$3,FALSE)</f>
        <v>Rugby</v>
      </c>
      <c r="N215" s="494" t="str">
        <f>VLOOKUP(($B215*10)+4,Results,$H$3,FALSE)</f>
        <v>2.14.2</v>
      </c>
      <c r="O215" s="495" t="str">
        <f>VLOOKUP(($B215*10)+5,Results,$G$3,FALSE)</f>
        <v>BRAT</v>
      </c>
      <c r="P215" s="494" t="str">
        <f>VLOOKUP(($B215*10)+5,Results,$H$3,FALSE)</f>
        <v>2.14.7</v>
      </c>
      <c r="Q215" s="495" t="str">
        <f>VLOOKUP(($B215*10)+6,Results,$G$3,FALSE)</f>
        <v>Worc</v>
      </c>
      <c r="R215" s="495" t="str">
        <f>VLOOKUP(($B215*10)+6,Results,$H$3,FALSE)</f>
        <v>2.26.2</v>
      </c>
      <c r="S215" s="496">
        <f>VLOOKUP(($B215*10)+7,Results,$G$3,FALSE)</f>
        <v>0</v>
      </c>
      <c r="T215" s="494">
        <f>VLOOKUP(($B215*10)+7,Results,$H$3,FALSE)</f>
        <v>0</v>
      </c>
      <c r="U215" s="495">
        <f>VLOOKUP(($B215*10)+8,Results,$G$3,FALSE)</f>
        <v>0</v>
      </c>
      <c r="V215" s="497">
        <f>VLOOKUP(($B215*10)+8,Results,$H$3,FALSE)</f>
        <v>0</v>
      </c>
      <c r="W215" s="600">
        <f>VLOOKUP(($B215*10)+1,Results,$I$3,FALSE)</f>
        <v>4</v>
      </c>
      <c r="X215" s="499">
        <f>VLOOKUP(($B215*10)+2,Results,$I$3,FALSE)</f>
        <v>0</v>
      </c>
      <c r="Y215" s="499">
        <f>VLOOKUP(($B215*10)+3,Results,$I$3,FALSE)</f>
        <v>0</v>
      </c>
      <c r="Z215" s="499">
        <f>VLOOKUP(($B215*10)+4,Results,$I$3,FALSE)</f>
        <v>5</v>
      </c>
      <c r="AA215" s="499">
        <f>VLOOKUP(($B215*10)+5,Results,$I$3,FALSE)</f>
        <v>8</v>
      </c>
      <c r="AB215" s="499">
        <f>VLOOKUP(($B215*10)+6,Results,$I$3,FALSE)</f>
        <v>6</v>
      </c>
      <c r="AC215" s="499">
        <f>VLOOKUP(($B215*10)+7,Results,$I$3,FALSE)</f>
        <v>7</v>
      </c>
      <c r="AD215" s="499">
        <f>VLOOKUP(($B215*10)+8,Results,$I$3,FALSE)</f>
        <v>3</v>
      </c>
    </row>
    <row r="216" spans="1:30" x14ac:dyDescent="0.3">
      <c r="A216" s="118" t="str">
        <f>B215&amp;"B"</f>
        <v>15B</v>
      </c>
      <c r="B216" s="506"/>
      <c r="C216" s="572"/>
      <c r="D216" s="479" t="str">
        <f>VLOOKUP(B215,EventsOrder,3,FALSE)</f>
        <v>800m</v>
      </c>
      <c r="E216" s="515" t="s">
        <v>94</v>
      </c>
      <c r="F216" s="529"/>
      <c r="G216" s="547" t="str">
        <f>VLOOKUP(($B215*10)+1,Results,$F$4,FALSE)</f>
        <v>Luca Woodley</v>
      </c>
      <c r="H216" s="517"/>
      <c r="I216" s="548" t="str">
        <f>VLOOKUP(($B215*10)+2,Results,$F$4,FALSE)</f>
        <v>Isaac Brierley York</v>
      </c>
      <c r="J216" s="517"/>
      <c r="K216" s="548" t="str">
        <f>VLOOKUP(($B215*10)+3,Results,$F$4,FALSE)</f>
        <v>Mustopha Bailey</v>
      </c>
      <c r="L216" s="517"/>
      <c r="M216" s="548" t="str">
        <f>VLOOKUP(($B215*10)+4,Results,$F$4,FALSE)</f>
        <v>Alex Hall</v>
      </c>
      <c r="N216" s="517"/>
      <c r="O216" s="548" t="str">
        <f>VLOOKUP(($B215*10)+5,Results,$F$4,FALSE)</f>
        <v>Morgan Nabney</v>
      </c>
      <c r="P216" s="517"/>
      <c r="Q216" s="548" t="str">
        <f>VLOOKUP(($B215*10)+6,Results,$F$4,FALSE)</f>
        <v/>
      </c>
      <c r="R216" s="549"/>
      <c r="S216" s="575" t="str">
        <f>VLOOKUP(($B215*10)+7,Results,$F$4,FALSE)</f>
        <v/>
      </c>
      <c r="T216" s="517"/>
      <c r="U216" s="548" t="str">
        <f>VLOOKUP(($B215*10)+8,Results,$F$4,FALSE)</f>
        <v/>
      </c>
      <c r="V216" s="519"/>
      <c r="W216" s="599"/>
      <c r="X216" s="488"/>
      <c r="Y216" s="488"/>
      <c r="Z216" s="488"/>
      <c r="AA216" s="488"/>
      <c r="AB216" s="488"/>
      <c r="AC216" s="488"/>
      <c r="AD216" s="488"/>
    </row>
    <row r="217" spans="1:30" ht="15" thickBot="1" x14ac:dyDescent="0.35">
      <c r="A217" s="118" t="str">
        <f>B215&amp;"B"</f>
        <v>15B</v>
      </c>
      <c r="B217" s="506"/>
      <c r="C217" s="576"/>
      <c r="D217" s="502"/>
      <c r="E217" s="523"/>
      <c r="F217" s="503"/>
      <c r="G217" s="554" t="str">
        <f>VLOOKUP(($B215*10)+1,Results,$G$4,FALSE)</f>
        <v>Sol</v>
      </c>
      <c r="H217" s="577" t="str">
        <f>VLOOKUP(($B215*10)+1,Results,$H$4,FALSE)</f>
        <v>2.12.0</v>
      </c>
      <c r="I217" s="556" t="str">
        <f>VLOOKUP(($B215*10)+2,Results,$G$4,FALSE)</f>
        <v>Rugby</v>
      </c>
      <c r="J217" s="577" t="str">
        <f>VLOOKUP(($B215*10)+2,Results,$H$4,FALSE)</f>
        <v>2.14.9</v>
      </c>
      <c r="K217" s="556" t="str">
        <f>VLOOKUP(($B215*10)+3,Results,$G$4,FALSE)</f>
        <v>BRAT</v>
      </c>
      <c r="L217" s="577" t="str">
        <f>VLOOKUP(($B215*10)+3,Results,$H$4,FALSE)</f>
        <v>2.15.6</v>
      </c>
      <c r="M217" s="556" t="str">
        <f>VLOOKUP(($B215*10)+4,Results,$G$4,FALSE)</f>
        <v>Tam</v>
      </c>
      <c r="N217" s="577" t="str">
        <f>VLOOKUP(($B215*10)+4,Results,$H$4,FALSE)</f>
        <v>2.22.6</v>
      </c>
      <c r="O217" s="556" t="str">
        <f>VLOOKUP(($B215*10)+5,Results,$G$4,FALSE)</f>
        <v>Strat</v>
      </c>
      <c r="P217" s="577" t="str">
        <f>VLOOKUP(($B215*10)+5,Results,$H$4,FALSE)</f>
        <v>2.25.2</v>
      </c>
      <c r="Q217" s="556">
        <f>VLOOKUP(($B215*10)+6,Results,$G$4,FALSE)</f>
        <v>0</v>
      </c>
      <c r="R217" s="577">
        <f>VLOOKUP(($B215*10)+6,Results,$H$4,FALSE)</f>
        <v>0</v>
      </c>
      <c r="S217" s="556">
        <f>VLOOKUP(($B215*10)+7,Results,$G$4,FALSE)</f>
        <v>0</v>
      </c>
      <c r="T217" s="577">
        <f>VLOOKUP(($B215*10)+7,Results,$H$4,FALSE)</f>
        <v>0</v>
      </c>
      <c r="U217" s="556">
        <f>VLOOKUP(($B215*10)+8,Results,$G$4,FALSE)</f>
        <v>0</v>
      </c>
      <c r="V217" s="578">
        <f>VLOOKUP(($B215*10)+8,Results,$H$4,FALSE)</f>
        <v>0</v>
      </c>
      <c r="W217" s="600">
        <f>VLOOKUP(($B215*10)+1,Results,$I$4,FALSE)</f>
        <v>6</v>
      </c>
      <c r="X217" s="499">
        <f>VLOOKUP(($B215*10)+2,Results,$I$4,FALSE)</f>
        <v>0</v>
      </c>
      <c r="Y217" s="499">
        <f>VLOOKUP(($B215*10)+3,Results,$I$4,FALSE)</f>
        <v>0</v>
      </c>
      <c r="Z217" s="499">
        <f>VLOOKUP(($B215*10)+4,Results,$I$4,FALSE)</f>
        <v>7</v>
      </c>
      <c r="AA217" s="499">
        <f>VLOOKUP(($B215*10)+5,Results,$I$4,FALSE)</f>
        <v>8</v>
      </c>
      <c r="AB217" s="499">
        <f>VLOOKUP(($B215*10)+6,Results,$I$4,FALSE)</f>
        <v>4</v>
      </c>
      <c r="AC217" s="499">
        <f>VLOOKUP(($B215*10)+7,Results,$I$4,FALSE)</f>
        <v>5</v>
      </c>
      <c r="AD217" s="499">
        <f>VLOOKUP(($B215*10)+8,Results,$I$4,FALSE)</f>
        <v>0</v>
      </c>
    </row>
    <row r="218" spans="1:30" x14ac:dyDescent="0.3">
      <c r="A218" s="118" t="str">
        <f>B219&amp;"A"</f>
        <v>20A</v>
      </c>
      <c r="B218" s="506"/>
      <c r="C218" s="571"/>
      <c r="D218" s="479" t="str">
        <f>VLOOKUP(B219,EventsOrder,4,FALSE)</f>
        <v>U16 Male</v>
      </c>
      <c r="E218" s="515" t="s">
        <v>149</v>
      </c>
      <c r="F218" s="480"/>
      <c r="G218" s="481" t="str">
        <f>VLOOKUP(($B219*10)+1,Results,$F$3,FALSE)</f>
        <v>Finn Jackson</v>
      </c>
      <c r="H218" s="482"/>
      <c r="I218" s="483" t="str">
        <f>VLOOKUP(($B219*10)+2,Results,$F$3,FALSE)</f>
        <v>Sammy Chang</v>
      </c>
      <c r="J218" s="482"/>
      <c r="K218" s="483" t="str">
        <f>VLOOKUP(($B219*10)+3,Results,$F$3,FALSE)</f>
        <v>Bertie Albatov</v>
      </c>
      <c r="L218" s="482"/>
      <c r="M218" s="483" t="str">
        <f>VLOOKUP(($B219*10)+4,Results,$F$3,FALSE)</f>
        <v>Harry Morton</v>
      </c>
      <c r="N218" s="482"/>
      <c r="O218" s="483" t="str">
        <f>VLOOKUP(($B219*10)+5,Results,$F$3,FALSE)</f>
        <v>Luke Ager</v>
      </c>
      <c r="P218" s="482"/>
      <c r="Q218" s="483" t="str">
        <f>VLOOKUP(($B219*10)+6,Results,$F$3,FALSE)</f>
        <v/>
      </c>
      <c r="R218" s="484"/>
      <c r="S218" s="485" t="str">
        <f>VLOOKUP(($B219*10)+7,Results,$F$3,FALSE)</f>
        <v/>
      </c>
      <c r="T218" s="482"/>
      <c r="U218" s="483" t="str">
        <f>VLOOKUP(($B219*10)+8,Results,$F$3,FALSE)</f>
        <v/>
      </c>
      <c r="V218" s="486"/>
      <c r="W218" s="599"/>
      <c r="X218" s="488"/>
      <c r="Y218" s="488"/>
      <c r="Z218" s="488"/>
      <c r="AA218" s="488"/>
      <c r="AB218" s="488"/>
      <c r="AC218" s="488"/>
      <c r="AD218" s="488"/>
    </row>
    <row r="219" spans="1:30" x14ac:dyDescent="0.3">
      <c r="A219" s="118" t="str">
        <f>B219&amp;"A"</f>
        <v>20A</v>
      </c>
      <c r="B219" s="24">
        <v>20</v>
      </c>
      <c r="C219" s="572">
        <f>VLOOKUP(B219,EventsOrder,2,FALSE)</f>
        <v>12.5</v>
      </c>
      <c r="D219" s="490"/>
      <c r="E219" s="11"/>
      <c r="F219" s="492"/>
      <c r="G219" s="493" t="str">
        <f>VLOOKUP(($B219*10)+1,Results,$G$3,FALSE)</f>
        <v>Strat</v>
      </c>
      <c r="H219" s="505">
        <f>VLOOKUP(($B219*10)+1,Results,$H$3,FALSE)</f>
        <v>14.8</v>
      </c>
      <c r="I219" s="495" t="str">
        <f>VLOOKUP(($B219*10)+2,Results,$G$3,FALSE)</f>
        <v>Rugby</v>
      </c>
      <c r="J219" s="505">
        <f>VLOOKUP(($B219*10)+2,Results,$H$3,FALSE)</f>
        <v>15.3</v>
      </c>
      <c r="K219" s="495" t="str">
        <f>VLOOKUP(($B219*10)+3,Results,$G$3,FALSE)</f>
        <v>BRAT</v>
      </c>
      <c r="L219" s="505">
        <f>VLOOKUP(($B219*10)+3,Results,$H$3,FALSE)</f>
        <v>15.4</v>
      </c>
      <c r="M219" s="495" t="str">
        <f>VLOOKUP(($B219*10)+4,Results,$G$3,FALSE)</f>
        <v>K&amp;S</v>
      </c>
      <c r="N219" s="505">
        <f>VLOOKUP(($B219*10)+4,Results,$H$3,FALSE)</f>
        <v>15.6</v>
      </c>
      <c r="O219" s="495" t="str">
        <f>VLOOKUP(($B219*10)+5,Results,$G$3,FALSE)</f>
        <v>Sol</v>
      </c>
      <c r="P219" s="505">
        <f>VLOOKUP(($B219*10)+5,Results,$H$3,FALSE)</f>
        <v>16.899999999999999</v>
      </c>
      <c r="Q219" s="495">
        <f>VLOOKUP(($B219*10)+6,Results,$G$3,FALSE)</f>
        <v>0</v>
      </c>
      <c r="R219" s="505">
        <f>VLOOKUP(($B219*10)+6,Results,$H$3,FALSE)</f>
        <v>0</v>
      </c>
      <c r="S219" s="496">
        <f>VLOOKUP(($B219*10)+7,Results,$G$3,FALSE)</f>
        <v>0</v>
      </c>
      <c r="T219" s="505">
        <f>VLOOKUP(($B219*10)+7,Results,$H$3,FALSE)</f>
        <v>0</v>
      </c>
      <c r="U219" s="495">
        <f>VLOOKUP(($B219*10)+8,Results,$G$3,FALSE)</f>
        <v>0</v>
      </c>
      <c r="V219" s="601">
        <f>VLOOKUP(($B219*10)+8,Results,$H$3,FALSE)</f>
        <v>0</v>
      </c>
      <c r="W219" s="600">
        <f>VLOOKUP(($B219*10)+1,Results,$I$3,FALSE)</f>
        <v>6</v>
      </c>
      <c r="X219" s="499">
        <f>VLOOKUP(($B219*10)+2,Results,$I$3,FALSE)</f>
        <v>5</v>
      </c>
      <c r="Y219" s="499">
        <f>VLOOKUP(($B219*10)+3,Results,$I$3,FALSE)</f>
        <v>0</v>
      </c>
      <c r="Z219" s="499">
        <f>VLOOKUP(($B219*10)+4,Results,$I$3,FALSE)</f>
        <v>7</v>
      </c>
      <c r="AA219" s="499">
        <f>VLOOKUP(($B219*10)+5,Results,$I$3,FALSE)</f>
        <v>4</v>
      </c>
      <c r="AB219" s="499">
        <f>VLOOKUP(($B219*10)+6,Results,$I$3,FALSE)</f>
        <v>8</v>
      </c>
      <c r="AC219" s="499">
        <f>VLOOKUP(($B219*10)+7,Results,$I$3,FALSE)</f>
        <v>0</v>
      </c>
      <c r="AD219" s="499">
        <f>VLOOKUP(($B219*10)+8,Results,$I$3,FALSE)</f>
        <v>0</v>
      </c>
    </row>
    <row r="220" spans="1:30" x14ac:dyDescent="0.3">
      <c r="A220" s="118" t="str">
        <f>B219&amp;"B"</f>
        <v>20B</v>
      </c>
      <c r="B220" s="506"/>
      <c r="C220" s="572"/>
      <c r="D220" s="479" t="str">
        <f>VLOOKUP(B219,EventsOrder,3,FALSE)</f>
        <v>100m hurdles</v>
      </c>
      <c r="E220" s="515" t="s">
        <v>94</v>
      </c>
      <c r="F220" s="529"/>
      <c r="G220" s="547" t="str">
        <f>VLOOKUP(($B219*10)+1,Results,$F$4,FALSE)</f>
        <v>Toby Hughes Webb</v>
      </c>
      <c r="H220" s="517"/>
      <c r="I220" s="548" t="str">
        <f>VLOOKUP(($B219*10)+2,Results,$F$4,FALSE)</f>
        <v>Eben Ashton</v>
      </c>
      <c r="J220" s="517"/>
      <c r="K220" s="548" t="str">
        <f>VLOOKUP(($B219*10)+3,Results,$F$4,FALSE)</f>
        <v>Joe White</v>
      </c>
      <c r="L220" s="517"/>
      <c r="M220" s="548" t="str">
        <f>VLOOKUP(($B219*10)+4,Results,$F$4,FALSE)</f>
        <v/>
      </c>
      <c r="N220" s="517"/>
      <c r="O220" s="548" t="str">
        <f>VLOOKUP(($B219*10)+5,Results,$F$4,FALSE)</f>
        <v/>
      </c>
      <c r="P220" s="517"/>
      <c r="Q220" s="548" t="str">
        <f>VLOOKUP(($B219*10)+6,Results,$F$4,FALSE)</f>
        <v/>
      </c>
      <c r="R220" s="549"/>
      <c r="S220" s="575" t="str">
        <f>VLOOKUP(($B219*10)+7,Results,$F$4,FALSE)</f>
        <v/>
      </c>
      <c r="T220" s="517"/>
      <c r="U220" s="548" t="str">
        <f>VLOOKUP(($B219*10)+8,Results,$F$4,FALSE)</f>
        <v/>
      </c>
      <c r="V220" s="519"/>
      <c r="W220" s="599"/>
      <c r="X220" s="488"/>
      <c r="Y220" s="488"/>
      <c r="Z220" s="488"/>
      <c r="AA220" s="488"/>
      <c r="AB220" s="488"/>
      <c r="AC220" s="488"/>
      <c r="AD220" s="488"/>
    </row>
    <row r="221" spans="1:30" ht="15" thickBot="1" x14ac:dyDescent="0.35">
      <c r="A221" s="118" t="str">
        <f>B219&amp;"B"</f>
        <v>20B</v>
      </c>
      <c r="B221" s="506"/>
      <c r="C221" s="576"/>
      <c r="D221" s="502"/>
      <c r="E221" s="523"/>
      <c r="F221" s="503"/>
      <c r="G221" s="554" t="str">
        <f>VLOOKUP(($B219*10)+1,Results,$G$4,FALSE)</f>
        <v>Strat</v>
      </c>
      <c r="H221" s="505">
        <f>VLOOKUP(($B219*10)+1,Results,$H$4,FALSE)</f>
        <v>15.4</v>
      </c>
      <c r="I221" s="556" t="str">
        <f>VLOOKUP(($B219*10)+2,Results,$G$4,FALSE)</f>
        <v>BRAT</v>
      </c>
      <c r="J221" s="505">
        <f>VLOOKUP(($B219*10)+2,Results,$H$4,FALSE)</f>
        <v>15.9</v>
      </c>
      <c r="K221" s="556" t="str">
        <f>VLOOKUP(($B219*10)+3,Results,$G$4,FALSE)</f>
        <v>Rugby</v>
      </c>
      <c r="L221" s="505">
        <f>VLOOKUP(($B219*10)+3,Results,$H$4,FALSE)</f>
        <v>18</v>
      </c>
      <c r="M221" s="556">
        <f>VLOOKUP(($B219*10)+4,Results,$G$4,FALSE)</f>
        <v>0</v>
      </c>
      <c r="N221" s="505">
        <f>VLOOKUP(($B219*10)+4,Results,$H$4,FALSE)</f>
        <v>0</v>
      </c>
      <c r="O221" s="556">
        <f>VLOOKUP(($B219*10)+5,Results,$G$4,FALSE)</f>
        <v>0</v>
      </c>
      <c r="P221" s="505">
        <f>VLOOKUP(($B219*10)+5,Results,$H$4,FALSE)</f>
        <v>0</v>
      </c>
      <c r="Q221" s="556">
        <f>VLOOKUP(($B219*10)+6,Results,$G$4,FALSE)</f>
        <v>0</v>
      </c>
      <c r="R221" s="505">
        <f>VLOOKUP(($B219*10)+6,Results,$H$4,FALSE)</f>
        <v>0</v>
      </c>
      <c r="S221" s="556">
        <f>VLOOKUP(($B219*10)+7,Results,$G$4,FALSE)</f>
        <v>0</v>
      </c>
      <c r="T221" s="505">
        <f>VLOOKUP(($B219*10)+7,Results,$H$4,FALSE)</f>
        <v>0</v>
      </c>
      <c r="U221" s="556">
        <f>VLOOKUP(($B219*10)+8,Results,$G$4,FALSE)</f>
        <v>0</v>
      </c>
      <c r="V221" s="601">
        <f>VLOOKUP(($B219*10)+8,Results,$H$4,FALSE)</f>
        <v>0</v>
      </c>
      <c r="W221" s="600">
        <f>VLOOKUP(($B219*10)+1,Results,$I$4,FALSE)</f>
        <v>7</v>
      </c>
      <c r="X221" s="499">
        <f>VLOOKUP(($B219*10)+2,Results,$I$4,FALSE)</f>
        <v>0</v>
      </c>
      <c r="Y221" s="499">
        <f>VLOOKUP(($B219*10)+3,Results,$I$4,FALSE)</f>
        <v>0</v>
      </c>
      <c r="Z221" s="499">
        <f>VLOOKUP(($B219*10)+4,Results,$I$4,FALSE)</f>
        <v>6</v>
      </c>
      <c r="AA221" s="499">
        <f>VLOOKUP(($B219*10)+5,Results,$I$4,FALSE)</f>
        <v>0</v>
      </c>
      <c r="AB221" s="499">
        <f>VLOOKUP(($B219*10)+6,Results,$I$4,FALSE)</f>
        <v>8</v>
      </c>
      <c r="AC221" s="499">
        <f>VLOOKUP(($B219*10)+7,Results,$I$4,FALSE)</f>
        <v>0</v>
      </c>
      <c r="AD221" s="499">
        <f>VLOOKUP(($B219*10)+8,Results,$I$4,FALSE)</f>
        <v>0</v>
      </c>
    </row>
    <row r="222" spans="1:30" x14ac:dyDescent="0.3">
      <c r="A222" s="118" t="str">
        <f>B223&amp;"A"</f>
        <v>22A</v>
      </c>
      <c r="B222" s="506"/>
      <c r="C222" s="571"/>
      <c r="D222" s="479" t="str">
        <f>VLOOKUP(B223,EventsOrder,4,FALSE)</f>
        <v>U16 Male</v>
      </c>
      <c r="E222" s="515" t="s">
        <v>149</v>
      </c>
      <c r="F222" s="480"/>
      <c r="G222" s="481" t="str">
        <f>VLOOKUP(($B223*10)+1,Results,$F$3,FALSE)</f>
        <v>Heinrich</v>
      </c>
      <c r="H222" s="482"/>
      <c r="I222" s="483" t="str">
        <f>VLOOKUP(($B223*10)+2,Results,$F$3,FALSE)</f>
        <v>Dexter Barrett</v>
      </c>
      <c r="J222" s="482"/>
      <c r="K222" s="483" t="str">
        <f>VLOOKUP(($B223*10)+3,Results,$F$3,FALSE)</f>
        <v>Louis Matthews</v>
      </c>
      <c r="L222" s="482"/>
      <c r="M222" s="483" t="str">
        <f>VLOOKUP(($B223*10)+4,Results,$F$3,FALSE)</f>
        <v>Toby Wilkinson</v>
      </c>
      <c r="N222" s="482"/>
      <c r="O222" s="483" t="str">
        <f>VLOOKUP(($B223*10)+5,Results,$F$3,FALSE)</f>
        <v>Huw Mabey</v>
      </c>
      <c r="P222" s="482"/>
      <c r="Q222" s="483" t="str">
        <f>VLOOKUP(($B223*10)+6,Results,$F$3,FALSE)</f>
        <v>Luca Woodley</v>
      </c>
      <c r="R222" s="484"/>
      <c r="S222" s="485" t="str">
        <f>VLOOKUP(($B223*10)+7,Results,$F$3,FALSE)</f>
        <v>Oscar Brehler</v>
      </c>
      <c r="T222" s="482"/>
      <c r="U222" s="483" t="str">
        <f>VLOOKUP(($B223*10)+8,Results,$F$3,FALSE)</f>
        <v/>
      </c>
      <c r="V222" s="486"/>
      <c r="W222" s="599"/>
      <c r="X222" s="488"/>
      <c r="Y222" s="488"/>
      <c r="Z222" s="488"/>
      <c r="AA222" s="488"/>
      <c r="AB222" s="488"/>
      <c r="AC222" s="488"/>
      <c r="AD222" s="488"/>
    </row>
    <row r="223" spans="1:30" x14ac:dyDescent="0.3">
      <c r="A223" s="118" t="str">
        <f>B223&amp;"A"</f>
        <v>22A</v>
      </c>
      <c r="B223" s="24">
        <v>22</v>
      </c>
      <c r="C223" s="572">
        <f>VLOOKUP(B223,EventsOrder,2,FALSE)</f>
        <v>1</v>
      </c>
      <c r="D223" s="490"/>
      <c r="E223" s="11"/>
      <c r="F223" s="492"/>
      <c r="G223" s="493" t="str">
        <f>VLOOKUP(($B223*10)+1,Results,$G$3,FALSE)</f>
        <v>BRAT</v>
      </c>
      <c r="H223" s="573">
        <f>VLOOKUP(($B223*10)+1,Results,$H$3,FALSE)</f>
        <v>11.33</v>
      </c>
      <c r="I223" s="495" t="str">
        <f>VLOOKUP(($B223*10)+2,Results,$G$3,FALSE)</f>
        <v>Rugby</v>
      </c>
      <c r="J223" s="573">
        <f>VLOOKUP(($B223*10)+2,Results,$H$3,FALSE)</f>
        <v>10.63</v>
      </c>
      <c r="K223" s="495" t="str">
        <f>VLOOKUP(($B223*10)+3,Results,$G$3,FALSE)</f>
        <v>Royal</v>
      </c>
      <c r="L223" s="573">
        <f>VLOOKUP(($B223*10)+3,Results,$H$3,FALSE)</f>
        <v>9.94</v>
      </c>
      <c r="M223" s="495" t="str">
        <f>VLOOKUP(($B223*10)+4,Results,$G$3,FALSE)</f>
        <v>Strat</v>
      </c>
      <c r="N223" s="573">
        <f>VLOOKUP(($B223*10)+4,Results,$H$3,FALSE)</f>
        <v>8.67</v>
      </c>
      <c r="O223" s="495" t="str">
        <f>VLOOKUP(($B223*10)+5,Results,$G$3,FALSE)</f>
        <v>Worc</v>
      </c>
      <c r="P223" s="573">
        <f>VLOOKUP(($B223*10)+5,Results,$H$3,FALSE)</f>
        <v>8.4600000000000009</v>
      </c>
      <c r="Q223" s="495" t="str">
        <f>VLOOKUP(($B223*10)+6,Results,$G$3,FALSE)</f>
        <v>Sol</v>
      </c>
      <c r="R223" s="574">
        <f>VLOOKUP(($B223*10)+6,Results,$H$3,FALSE)</f>
        <v>8.07</v>
      </c>
      <c r="S223" s="496" t="str">
        <f>VLOOKUP(($B223*10)+7,Results,$G$3,FALSE)</f>
        <v>Tam</v>
      </c>
      <c r="T223" s="573">
        <f>VLOOKUP(($B223*10)+7,Results,$H$3,FALSE)</f>
        <v>7.04</v>
      </c>
      <c r="U223" s="495">
        <f>VLOOKUP(($B223*10)+8,Results,$G$3,FALSE)</f>
        <v>0</v>
      </c>
      <c r="V223" s="528">
        <f>VLOOKUP(($B223*10)+8,Results,$H$3,FALSE)</f>
        <v>0</v>
      </c>
      <c r="W223" s="600">
        <f>VLOOKUP(($B223*10)+1,Results,$I$3,FALSE)</f>
        <v>8</v>
      </c>
      <c r="X223" s="499">
        <f>VLOOKUP(($B223*10)+2,Results,$I$3,FALSE)</f>
        <v>0</v>
      </c>
      <c r="Y223" s="499">
        <f>VLOOKUP(($B223*10)+3,Results,$I$3,FALSE)</f>
        <v>6</v>
      </c>
      <c r="Z223" s="499">
        <f>VLOOKUP(($B223*10)+4,Results,$I$3,FALSE)</f>
        <v>7</v>
      </c>
      <c r="AA223" s="499">
        <f>VLOOKUP(($B223*10)+5,Results,$I$3,FALSE)</f>
        <v>3</v>
      </c>
      <c r="AB223" s="499">
        <f>VLOOKUP(($B223*10)+6,Results,$I$3,FALSE)</f>
        <v>5</v>
      </c>
      <c r="AC223" s="499">
        <f>VLOOKUP(($B223*10)+7,Results,$I$3,FALSE)</f>
        <v>2</v>
      </c>
      <c r="AD223" s="499">
        <f>VLOOKUP(($B223*10)+8,Results,$I$3,FALSE)</f>
        <v>4</v>
      </c>
    </row>
    <row r="224" spans="1:30" x14ac:dyDescent="0.3">
      <c r="A224" s="118" t="str">
        <f>B223&amp;"B"</f>
        <v>22B</v>
      </c>
      <c r="B224" s="506"/>
      <c r="C224" s="572"/>
      <c r="D224" s="479" t="str">
        <f>VLOOKUP(B223,EventsOrder,3,FALSE)</f>
        <v>Shot</v>
      </c>
      <c r="E224" s="515" t="s">
        <v>94</v>
      </c>
      <c r="F224" s="529"/>
      <c r="G224" s="547" t="str">
        <f>VLOOKUP(($B223*10)+1,Results,$F$4,FALSE)</f>
        <v xml:space="preserve">Austin Demanya </v>
      </c>
      <c r="H224" s="517"/>
      <c r="I224" s="548" t="str">
        <f>VLOOKUP(($B223*10)+2,Results,$F$4,FALSE)</f>
        <v>Matei Cosciug</v>
      </c>
      <c r="J224" s="517"/>
      <c r="K224" s="548" t="str">
        <f>VLOOKUP(($B223*10)+3,Results,$F$4,FALSE)</f>
        <v>Zac Birch</v>
      </c>
      <c r="L224" s="517"/>
      <c r="M224" s="548" t="str">
        <f>VLOOKUP(($B223*10)+4,Results,$F$4,FALSE)</f>
        <v>Elijah Simpson</v>
      </c>
      <c r="N224" s="517"/>
      <c r="O224" s="548" t="str">
        <f>VLOOKUP(($B223*10)+5,Results,$F$4,FALSE)</f>
        <v>Hayden Helme</v>
      </c>
      <c r="P224" s="517"/>
      <c r="Q224" s="548" t="str">
        <f>VLOOKUP(($B223*10)+6,Results,$F$4,FALSE)</f>
        <v>Amos Aucutt</v>
      </c>
      <c r="R224" s="549"/>
      <c r="S224" s="575" t="str">
        <f>VLOOKUP(($B223*10)+7,Results,$F$4,FALSE)</f>
        <v/>
      </c>
      <c r="T224" s="517"/>
      <c r="U224" s="548" t="str">
        <f>VLOOKUP(($B223*10)+8,Results,$F$4,FALSE)</f>
        <v/>
      </c>
      <c r="V224" s="519"/>
      <c r="W224" s="599"/>
      <c r="X224" s="488"/>
      <c r="Y224" s="488"/>
      <c r="Z224" s="488"/>
      <c r="AA224" s="488"/>
      <c r="AB224" s="488"/>
      <c r="AC224" s="488"/>
      <c r="AD224" s="488"/>
    </row>
    <row r="225" spans="1:30" ht="15" thickBot="1" x14ac:dyDescent="0.35">
      <c r="A225" s="118" t="str">
        <f>B223&amp;"B"</f>
        <v>22B</v>
      </c>
      <c r="B225" s="506"/>
      <c r="C225" s="576"/>
      <c r="D225" s="502"/>
      <c r="E225" s="523"/>
      <c r="F225" s="503"/>
      <c r="G225" s="554" t="str">
        <f>VLOOKUP(($B223*10)+1,Results,$G$4,FALSE)</f>
        <v>BRAT</v>
      </c>
      <c r="H225" s="573">
        <f>VLOOKUP(($B223*10)+1,Results,$H$4,FALSE)</f>
        <v>9.7200000000000006</v>
      </c>
      <c r="I225" s="495" t="str">
        <f>VLOOKUP(($B223*10)+2,Results,$G$4,FALSE)</f>
        <v>Rugby</v>
      </c>
      <c r="J225" s="573">
        <f>VLOOKUP(($B223*10)+2,Results,$H$4,FALSE)</f>
        <v>9.14</v>
      </c>
      <c r="K225" s="495" t="str">
        <f>VLOOKUP(($B223*10)+3,Results,$G$4,FALSE)</f>
        <v>Strat</v>
      </c>
      <c r="L225" s="573">
        <f>VLOOKUP(($B223*10)+3,Results,$H$4,FALSE)</f>
        <v>8.11</v>
      </c>
      <c r="M225" s="495" t="str">
        <f>VLOOKUP(($B223*10)+4,Results,$G$4,FALSE)</f>
        <v>Sol</v>
      </c>
      <c r="N225" s="573">
        <f>VLOOKUP(($B223*10)+4,Results,$H$4,FALSE)</f>
        <v>8.0500000000000007</v>
      </c>
      <c r="O225" s="495" t="str">
        <f>VLOOKUP(($B223*10)+5,Results,$G$4,FALSE)</f>
        <v>Worc</v>
      </c>
      <c r="P225" s="573">
        <f>VLOOKUP(($B223*10)+5,Results,$H$4,FALSE)</f>
        <v>7.81</v>
      </c>
      <c r="Q225" s="495" t="str">
        <f>VLOOKUP(($B223*10)+6,Results,$G$4,FALSE)</f>
        <v>Royal</v>
      </c>
      <c r="R225" s="574">
        <f>VLOOKUP(($B223*10)+6,Results,$H$4,FALSE)</f>
        <v>7.47</v>
      </c>
      <c r="S225" s="496">
        <f>VLOOKUP(($B223*10)+7,Results,$G$4,FALSE)</f>
        <v>0</v>
      </c>
      <c r="T225" s="573">
        <f>VLOOKUP(($B223*10)+7,Results,$H$4,FALSE)</f>
        <v>0</v>
      </c>
      <c r="U225" s="495">
        <f>VLOOKUP(($B223*10)+8,Results,$G$4,FALSE)</f>
        <v>0</v>
      </c>
      <c r="V225" s="528">
        <f>VLOOKUP(($B223*10)+8,Results,$H$4,FALSE)</f>
        <v>0</v>
      </c>
      <c r="W225" s="600">
        <f>VLOOKUP(($B223*10)+1,Results,$I$4,FALSE)</f>
        <v>8</v>
      </c>
      <c r="X225" s="499">
        <f>VLOOKUP(($B223*10)+2,Results,$I$4,FALSE)</f>
        <v>0</v>
      </c>
      <c r="Y225" s="499">
        <f>VLOOKUP(($B223*10)+3,Results,$I$4,FALSE)</f>
        <v>3</v>
      </c>
      <c r="Z225" s="499">
        <f>VLOOKUP(($B223*10)+4,Results,$I$4,FALSE)</f>
        <v>7</v>
      </c>
      <c r="AA225" s="499">
        <f>VLOOKUP(($B223*10)+5,Results,$I$4,FALSE)</f>
        <v>5</v>
      </c>
      <c r="AB225" s="499">
        <f>VLOOKUP(($B223*10)+6,Results,$I$4,FALSE)</f>
        <v>6</v>
      </c>
      <c r="AC225" s="499">
        <f>VLOOKUP(($B223*10)+7,Results,$I$4,FALSE)</f>
        <v>0</v>
      </c>
      <c r="AD225" s="499">
        <f>VLOOKUP(($B223*10)+8,Results,$I$4,FALSE)</f>
        <v>4</v>
      </c>
    </row>
    <row r="226" spans="1:30" x14ac:dyDescent="0.3">
      <c r="A226" s="118" t="str">
        <f>B227&amp;"A"</f>
        <v>64A</v>
      </c>
      <c r="B226" s="506"/>
      <c r="C226" s="571"/>
      <c r="D226" s="479" t="str">
        <f>VLOOKUP(B227,EventsOrder,4,FALSE)</f>
        <v>U16 Male</v>
      </c>
      <c r="E226" s="515" t="s">
        <v>149</v>
      </c>
      <c r="F226" s="480"/>
      <c r="G226" s="481" t="str">
        <f>VLOOKUP(($B227*10)+1,Results,$F$3,FALSE)</f>
        <v>Louis Matthews</v>
      </c>
      <c r="H226" s="482"/>
      <c r="I226" s="483" t="str">
        <f>VLOOKUP(($B227*10)+2,Results,$F$3,FALSE)</f>
        <v>Muayyad Mohamed</v>
      </c>
      <c r="J226" s="482"/>
      <c r="K226" s="483" t="str">
        <f>VLOOKUP(($B227*10)+3,Results,$F$3,FALSE)</f>
        <v>Finn Jackson</v>
      </c>
      <c r="L226" s="482"/>
      <c r="M226" s="483" t="str">
        <f>VLOOKUP(($B227*10)+4,Results,$F$3,FALSE)</f>
        <v>Lucas Lee</v>
      </c>
      <c r="N226" s="482"/>
      <c r="O226" s="483" t="str">
        <f>VLOOKUP(($B227*10)+5,Results,$F$3,FALSE)</f>
        <v>Zakariya Rush</v>
      </c>
      <c r="P226" s="482"/>
      <c r="Q226" s="483" t="str">
        <f>VLOOKUP(($B227*10)+6,Results,$F$3,FALSE)</f>
        <v>Oliver Thomas</v>
      </c>
      <c r="R226" s="484"/>
      <c r="S226" s="485" t="str">
        <f>VLOOKUP(($B227*10)+7,Results,$F$3,FALSE)</f>
        <v>Oscar Farmer</v>
      </c>
      <c r="T226" s="482"/>
      <c r="U226" s="483" t="str">
        <f>VLOOKUP(($B227*10)+8,Results,$F$3,FALSE)</f>
        <v/>
      </c>
      <c r="V226" s="486"/>
      <c r="W226" s="599"/>
      <c r="X226" s="488"/>
      <c r="Y226" s="488"/>
      <c r="Z226" s="488"/>
      <c r="AA226" s="488"/>
      <c r="AB226" s="488"/>
      <c r="AC226" s="488"/>
      <c r="AD226" s="488"/>
    </row>
    <row r="227" spans="1:30" x14ac:dyDescent="0.3">
      <c r="A227" s="118" t="str">
        <f>B227&amp;"A"</f>
        <v>64A</v>
      </c>
      <c r="B227" s="24">
        <v>64</v>
      </c>
      <c r="C227" s="572">
        <f>VLOOKUP(B227,EventsOrder,2,FALSE)</f>
        <v>1.45</v>
      </c>
      <c r="D227" s="490"/>
      <c r="E227" s="11"/>
      <c r="F227" s="492"/>
      <c r="G227" s="493" t="str">
        <f>VLOOKUP(($B227*10)+1,Results,$G$3,FALSE)</f>
        <v>Royal</v>
      </c>
      <c r="H227" s="573">
        <f>VLOOKUP(($B227*10)+1,Results,$H$3,FALSE)</f>
        <v>37.4</v>
      </c>
      <c r="I227" s="495" t="str">
        <f>VLOOKUP(($B227*10)+2,Results,$G$3,FALSE)</f>
        <v>BRAT</v>
      </c>
      <c r="J227" s="573">
        <f>VLOOKUP(($B227*10)+2,Results,$H$3,FALSE)</f>
        <v>38.299999999999997</v>
      </c>
      <c r="K227" s="495" t="str">
        <f>VLOOKUP(($B227*10)+3,Results,$G$3,FALSE)</f>
        <v>Strat</v>
      </c>
      <c r="L227" s="573">
        <f>VLOOKUP(($B227*10)+3,Results,$H$3,FALSE)</f>
        <v>39.5</v>
      </c>
      <c r="M227" s="495" t="str">
        <f>VLOOKUP(($B227*10)+4,Results,$G$3,FALSE)</f>
        <v>Tam</v>
      </c>
      <c r="N227" s="573">
        <f>VLOOKUP(($B227*10)+4,Results,$H$3,FALSE)</f>
        <v>39.9</v>
      </c>
      <c r="O227" s="495" t="str">
        <f>VLOOKUP(($B227*10)+5,Results,$G$3,FALSE)</f>
        <v>Sol</v>
      </c>
      <c r="P227" s="573">
        <f>VLOOKUP(($B227*10)+5,Results,$H$3,FALSE)</f>
        <v>40.200000000000003</v>
      </c>
      <c r="Q227" s="495" t="str">
        <f>VLOOKUP(($B227*10)+6,Results,$G$3,FALSE)</f>
        <v>Rugby</v>
      </c>
      <c r="R227" s="574">
        <f>VLOOKUP(($B227*10)+6,Results,$H$3,FALSE)</f>
        <v>40.5</v>
      </c>
      <c r="S227" s="496" t="str">
        <f>VLOOKUP(($B227*10)+7,Results,$G$3,FALSE)</f>
        <v>Worc</v>
      </c>
      <c r="T227" s="573">
        <f>VLOOKUP(($B227*10)+7,Results,$H$3,FALSE)</f>
        <v>40.9</v>
      </c>
      <c r="U227" s="495">
        <f>VLOOKUP(($B227*10)+8,Results,$G$3,FALSE)</f>
        <v>0</v>
      </c>
      <c r="V227" s="528">
        <f>VLOOKUP(($B227*10)+8,Results,$H$3,FALSE)</f>
        <v>0</v>
      </c>
      <c r="W227" s="600">
        <f>VLOOKUP(($B227*10)+1,Results,$I$3,FALSE)</f>
        <v>7</v>
      </c>
      <c r="X227" s="499">
        <f>VLOOKUP(($B227*10)+2,Results,$I$3,FALSE)</f>
        <v>0</v>
      </c>
      <c r="Y227" s="499">
        <f>VLOOKUP(($B227*10)+3,Results,$I$3,FALSE)</f>
        <v>8</v>
      </c>
      <c r="Z227" s="499">
        <f>VLOOKUP(($B227*10)+4,Results,$I$3,FALSE)</f>
        <v>3</v>
      </c>
      <c r="AA227" s="499">
        <f>VLOOKUP(($B227*10)+5,Results,$I$3,FALSE)</f>
        <v>4</v>
      </c>
      <c r="AB227" s="499">
        <f>VLOOKUP(($B227*10)+6,Results,$I$3,FALSE)</f>
        <v>6</v>
      </c>
      <c r="AC227" s="499">
        <f>VLOOKUP(($B227*10)+7,Results,$I$3,FALSE)</f>
        <v>5</v>
      </c>
      <c r="AD227" s="499">
        <f>VLOOKUP(($B227*10)+8,Results,$I$3,FALSE)</f>
        <v>2</v>
      </c>
    </row>
    <row r="228" spans="1:30" x14ac:dyDescent="0.3">
      <c r="A228" s="118" t="str">
        <f>B227&amp;"B"</f>
        <v>64B</v>
      </c>
      <c r="B228" s="506"/>
      <c r="C228" s="572"/>
      <c r="D228" s="479" t="str">
        <f>VLOOKUP(B227,EventsOrder,3,FALSE)</f>
        <v xml:space="preserve">300m </v>
      </c>
      <c r="E228" s="515" t="s">
        <v>94</v>
      </c>
      <c r="F228" s="529"/>
      <c r="G228" s="547" t="str">
        <f>VLOOKUP(($B227*10)+1,Results,$F$4,FALSE)</f>
        <v>Leo Rice</v>
      </c>
      <c r="H228" s="517"/>
      <c r="I228" s="548" t="str">
        <f>VLOOKUP(($B227*10)+2,Results,$F$4,FALSE)</f>
        <v>Luca Woodley</v>
      </c>
      <c r="J228" s="517"/>
      <c r="K228" s="548" t="str">
        <f>VLOOKUP(($B227*10)+3,Results,$F$4,FALSE)</f>
        <v xml:space="preserve">Carter Mckenzie </v>
      </c>
      <c r="L228" s="517"/>
      <c r="M228" s="548" t="str">
        <f>VLOOKUP(($B227*10)+4,Results,$F$4,FALSE)</f>
        <v>Nathaniel Chapman</v>
      </c>
      <c r="N228" s="517"/>
      <c r="O228" s="548" t="str">
        <f>VLOOKUP(($B227*10)+5,Results,$F$4,FALSE)</f>
        <v>Huw Mabey</v>
      </c>
      <c r="P228" s="517"/>
      <c r="Q228" s="548" t="str">
        <f>VLOOKUP(($B227*10)+6,Results,$F$4,FALSE)</f>
        <v>Alex Hall</v>
      </c>
      <c r="R228" s="549"/>
      <c r="S228" s="575" t="str">
        <f>VLOOKUP(($B227*10)+7,Results,$F$4,FALSE)</f>
        <v/>
      </c>
      <c r="T228" s="517"/>
      <c r="U228" s="548" t="str">
        <f>VLOOKUP(($B227*10)+8,Results,$F$4,FALSE)</f>
        <v/>
      </c>
      <c r="V228" s="519"/>
      <c r="W228" s="599"/>
      <c r="X228" s="488"/>
      <c r="Y228" s="488"/>
      <c r="Z228" s="488"/>
      <c r="AA228" s="488"/>
      <c r="AB228" s="488"/>
      <c r="AC228" s="488"/>
      <c r="AD228" s="488"/>
    </row>
    <row r="229" spans="1:30" ht="15" thickBot="1" x14ac:dyDescent="0.35">
      <c r="A229" s="118" t="str">
        <f>B227&amp;"B"</f>
        <v>64B</v>
      </c>
      <c r="B229" s="506"/>
      <c r="C229" s="576"/>
      <c r="D229" s="502"/>
      <c r="E229" s="523"/>
      <c r="F229" s="503"/>
      <c r="G229" s="554" t="str">
        <f>VLOOKUP(($B227*10)+1,Results,$G$4,FALSE)</f>
        <v>BRAT</v>
      </c>
      <c r="H229" s="573">
        <f>VLOOKUP(($B227*10)+1,Results,$H$4,FALSE)</f>
        <v>40.299999999999997</v>
      </c>
      <c r="I229" s="495" t="str">
        <f>VLOOKUP(($B227*10)+2,Results,$G$4,FALSE)</f>
        <v>Sol</v>
      </c>
      <c r="J229" s="573">
        <f>VLOOKUP(($B227*10)+2,Results,$H$4,FALSE)</f>
        <v>41.2</v>
      </c>
      <c r="K229" s="495" t="str">
        <f>VLOOKUP(($B227*10)+3,Results,$G$4,FALSE)</f>
        <v>Strat</v>
      </c>
      <c r="L229" s="573">
        <f>VLOOKUP(($B227*10)+3,Results,$H$4,FALSE)</f>
        <v>41.6</v>
      </c>
      <c r="M229" s="495" t="str">
        <f>VLOOKUP(($B227*10)+4,Results,$G$4,FALSE)</f>
        <v>Royal</v>
      </c>
      <c r="N229" s="573">
        <f>VLOOKUP(($B227*10)+4,Results,$H$4,FALSE)</f>
        <v>42.3</v>
      </c>
      <c r="O229" s="495" t="str">
        <f>VLOOKUP(($B227*10)+5,Results,$G$4,FALSE)</f>
        <v>Worc</v>
      </c>
      <c r="P229" s="573">
        <f>VLOOKUP(($B227*10)+5,Results,$H$4,FALSE)</f>
        <v>43.1</v>
      </c>
      <c r="Q229" s="495" t="str">
        <f>VLOOKUP(($B227*10)+6,Results,$G$4,FALSE)</f>
        <v>Tam</v>
      </c>
      <c r="R229" s="574">
        <f>VLOOKUP(($B227*10)+6,Results,$H$4,FALSE)</f>
        <v>43.2</v>
      </c>
      <c r="S229" s="496">
        <f>VLOOKUP(($B227*10)+7,Results,$G$4,FALSE)</f>
        <v>0</v>
      </c>
      <c r="T229" s="573">
        <f>VLOOKUP(($B227*10)+7,Results,$H$4,FALSE)</f>
        <v>0</v>
      </c>
      <c r="U229" s="495">
        <f>VLOOKUP(($B227*10)+8,Results,$G$4,FALSE)</f>
        <v>0</v>
      </c>
      <c r="V229" s="528">
        <f>VLOOKUP(($B227*10)+8,Results,$H$4,FALSE)</f>
        <v>0</v>
      </c>
      <c r="W229" s="600">
        <f>VLOOKUP(($B227*10)+1,Results,$I$4,FALSE)</f>
        <v>8</v>
      </c>
      <c r="X229" s="499">
        <f>VLOOKUP(($B227*10)+2,Results,$I$4,FALSE)</f>
        <v>0</v>
      </c>
      <c r="Y229" s="499">
        <f>VLOOKUP(($B227*10)+3,Results,$I$4,FALSE)</f>
        <v>5</v>
      </c>
      <c r="Z229" s="499">
        <f>VLOOKUP(($B227*10)+4,Results,$I$4,FALSE)</f>
        <v>0</v>
      </c>
      <c r="AA229" s="499">
        <f>VLOOKUP(($B227*10)+5,Results,$I$4,FALSE)</f>
        <v>7</v>
      </c>
      <c r="AB229" s="499">
        <f>VLOOKUP(($B227*10)+6,Results,$I$4,FALSE)</f>
        <v>6</v>
      </c>
      <c r="AC229" s="499">
        <f>VLOOKUP(($B227*10)+7,Results,$I$4,FALSE)</f>
        <v>3</v>
      </c>
      <c r="AD229" s="499">
        <f>VLOOKUP(($B227*10)+8,Results,$I$4,FALSE)</f>
        <v>4</v>
      </c>
    </row>
    <row r="230" spans="1:30" x14ac:dyDescent="0.3">
      <c r="A230" s="118" t="str">
        <f>B231&amp;"A"</f>
        <v>37A</v>
      </c>
      <c r="B230" s="506"/>
      <c r="C230" s="571"/>
      <c r="D230" s="479" t="str">
        <f>VLOOKUP(B231,EventsOrder,4,FALSE)</f>
        <v>U16 Male</v>
      </c>
      <c r="E230" s="515" t="s">
        <v>149</v>
      </c>
      <c r="F230" s="480"/>
      <c r="G230" s="481" t="str">
        <f>VLOOKUP(($B231*10)+1,Results,$F$3,FALSE)</f>
        <v>Louis Matthews</v>
      </c>
      <c r="H230" s="482"/>
      <c r="I230" s="483" t="str">
        <f>VLOOKUP(($B231*10)+2,Results,$F$3,FALSE)</f>
        <v>Elijah Simpson</v>
      </c>
      <c r="J230" s="482"/>
      <c r="K230" s="483" t="str">
        <f>VLOOKUP(($B231*10)+3,Results,$F$3,FALSE)</f>
        <v>Morgan Nabney</v>
      </c>
      <c r="L230" s="482"/>
      <c r="M230" s="483" t="str">
        <f>VLOOKUP(($B231*10)+4,Results,$F$3,FALSE)</f>
        <v>Matei Cosciug</v>
      </c>
      <c r="N230" s="482"/>
      <c r="O230" s="483" t="str">
        <f>VLOOKUP(($B231*10)+5,Results,$F$3,FALSE)</f>
        <v>Mustopha Bailey</v>
      </c>
      <c r="P230" s="482"/>
      <c r="Q230" s="483" t="str">
        <f>VLOOKUP(($B231*10)+6,Results,$F$3,FALSE)</f>
        <v>Harry Groves</v>
      </c>
      <c r="R230" s="484"/>
      <c r="S230" s="485" t="str">
        <f>VLOOKUP(($B231*10)+7,Results,$F$3,FALSE)</f>
        <v>Ryan Morgan</v>
      </c>
      <c r="T230" s="482"/>
      <c r="U230" s="483" t="str">
        <f>VLOOKUP(($B231*10)+8,Results,$F$3,FALSE)</f>
        <v>Arjun Singh Hira</v>
      </c>
      <c r="V230" s="486"/>
      <c r="W230" s="599"/>
      <c r="X230" s="488"/>
      <c r="Y230" s="488"/>
      <c r="Z230" s="488"/>
      <c r="AA230" s="488"/>
      <c r="AB230" s="488"/>
      <c r="AC230" s="488"/>
      <c r="AD230" s="488"/>
    </row>
    <row r="231" spans="1:30" x14ac:dyDescent="0.3">
      <c r="A231" s="118" t="str">
        <f>B231&amp;"A"</f>
        <v>37A</v>
      </c>
      <c r="B231" s="24">
        <v>37</v>
      </c>
      <c r="C231" s="572">
        <f>VLOOKUP(B231,EventsOrder,2,FALSE)</f>
        <v>1.5</v>
      </c>
      <c r="D231" s="490"/>
      <c r="E231" s="11"/>
      <c r="F231" s="492"/>
      <c r="G231" s="493" t="str">
        <f>VLOOKUP(($B231*10)+1,Results,$G$3,FALSE)</f>
        <v>Royal</v>
      </c>
      <c r="H231" s="505">
        <f>VLOOKUP(($B231*10)+1,Results,$H$3,FALSE)</f>
        <v>36.67</v>
      </c>
      <c r="I231" s="495" t="str">
        <f>VLOOKUP(($B231*10)+2,Results,$G$3,FALSE)</f>
        <v>Sol</v>
      </c>
      <c r="J231" s="505">
        <f>VLOOKUP(($B231*10)+2,Results,$H$3,FALSE)</f>
        <v>35.65</v>
      </c>
      <c r="K231" s="495" t="str">
        <f>VLOOKUP(($B231*10)+3,Results,$G$3,FALSE)</f>
        <v>Strat</v>
      </c>
      <c r="L231" s="505">
        <f>VLOOKUP(($B231*10)+3,Results,$H$3,FALSE)</f>
        <v>34.31</v>
      </c>
      <c r="M231" s="495" t="str">
        <f>VLOOKUP(($B231*10)+4,Results,$G$3,FALSE)</f>
        <v>Rugby</v>
      </c>
      <c r="N231" s="505">
        <f>VLOOKUP(($B231*10)+4,Results,$H$3,FALSE)</f>
        <v>31.33</v>
      </c>
      <c r="O231" s="495" t="str">
        <f>VLOOKUP(($B231*10)+5,Results,$G$3,FALSE)</f>
        <v>BRAT</v>
      </c>
      <c r="P231" s="505">
        <f>VLOOKUP(($B231*10)+5,Results,$H$3,FALSE)</f>
        <v>30.66</v>
      </c>
      <c r="Q231" s="495" t="str">
        <f>VLOOKUP(($B231*10)+6,Results,$G$3,FALSE)</f>
        <v>Worc</v>
      </c>
      <c r="R231" s="505">
        <f>VLOOKUP(($B231*10)+6,Results,$H$3,FALSE)</f>
        <v>21.87</v>
      </c>
      <c r="S231" s="496" t="str">
        <f>VLOOKUP(($B231*10)+7,Results,$G$3,FALSE)</f>
        <v>K&amp;S</v>
      </c>
      <c r="T231" s="505">
        <f>VLOOKUP(($B231*10)+7,Results,$H$3,FALSE)</f>
        <v>16.899999999999999</v>
      </c>
      <c r="U231" s="495" t="str">
        <f>VLOOKUP(($B231*10)+8,Results,$G$3,FALSE)</f>
        <v>Tam</v>
      </c>
      <c r="V231" s="601">
        <f>VLOOKUP(($B231*10)+8,Results,$H$3,FALSE)</f>
        <v>8.1300000000000008</v>
      </c>
      <c r="W231" s="600">
        <f>VLOOKUP(($B231*10)+1,Results,$I$3,FALSE)</f>
        <v>4</v>
      </c>
      <c r="X231" s="499">
        <f>VLOOKUP(($B231*10)+2,Results,$I$3,FALSE)</f>
        <v>2</v>
      </c>
      <c r="Y231" s="499">
        <f>VLOOKUP(($B231*10)+3,Results,$I$3,FALSE)</f>
        <v>8</v>
      </c>
      <c r="Z231" s="499">
        <f>VLOOKUP(($B231*10)+4,Results,$I$3,FALSE)</f>
        <v>5</v>
      </c>
      <c r="AA231" s="499">
        <f>VLOOKUP(($B231*10)+5,Results,$I$3,FALSE)</f>
        <v>7</v>
      </c>
      <c r="AB231" s="499">
        <f>VLOOKUP(($B231*10)+6,Results,$I$3,FALSE)</f>
        <v>6</v>
      </c>
      <c r="AC231" s="499">
        <f>VLOOKUP(($B231*10)+7,Results,$I$3,FALSE)</f>
        <v>1</v>
      </c>
      <c r="AD231" s="499">
        <f>VLOOKUP(($B231*10)+8,Results,$I$3,FALSE)</f>
        <v>3</v>
      </c>
    </row>
    <row r="232" spans="1:30" x14ac:dyDescent="0.3">
      <c r="A232" s="118" t="str">
        <f>B231&amp;"B"</f>
        <v>37B</v>
      </c>
      <c r="B232" s="506"/>
      <c r="C232" s="572"/>
      <c r="D232" s="479" t="str">
        <f>VLOOKUP(B231,EventsOrder,3,FALSE)</f>
        <v>Javelin</v>
      </c>
      <c r="E232" s="515" t="s">
        <v>94</v>
      </c>
      <c r="F232" s="529"/>
      <c r="G232" s="547" t="str">
        <f>VLOOKUP(($B231*10)+1,Results,$F$4,FALSE)</f>
        <v>Amos Aucutt</v>
      </c>
      <c r="H232" s="517"/>
      <c r="I232" s="548" t="str">
        <f>VLOOKUP(($B231*10)+2,Results,$F$4,FALSE)</f>
        <v>Ishan Bains-Rousseau</v>
      </c>
      <c r="J232" s="517"/>
      <c r="K232" s="548" t="str">
        <f>VLOOKUP(($B231*10)+3,Results,$F$4,FALSE)</f>
        <v>Billy Sheppard</v>
      </c>
      <c r="L232" s="517"/>
      <c r="M232" s="548" t="str">
        <f>VLOOKUP(($B231*10)+4,Results,$F$4,FALSE)</f>
        <v>Luke Ager</v>
      </c>
      <c r="N232" s="517"/>
      <c r="O232" s="548" t="str">
        <f>VLOOKUP(($B231*10)+5,Results,$F$4,FALSE)</f>
        <v>Tobias Collett</v>
      </c>
      <c r="P232" s="517"/>
      <c r="Q232" s="548" t="str">
        <f>VLOOKUP(($B231*10)+6,Results,$F$4,FALSE)</f>
        <v>Bertie Albatov</v>
      </c>
      <c r="R232" s="549"/>
      <c r="S232" s="575" t="str">
        <f>VLOOKUP(($B231*10)+7,Results,$F$4,FALSE)</f>
        <v/>
      </c>
      <c r="T232" s="517"/>
      <c r="U232" s="548" t="str">
        <f>VLOOKUP(($B231*10)+8,Results,$F$4,FALSE)</f>
        <v/>
      </c>
      <c r="V232" s="519"/>
      <c r="W232" s="599"/>
      <c r="X232" s="488"/>
      <c r="Y232" s="488"/>
      <c r="Z232" s="488"/>
      <c r="AA232" s="488"/>
      <c r="AB232" s="488"/>
      <c r="AC232" s="488"/>
      <c r="AD232" s="488"/>
    </row>
    <row r="233" spans="1:30" ht="15" thickBot="1" x14ac:dyDescent="0.35">
      <c r="A233" s="118" t="str">
        <f>B231&amp;"B"</f>
        <v>37B</v>
      </c>
      <c r="B233" s="506"/>
      <c r="C233" s="576"/>
      <c r="D233" s="502"/>
      <c r="E233" s="523"/>
      <c r="F233" s="503"/>
      <c r="G233" s="554" t="str">
        <f>VLOOKUP(($B231*10)+1,Results,$G$4,FALSE)</f>
        <v>Royal</v>
      </c>
      <c r="H233" s="505">
        <f>VLOOKUP(($B231*10)+1,Results,$H$4,FALSE)</f>
        <v>27.68</v>
      </c>
      <c r="I233" s="556" t="str">
        <f>VLOOKUP(($B231*10)+2,Results,$G$4,FALSE)</f>
        <v>Rugby</v>
      </c>
      <c r="J233" s="505">
        <f>VLOOKUP(($B231*10)+2,Results,$H$4,FALSE)</f>
        <v>27.31</v>
      </c>
      <c r="K233" s="556" t="str">
        <f>VLOOKUP(($B231*10)+3,Results,$G$4,FALSE)</f>
        <v>Strat</v>
      </c>
      <c r="L233" s="505">
        <f>VLOOKUP(($B231*10)+3,Results,$H$4,FALSE)</f>
        <v>23.87</v>
      </c>
      <c r="M233" s="556" t="str">
        <f>VLOOKUP(($B231*10)+4,Results,$G$4,FALSE)</f>
        <v>Sol</v>
      </c>
      <c r="N233" s="505">
        <f>VLOOKUP(($B231*10)+4,Results,$H$4,FALSE)</f>
        <v>23.43</v>
      </c>
      <c r="O233" s="556" t="str">
        <f>VLOOKUP(($B231*10)+5,Results,$G$4,FALSE)</f>
        <v>Worc</v>
      </c>
      <c r="P233" s="505">
        <f>VLOOKUP(($B231*10)+5,Results,$H$4,FALSE)</f>
        <v>20.28</v>
      </c>
      <c r="Q233" s="556" t="str">
        <f>VLOOKUP(($B231*10)+6,Results,$G$4,FALSE)</f>
        <v>BRAT</v>
      </c>
      <c r="R233" s="505">
        <f>VLOOKUP(($B231*10)+6,Results,$H$4,FALSE)</f>
        <v>16.489999999999998</v>
      </c>
      <c r="S233" s="556">
        <f>VLOOKUP(($B231*10)+7,Results,$G$4,FALSE)</f>
        <v>0</v>
      </c>
      <c r="T233" s="505">
        <f>VLOOKUP(($B231*10)+7,Results,$H$4,FALSE)</f>
        <v>0</v>
      </c>
      <c r="U233" s="556">
        <f>VLOOKUP(($B231*10)+8,Results,$G$4,FALSE)</f>
        <v>0</v>
      </c>
      <c r="V233" s="601">
        <f>VLOOKUP(($B231*10)+8,Results,$H$4,FALSE)</f>
        <v>0</v>
      </c>
      <c r="W233" s="600">
        <f>VLOOKUP(($B231*10)+1,Results,$I$4,FALSE)</f>
        <v>3</v>
      </c>
      <c r="X233" s="499">
        <f>VLOOKUP(($B231*10)+2,Results,$I$4,FALSE)</f>
        <v>0</v>
      </c>
      <c r="Y233" s="499">
        <f>VLOOKUP(($B231*10)+3,Results,$I$4,FALSE)</f>
        <v>8</v>
      </c>
      <c r="Z233" s="499">
        <f>VLOOKUP(($B231*10)+4,Results,$I$4,FALSE)</f>
        <v>7</v>
      </c>
      <c r="AA233" s="499">
        <f>VLOOKUP(($B231*10)+5,Results,$I$4,FALSE)</f>
        <v>5</v>
      </c>
      <c r="AB233" s="499">
        <f>VLOOKUP(($B231*10)+6,Results,$I$4,FALSE)</f>
        <v>6</v>
      </c>
      <c r="AC233" s="499">
        <f>VLOOKUP(($B231*10)+7,Results,$I$4,FALSE)</f>
        <v>0</v>
      </c>
      <c r="AD233" s="499">
        <f>VLOOKUP(($B231*10)+8,Results,$I$4,FALSE)</f>
        <v>4</v>
      </c>
    </row>
    <row r="234" spans="1:30" x14ac:dyDescent="0.3">
      <c r="A234" s="118" t="str">
        <f>B235&amp;"A"</f>
        <v>44A</v>
      </c>
      <c r="B234" s="506"/>
      <c r="C234" s="571"/>
      <c r="D234" s="479" t="str">
        <f>VLOOKUP(B235,EventsOrder,4,FALSE)</f>
        <v>U16 Male</v>
      </c>
      <c r="E234" s="515" t="s">
        <v>149</v>
      </c>
      <c r="F234" s="480"/>
      <c r="G234" s="481" t="str">
        <f>VLOOKUP(($B235*10)+1,Results,$F$3,FALSE)</f>
        <v>Dominic Francis-Gordon</v>
      </c>
      <c r="H234" s="482"/>
      <c r="I234" s="483" t="str">
        <f>VLOOKUP(($B235*10)+2,Results,$F$3,FALSE)</f>
        <v>Charlie Hughes</v>
      </c>
      <c r="J234" s="482"/>
      <c r="K234" s="483" t="str">
        <f>VLOOKUP(($B235*10)+3,Results,$F$3,FALSE)</f>
        <v>Alex Taylor</v>
      </c>
      <c r="L234" s="482"/>
      <c r="M234" s="483" t="str">
        <f>VLOOKUP(($B235*10)+4,Results,$F$3,FALSE)</f>
        <v>Matei Cosciug</v>
      </c>
      <c r="N234" s="482"/>
      <c r="O234" s="483" t="str">
        <f>VLOOKUP(($B235*10)+5,Results,$F$3,FALSE)</f>
        <v>Oscar Brehler</v>
      </c>
      <c r="P234" s="482"/>
      <c r="Q234" s="483" t="str">
        <f>VLOOKUP(($B235*10)+6,Results,$F$3,FALSE)</f>
        <v xml:space="preserve">George Stacey Harper </v>
      </c>
      <c r="R234" s="484"/>
      <c r="S234" s="485" t="str">
        <f>VLOOKUP(($B235*10)+7,Results,$F$3,FALSE)</f>
        <v/>
      </c>
      <c r="T234" s="482"/>
      <c r="U234" s="483" t="str">
        <f>VLOOKUP(($B235*10)+8,Results,$F$3,FALSE)</f>
        <v/>
      </c>
      <c r="V234" s="486"/>
      <c r="W234" s="599"/>
      <c r="X234" s="488"/>
      <c r="Y234" s="488"/>
      <c r="Z234" s="488"/>
      <c r="AA234" s="488"/>
      <c r="AB234" s="488"/>
      <c r="AC234" s="488"/>
      <c r="AD234" s="488"/>
    </row>
    <row r="235" spans="1:30" x14ac:dyDescent="0.3">
      <c r="A235" s="118" t="str">
        <f>B235&amp;"A"</f>
        <v>44A</v>
      </c>
      <c r="B235" s="24">
        <v>44</v>
      </c>
      <c r="C235" s="572">
        <f>VLOOKUP(B235,EventsOrder,2,FALSE)</f>
        <v>2.4</v>
      </c>
      <c r="D235" s="490"/>
      <c r="E235" s="11"/>
      <c r="F235" s="492"/>
      <c r="G235" s="493" t="str">
        <f>VLOOKUP(($B235*10)+1,Results,$G$3,FALSE)</f>
        <v>BRAT</v>
      </c>
      <c r="H235" s="573">
        <f>VLOOKUP(($B235*10)+1,Results,$H$3,FALSE)</f>
        <v>11.5</v>
      </c>
      <c r="I235" s="495" t="str">
        <f>VLOOKUP(($B235*10)+2,Results,$G$3,FALSE)</f>
        <v>Sol</v>
      </c>
      <c r="J235" s="573">
        <f>VLOOKUP(($B235*10)+2,Results,$H$3,FALSE)</f>
        <v>11.7</v>
      </c>
      <c r="K235" s="495" t="str">
        <f>VLOOKUP(($B235*10)+3,Results,$G$3,FALSE)</f>
        <v>Royal</v>
      </c>
      <c r="L235" s="573">
        <f>VLOOKUP(($B235*10)+3,Results,$H$3,FALSE)</f>
        <v>12</v>
      </c>
      <c r="M235" s="495" t="str">
        <f>VLOOKUP(($B235*10)+4,Results,$G$3,FALSE)</f>
        <v>Rugby</v>
      </c>
      <c r="N235" s="573">
        <f>VLOOKUP(($B235*10)+4,Results,$H$3,FALSE)</f>
        <v>12.6</v>
      </c>
      <c r="O235" s="495" t="str">
        <f>VLOOKUP(($B235*10)+5,Results,$G$3,FALSE)</f>
        <v>Tam</v>
      </c>
      <c r="P235" s="573">
        <f>VLOOKUP(($B235*10)+5,Results,$H$3,FALSE)</f>
        <v>12.7</v>
      </c>
      <c r="Q235" s="495" t="str">
        <f>VLOOKUP(($B235*10)+6,Results,$G$3,FALSE)</f>
        <v>Strat</v>
      </c>
      <c r="R235" s="574">
        <f>VLOOKUP(($B235*10)+6,Results,$H$3,FALSE)</f>
        <v>12.8</v>
      </c>
      <c r="S235" s="496">
        <f>VLOOKUP(($B235*10)+7,Results,$G$3,FALSE)</f>
        <v>0</v>
      </c>
      <c r="T235" s="573">
        <f>VLOOKUP(($B235*10)+7,Results,$H$3,FALSE)</f>
        <v>0</v>
      </c>
      <c r="U235" s="495">
        <f>VLOOKUP(($B235*10)+8,Results,$G$3,FALSE)</f>
        <v>0</v>
      </c>
      <c r="V235" s="528">
        <f>VLOOKUP(($B235*10)+8,Results,$H$3,FALSE)</f>
        <v>0</v>
      </c>
      <c r="W235" s="600">
        <f>VLOOKUP(($B235*10)+1,Results,$I$3,FALSE)</f>
        <v>8</v>
      </c>
      <c r="X235" s="499">
        <f>VLOOKUP(($B235*10)+2,Results,$I$3,FALSE)</f>
        <v>0</v>
      </c>
      <c r="Y235" s="499">
        <f>VLOOKUP(($B235*10)+3,Results,$I$3,FALSE)</f>
        <v>6</v>
      </c>
      <c r="Z235" s="499">
        <f>VLOOKUP(($B235*10)+4,Results,$I$3,FALSE)</f>
        <v>5</v>
      </c>
      <c r="AA235" s="499">
        <f>VLOOKUP(($B235*10)+5,Results,$I$3,FALSE)</f>
        <v>7</v>
      </c>
      <c r="AB235" s="499">
        <f>VLOOKUP(($B235*10)+6,Results,$I$3,FALSE)</f>
        <v>3</v>
      </c>
      <c r="AC235" s="499">
        <f>VLOOKUP(($B235*10)+7,Results,$I$3,FALSE)</f>
        <v>4</v>
      </c>
      <c r="AD235" s="499">
        <f>VLOOKUP(($B235*10)+8,Results,$I$3,FALSE)</f>
        <v>0</v>
      </c>
    </row>
    <row r="236" spans="1:30" x14ac:dyDescent="0.3">
      <c r="A236" s="118" t="str">
        <f>B235&amp;"B"</f>
        <v>44B</v>
      </c>
      <c r="B236" s="506"/>
      <c r="C236" s="572"/>
      <c r="D236" s="479" t="str">
        <f>VLOOKUP(B235,EventsOrder,3,FALSE)</f>
        <v>100m</v>
      </c>
      <c r="E236" s="515" t="s">
        <v>94</v>
      </c>
      <c r="F236" s="529"/>
      <c r="G236" s="547" t="str">
        <f>VLOOKUP(($B235*10)+1,Results,$F$4,FALSE)</f>
        <v>Heinrich</v>
      </c>
      <c r="H236" s="517"/>
      <c r="I236" s="548" t="str">
        <f>VLOOKUP(($B235*10)+2,Results,$F$4,FALSE)</f>
        <v>Jason Bedford</v>
      </c>
      <c r="J236" s="517"/>
      <c r="K236" s="548" t="str">
        <f>VLOOKUP(($B235*10)+3,Results,$F$4,FALSE)</f>
        <v>Amos Aucutt</v>
      </c>
      <c r="L236" s="517"/>
      <c r="M236" s="548" t="str">
        <f>VLOOKUP(($B235*10)+4,Results,$F$4,FALSE)</f>
        <v>Gigi Okere</v>
      </c>
      <c r="N236" s="517"/>
      <c r="O236" s="548" t="str">
        <f>VLOOKUP(($B235*10)+5,Results,$F$4,FALSE)</f>
        <v>Toby Hughes Webb</v>
      </c>
      <c r="P236" s="517"/>
      <c r="Q236" s="548" t="str">
        <f>VLOOKUP(($B235*10)+6,Results,$F$4,FALSE)</f>
        <v>Arjun Singh Hira</v>
      </c>
      <c r="R236" s="549"/>
      <c r="S236" s="575" t="str">
        <f>VLOOKUP(($B235*10)+7,Results,$F$4,FALSE)</f>
        <v/>
      </c>
      <c r="T236" s="517"/>
      <c r="U236" s="548" t="str">
        <f>VLOOKUP(($B235*10)+8,Results,$F$4,FALSE)</f>
        <v/>
      </c>
      <c r="V236" s="519"/>
      <c r="W236" s="599"/>
      <c r="X236" s="488"/>
      <c r="Y236" s="488"/>
      <c r="Z236" s="488"/>
      <c r="AA236" s="488"/>
      <c r="AB236" s="488"/>
      <c r="AC236" s="488"/>
      <c r="AD236" s="488"/>
    </row>
    <row r="237" spans="1:30" ht="15" thickBot="1" x14ac:dyDescent="0.35">
      <c r="A237" s="118" t="str">
        <f>B235&amp;"B"</f>
        <v>44B</v>
      </c>
      <c r="B237" s="506"/>
      <c r="C237" s="576"/>
      <c r="D237" s="502"/>
      <c r="E237" s="523"/>
      <c r="F237" s="503"/>
      <c r="G237" s="554" t="str">
        <f>VLOOKUP(($B235*10)+1,Results,$G$4,FALSE)</f>
        <v>BRAT</v>
      </c>
      <c r="H237" s="573">
        <f>VLOOKUP(($B235*10)+1,Results,$H$4,FALSE)</f>
        <v>11.8</v>
      </c>
      <c r="I237" s="495" t="str">
        <f>VLOOKUP(($B235*10)+2,Results,$G$4,FALSE)</f>
        <v>Sol</v>
      </c>
      <c r="J237" s="573">
        <f>VLOOKUP(($B235*10)+2,Results,$H$4,FALSE)</f>
        <v>12.3</v>
      </c>
      <c r="K237" s="495" t="str">
        <f>VLOOKUP(($B235*10)+3,Results,$G$4,FALSE)</f>
        <v>Royal</v>
      </c>
      <c r="L237" s="573">
        <f>VLOOKUP(($B235*10)+3,Results,$H$4,FALSE)</f>
        <v>12.6</v>
      </c>
      <c r="M237" s="495" t="str">
        <f>VLOOKUP(($B235*10)+4,Results,$G$4,FALSE)</f>
        <v>Rugby</v>
      </c>
      <c r="N237" s="573">
        <f>VLOOKUP(($B235*10)+4,Results,$H$4,FALSE)</f>
        <v>12.9</v>
      </c>
      <c r="O237" s="495" t="str">
        <f>VLOOKUP(($B235*10)+5,Results,$G$4,FALSE)</f>
        <v>Strat</v>
      </c>
      <c r="P237" s="573">
        <f>VLOOKUP(($B235*10)+5,Results,$H$4,FALSE)</f>
        <v>13.4</v>
      </c>
      <c r="Q237" s="495" t="str">
        <f>VLOOKUP(($B235*10)+6,Results,$G$4,FALSE)</f>
        <v>Tam</v>
      </c>
      <c r="R237" s="574">
        <f>VLOOKUP(($B235*10)+6,Results,$H$4,FALSE)</f>
        <v>13.7</v>
      </c>
      <c r="S237" s="496">
        <f>VLOOKUP(($B235*10)+7,Results,$G$4,FALSE)</f>
        <v>0</v>
      </c>
      <c r="T237" s="573">
        <f>VLOOKUP(($B235*10)+7,Results,$H$4,FALSE)</f>
        <v>0</v>
      </c>
      <c r="U237" s="495">
        <f>VLOOKUP(($B235*10)+8,Results,$G$4,FALSE)</f>
        <v>0</v>
      </c>
      <c r="V237" s="528">
        <f>VLOOKUP(($B235*10)+8,Results,$H$4,FALSE)</f>
        <v>0</v>
      </c>
      <c r="W237" s="600">
        <f>VLOOKUP(($B235*10)+1,Results,$I$4,FALSE)</f>
        <v>8</v>
      </c>
      <c r="X237" s="499">
        <f>VLOOKUP(($B235*10)+2,Results,$I$4,FALSE)</f>
        <v>0</v>
      </c>
      <c r="Y237" s="499">
        <f>VLOOKUP(($B235*10)+3,Results,$I$4,FALSE)</f>
        <v>6</v>
      </c>
      <c r="Z237" s="499">
        <f>VLOOKUP(($B235*10)+4,Results,$I$4,FALSE)</f>
        <v>5</v>
      </c>
      <c r="AA237" s="499">
        <f>VLOOKUP(($B235*10)+5,Results,$I$4,FALSE)</f>
        <v>7</v>
      </c>
      <c r="AB237" s="499">
        <f>VLOOKUP(($B235*10)+6,Results,$I$4,FALSE)</f>
        <v>4</v>
      </c>
      <c r="AC237" s="499">
        <f>VLOOKUP(($B235*10)+7,Results,$I$4,FALSE)</f>
        <v>3</v>
      </c>
      <c r="AD237" s="499">
        <f>VLOOKUP(($B235*10)+8,Results,$I$4,FALSE)</f>
        <v>0</v>
      </c>
    </row>
    <row r="238" spans="1:30" x14ac:dyDescent="0.3">
      <c r="A238" s="118" t="str">
        <f>B239&amp;"A"</f>
        <v>45A</v>
      </c>
      <c r="B238" s="506"/>
      <c r="C238" s="571"/>
      <c r="D238" s="479" t="str">
        <f>VLOOKUP(B239,EventsOrder,4,FALSE)</f>
        <v>U16 Male</v>
      </c>
      <c r="E238" s="515" t="s">
        <v>149</v>
      </c>
      <c r="F238" s="480"/>
      <c r="G238" s="481" t="str">
        <f>VLOOKUP(($B239*10)+1,Results,$F$3,FALSE)</f>
        <v>Tommy McGuire</v>
      </c>
      <c r="H238" s="482"/>
      <c r="I238" s="483" t="str">
        <f>VLOOKUP(($B239*10)+2,Results,$F$3,FALSE)</f>
        <v xml:space="preserve">Austin Demanya </v>
      </c>
      <c r="J238" s="482"/>
      <c r="K238" s="483" t="str">
        <f>VLOOKUP(($B239*10)+3,Results,$F$3,FALSE)</f>
        <v>Hayden Helme</v>
      </c>
      <c r="L238" s="482"/>
      <c r="M238" s="483" t="str">
        <f>VLOOKUP(($B239*10)+4,Results,$F$3,FALSE)</f>
        <v>Luke Ager</v>
      </c>
      <c r="N238" s="482"/>
      <c r="O238" s="483" t="str">
        <f>VLOOKUP(($B239*10)+5,Results,$F$3,FALSE)</f>
        <v>Lucas Lee</v>
      </c>
      <c r="P238" s="482"/>
      <c r="Q238" s="483" t="str">
        <f>VLOOKUP(($B239*10)+6,Results,$F$3,FALSE)</f>
        <v>Finn Jackson</v>
      </c>
      <c r="R238" s="484"/>
      <c r="S238" s="485" t="str">
        <f>VLOOKUP(($B239*10)+7,Results,$F$3,FALSE)</f>
        <v>Jason Adobor</v>
      </c>
      <c r="T238" s="482"/>
      <c r="U238" s="483" t="str">
        <f>VLOOKUP(($B239*10)+8,Results,$F$3,FALSE)</f>
        <v/>
      </c>
      <c r="V238" s="486"/>
      <c r="W238" s="599"/>
      <c r="X238" s="488"/>
      <c r="Y238" s="488"/>
      <c r="Z238" s="488"/>
      <c r="AA238" s="488"/>
      <c r="AB238" s="488"/>
      <c r="AC238" s="488"/>
      <c r="AD238" s="488"/>
    </row>
    <row r="239" spans="1:30" x14ac:dyDescent="0.3">
      <c r="A239" s="118" t="str">
        <f>B239&amp;"A"</f>
        <v>45A</v>
      </c>
      <c r="B239" s="24">
        <v>45</v>
      </c>
      <c r="C239" s="572">
        <f>VLOOKUP(B239,EventsOrder,2,FALSE)</f>
        <v>2.2999999999999998</v>
      </c>
      <c r="D239" s="490"/>
      <c r="E239" s="11"/>
      <c r="F239" s="492"/>
      <c r="G239" s="493" t="str">
        <f>VLOOKUP(($B239*10)+1,Results,$G$3,FALSE)</f>
        <v>Rugby</v>
      </c>
      <c r="H239" s="505">
        <f>VLOOKUP(($B239*10)+1,Results,$H$3,FALSE)</f>
        <v>1.58</v>
      </c>
      <c r="I239" s="495" t="str">
        <f>VLOOKUP(($B239*10)+2,Results,$G$3,FALSE)</f>
        <v>BRAT</v>
      </c>
      <c r="J239" s="505">
        <f>VLOOKUP(($B239*10)+2,Results,$H$3,FALSE)</f>
        <v>1.58</v>
      </c>
      <c r="K239" s="495" t="str">
        <f>VLOOKUP(($B239*10)+3,Results,$G$3,FALSE)</f>
        <v>Worc</v>
      </c>
      <c r="L239" s="505">
        <f>VLOOKUP(($B239*10)+3,Results,$H$3,FALSE)</f>
        <v>1.5</v>
      </c>
      <c r="M239" s="495" t="str">
        <f>VLOOKUP(($B239*10)+4,Results,$G$3,FALSE)</f>
        <v>Sol</v>
      </c>
      <c r="N239" s="505">
        <f>VLOOKUP(($B239*10)+4,Results,$H$3,FALSE)</f>
        <v>1.45</v>
      </c>
      <c r="O239" s="495" t="str">
        <f>VLOOKUP(($B239*10)+5,Results,$G$3,FALSE)</f>
        <v>Tam</v>
      </c>
      <c r="P239" s="505">
        <f>VLOOKUP(($B239*10)+5,Results,$H$3,FALSE)</f>
        <v>1.45</v>
      </c>
      <c r="Q239" s="495" t="str">
        <f>VLOOKUP(($B239*10)+6,Results,$G$3,FALSE)</f>
        <v>Strat</v>
      </c>
      <c r="R239" s="505">
        <f>VLOOKUP(($B239*10)+6,Results,$H$3,FALSE)</f>
        <v>1.45</v>
      </c>
      <c r="S239" s="496" t="str">
        <f>VLOOKUP(($B239*10)+7,Results,$G$3,FALSE)</f>
        <v>Royal</v>
      </c>
      <c r="T239" s="505">
        <f>VLOOKUP(($B239*10)+7,Results,$H$3,FALSE)</f>
        <v>1.3</v>
      </c>
      <c r="U239" s="495">
        <f>VLOOKUP(($B239*10)+8,Results,$G$3,FALSE)</f>
        <v>0</v>
      </c>
      <c r="V239" s="601">
        <f>VLOOKUP(($B239*10)+8,Results,$H$3,FALSE)</f>
        <v>0</v>
      </c>
      <c r="W239" s="600">
        <f>VLOOKUP(($B239*10)+1,Results,$I$3,FALSE)</f>
        <v>7</v>
      </c>
      <c r="X239" s="499">
        <f>VLOOKUP(($B239*10)+2,Results,$I$3,FALSE)</f>
        <v>0</v>
      </c>
      <c r="Y239" s="499">
        <f>VLOOKUP(($B239*10)+3,Results,$I$3,FALSE)</f>
        <v>2</v>
      </c>
      <c r="Z239" s="499">
        <f>VLOOKUP(($B239*10)+4,Results,$I$3,FALSE)</f>
        <v>8</v>
      </c>
      <c r="AA239" s="499">
        <f>VLOOKUP(($B239*10)+5,Results,$I$3,FALSE)</f>
        <v>5</v>
      </c>
      <c r="AB239" s="499">
        <f>VLOOKUP(($B239*10)+6,Results,$I$3,FALSE)</f>
        <v>3</v>
      </c>
      <c r="AC239" s="499">
        <f>VLOOKUP(($B239*10)+7,Results,$I$3,FALSE)</f>
        <v>4</v>
      </c>
      <c r="AD239" s="499">
        <f>VLOOKUP(($B239*10)+8,Results,$I$3,FALSE)</f>
        <v>6</v>
      </c>
    </row>
    <row r="240" spans="1:30" x14ac:dyDescent="0.3">
      <c r="A240" s="118" t="str">
        <f>B239&amp;"B"</f>
        <v>45B</v>
      </c>
      <c r="B240" s="506"/>
      <c r="C240" s="572"/>
      <c r="D240" s="479" t="str">
        <f>VLOOKUP(B239,EventsOrder,3,FALSE)</f>
        <v>High Jump</v>
      </c>
      <c r="E240" s="515" t="s">
        <v>94</v>
      </c>
      <c r="F240" s="529"/>
      <c r="G240" s="547" t="str">
        <f>VLOOKUP(($B239*10)+1,Results,$F$4,FALSE)</f>
        <v>Eben Ashton</v>
      </c>
      <c r="H240" s="517"/>
      <c r="I240" s="548" t="str">
        <f>VLOOKUP(($B239*10)+2,Results,$F$4,FALSE)</f>
        <v>Toby Wilkinson</v>
      </c>
      <c r="J240" s="517"/>
      <c r="K240" s="548" t="str">
        <f>VLOOKUP(($B239*10)+3,Results,$F$4,FALSE)</f>
        <v>Alex Haywood</v>
      </c>
      <c r="L240" s="517"/>
      <c r="M240" s="548" t="str">
        <f>VLOOKUP(($B239*10)+4,Results,$F$4,FALSE)</f>
        <v>Zakariya Rush</v>
      </c>
      <c r="N240" s="517"/>
      <c r="O240" s="548" t="str">
        <f>VLOOKUP(($B239*10)+5,Results,$F$4,FALSE)</f>
        <v>Tobias Collett</v>
      </c>
      <c r="P240" s="517"/>
      <c r="Q240" s="548" t="str">
        <f>VLOOKUP(($B239*10)+6,Results,$F$4,FALSE)</f>
        <v/>
      </c>
      <c r="R240" s="549"/>
      <c r="S240" s="575" t="str">
        <f>VLOOKUP(($B239*10)+7,Results,$F$4,FALSE)</f>
        <v/>
      </c>
      <c r="T240" s="517"/>
      <c r="U240" s="548" t="str">
        <f>VLOOKUP(($B239*10)+8,Results,$F$4,FALSE)</f>
        <v/>
      </c>
      <c r="V240" s="519"/>
      <c r="W240" s="599"/>
      <c r="X240" s="488"/>
      <c r="Y240" s="488"/>
      <c r="Z240" s="488"/>
      <c r="AA240" s="488"/>
      <c r="AB240" s="488"/>
      <c r="AC240" s="488"/>
      <c r="AD240" s="488"/>
    </row>
    <row r="241" spans="1:30" ht="15" thickBot="1" x14ac:dyDescent="0.35">
      <c r="A241" s="118" t="str">
        <f>B239&amp;"B"</f>
        <v>45B</v>
      </c>
      <c r="B241" s="506"/>
      <c r="C241" s="576"/>
      <c r="D241" s="502"/>
      <c r="E241" s="523"/>
      <c r="F241" s="503"/>
      <c r="G241" s="554" t="str">
        <f>VLOOKUP(($B239*10)+1,Results,$G$4,FALSE)</f>
        <v>BRAT</v>
      </c>
      <c r="H241" s="505">
        <f>VLOOKUP(($B239*10)+1,Results,$H$4,FALSE)</f>
        <v>1.55</v>
      </c>
      <c r="I241" s="556" t="str">
        <f>VLOOKUP(($B239*10)+2,Results,$G$4,FALSE)</f>
        <v>Strat</v>
      </c>
      <c r="J241" s="505">
        <f>VLOOKUP(($B239*10)+2,Results,$H$4,FALSE)</f>
        <v>1.4</v>
      </c>
      <c r="K241" s="556" t="str">
        <f>VLOOKUP(($B239*10)+3,Results,$G$4,FALSE)</f>
        <v>Tam</v>
      </c>
      <c r="L241" s="505">
        <f>VLOOKUP(($B239*10)+3,Results,$H$4,FALSE)</f>
        <v>1.4</v>
      </c>
      <c r="M241" s="556" t="str">
        <f>VLOOKUP(($B239*10)+4,Results,$G$4,FALSE)</f>
        <v>Sol</v>
      </c>
      <c r="N241" s="505">
        <f>VLOOKUP(($B239*10)+4,Results,$H$4,FALSE)</f>
        <v>1.25</v>
      </c>
      <c r="O241" s="556" t="str">
        <f>VLOOKUP(($B239*10)+5,Results,$G$4,FALSE)</f>
        <v>Worc</v>
      </c>
      <c r="P241" s="505">
        <f>VLOOKUP(($B239*10)+5,Results,$H$4,FALSE)</f>
        <v>1.2</v>
      </c>
      <c r="Q241" s="556">
        <f>VLOOKUP(($B239*10)+6,Results,$G$4,FALSE)</f>
        <v>0</v>
      </c>
      <c r="R241" s="505">
        <f>VLOOKUP(($B239*10)+6,Results,$H$4,FALSE)</f>
        <v>59</v>
      </c>
      <c r="S241" s="556">
        <f>VLOOKUP(($B239*10)+7,Results,$G$4,FALSE)</f>
        <v>0</v>
      </c>
      <c r="T241" s="505">
        <f>VLOOKUP(($B239*10)+7,Results,$H$4,FALSE)</f>
        <v>0</v>
      </c>
      <c r="U241" s="556">
        <f>VLOOKUP(($B239*10)+8,Results,$G$4,FALSE)</f>
        <v>0</v>
      </c>
      <c r="V241" s="601">
        <f>VLOOKUP(($B239*10)+8,Results,$H$4,FALSE)</f>
        <v>0</v>
      </c>
      <c r="W241" s="600">
        <f>VLOOKUP(($B239*10)+1,Results,$I$4,FALSE)</f>
        <v>8</v>
      </c>
      <c r="X241" s="499">
        <f>VLOOKUP(($B239*10)+2,Results,$I$4,FALSE)</f>
        <v>0</v>
      </c>
      <c r="Y241" s="499">
        <f>VLOOKUP(($B239*10)+3,Results,$I$4,FALSE)</f>
        <v>0</v>
      </c>
      <c r="Z241" s="499">
        <f>VLOOKUP(($B239*10)+4,Results,$I$4,FALSE)</f>
        <v>0</v>
      </c>
      <c r="AA241" s="499">
        <f>VLOOKUP(($B239*10)+5,Results,$I$4,FALSE)</f>
        <v>5</v>
      </c>
      <c r="AB241" s="499">
        <f>VLOOKUP(($B239*10)+6,Results,$I$4,FALSE)</f>
        <v>7</v>
      </c>
      <c r="AC241" s="499">
        <f>VLOOKUP(($B239*10)+7,Results,$I$4,FALSE)</f>
        <v>6</v>
      </c>
      <c r="AD241" s="499">
        <f>VLOOKUP(($B239*10)+8,Results,$I$4,FALSE)</f>
        <v>4</v>
      </c>
    </row>
    <row r="242" spans="1:30" x14ac:dyDescent="0.3">
      <c r="A242" s="118" t="str">
        <f>B243&amp;"A"</f>
        <v>56A</v>
      </c>
      <c r="B242" s="506"/>
      <c r="C242" s="571"/>
      <c r="D242" s="479" t="str">
        <f>VLOOKUP(B243,EventsOrder,4,FALSE)</f>
        <v>U16 Male</v>
      </c>
      <c r="E242" s="515" t="s">
        <v>149</v>
      </c>
      <c r="F242" s="480"/>
      <c r="G242" s="481" t="str">
        <f>VLOOKUP(($B243*10)+1,Results,$F$3,FALSE)</f>
        <v>Toby Sykes</v>
      </c>
      <c r="H242" s="482"/>
      <c r="I242" s="483" t="str">
        <f>VLOOKUP(($B243*10)+2,Results,$F$3,FALSE)</f>
        <v>Miles Taylor</v>
      </c>
      <c r="J242" s="482"/>
      <c r="K242" s="483" t="str">
        <f>VLOOKUP(($B243*10)+3,Results,$F$3,FALSE)</f>
        <v>Toby Wilkinson</v>
      </c>
      <c r="L242" s="482"/>
      <c r="M242" s="483" t="str">
        <f>VLOOKUP(($B243*10)+4,Results,$F$3,FALSE)</f>
        <v>Ryan Morgan</v>
      </c>
      <c r="N242" s="482"/>
      <c r="O242" s="483" t="str">
        <f>VLOOKUP(($B243*10)+5,Results,$F$3,FALSE)</f>
        <v>Tobias Collett</v>
      </c>
      <c r="P242" s="482"/>
      <c r="Q242" s="483" t="str">
        <f>VLOOKUP(($B243*10)+6,Results,$F$3,FALSE)</f>
        <v/>
      </c>
      <c r="R242" s="484"/>
      <c r="S242" s="485" t="str">
        <f>VLOOKUP(($B243*10)+7,Results,$F$3,FALSE)</f>
        <v/>
      </c>
      <c r="T242" s="482"/>
      <c r="U242" s="483" t="str">
        <f>VLOOKUP(($B243*10)+8,Results,$F$3,FALSE)</f>
        <v/>
      </c>
      <c r="V242" s="486"/>
      <c r="W242" s="599"/>
      <c r="X242" s="488"/>
      <c r="Y242" s="488"/>
      <c r="Z242" s="488"/>
      <c r="AA242" s="488"/>
      <c r="AB242" s="488"/>
      <c r="AC242" s="488"/>
      <c r="AD242" s="488"/>
    </row>
    <row r="243" spans="1:30" x14ac:dyDescent="0.3">
      <c r="A243" s="118" t="str">
        <f>B243&amp;"A"</f>
        <v>56A</v>
      </c>
      <c r="B243" s="24">
        <v>56</v>
      </c>
      <c r="C243" s="572">
        <f>VLOOKUP(B243,EventsOrder,2,FALSE)</f>
        <v>3.2</v>
      </c>
      <c r="D243" s="490"/>
      <c r="E243" s="11"/>
      <c r="F243" s="492"/>
      <c r="G243" s="493" t="str">
        <f>VLOOKUP(($B243*10)+1,Results,$G$3,FALSE)</f>
        <v>BRAT</v>
      </c>
      <c r="H243" s="573" t="str">
        <f>VLOOKUP(($B243*10)+1,Results,$H$3,FALSE)</f>
        <v>4.43.5</v>
      </c>
      <c r="I243" s="495" t="str">
        <f>VLOOKUP(($B243*10)+2,Results,$G$3,FALSE)</f>
        <v>Rugby</v>
      </c>
      <c r="J243" s="573" t="str">
        <f>VLOOKUP(($B243*10)+2,Results,$H$3,FALSE)</f>
        <v>4.55.9</v>
      </c>
      <c r="K243" s="495" t="str">
        <f>VLOOKUP(($B243*10)+3,Results,$G$3,FALSE)</f>
        <v>Strat</v>
      </c>
      <c r="L243" s="573" t="str">
        <f>VLOOKUP(($B243*10)+3,Results,$H$3,FALSE)</f>
        <v>4.59.5</v>
      </c>
      <c r="M243" s="495" t="str">
        <f>VLOOKUP(($B243*10)+4,Results,$G$3,FALSE)</f>
        <v>K&amp;S</v>
      </c>
      <c r="N243" s="573" t="str">
        <f>VLOOKUP(($B243*10)+4,Results,$H$3,FALSE)</f>
        <v>5.24.5</v>
      </c>
      <c r="O243" s="495" t="str">
        <f>VLOOKUP(($B243*10)+5,Results,$G$3,FALSE)</f>
        <v>Worc</v>
      </c>
      <c r="P243" s="573" t="str">
        <f>VLOOKUP(($B243*10)+5,Results,$H$3,FALSE)</f>
        <v>5.28.0</v>
      </c>
      <c r="Q243" s="495">
        <f>VLOOKUP(($B243*10)+6,Results,$G$3,FALSE)</f>
        <v>0</v>
      </c>
      <c r="R243" s="574">
        <f>VLOOKUP(($B243*10)+6,Results,$H$3,FALSE)</f>
        <v>0</v>
      </c>
      <c r="S243" s="496">
        <f>VLOOKUP(($B243*10)+7,Results,$G$3,FALSE)</f>
        <v>0</v>
      </c>
      <c r="T243" s="573">
        <f>VLOOKUP(($B243*10)+7,Results,$H$3,FALSE)</f>
        <v>0</v>
      </c>
      <c r="U243" s="495">
        <f>VLOOKUP(($B243*10)+8,Results,$G$3,FALSE)</f>
        <v>0</v>
      </c>
      <c r="V243" s="528">
        <f>VLOOKUP(($B243*10)+8,Results,$H$3,FALSE)</f>
        <v>0</v>
      </c>
      <c r="W243" s="600">
        <f>VLOOKUP(($B243*10)+1,Results,$I$3,FALSE)</f>
        <v>8</v>
      </c>
      <c r="X243" s="499">
        <f>VLOOKUP(($B243*10)+2,Results,$I$3,FALSE)</f>
        <v>5</v>
      </c>
      <c r="Y243" s="499">
        <f>VLOOKUP(($B243*10)+3,Results,$I$3,FALSE)</f>
        <v>0</v>
      </c>
      <c r="Z243" s="499">
        <f>VLOOKUP(($B243*10)+4,Results,$I$3,FALSE)</f>
        <v>7</v>
      </c>
      <c r="AA243" s="499">
        <f>VLOOKUP(($B243*10)+5,Results,$I$3,FALSE)</f>
        <v>0</v>
      </c>
      <c r="AB243" s="499">
        <f>VLOOKUP(($B243*10)+6,Results,$I$3,FALSE)</f>
        <v>6</v>
      </c>
      <c r="AC243" s="499">
        <f>VLOOKUP(($B243*10)+7,Results,$I$3,FALSE)</f>
        <v>0</v>
      </c>
      <c r="AD243" s="499">
        <f>VLOOKUP(($B243*10)+8,Results,$I$3,FALSE)</f>
        <v>4</v>
      </c>
    </row>
    <row r="244" spans="1:30" x14ac:dyDescent="0.3">
      <c r="A244" s="118" t="str">
        <f>B243&amp;"B"</f>
        <v>56B</v>
      </c>
      <c r="B244" s="506"/>
      <c r="C244" s="572"/>
      <c r="D244" s="479" t="str">
        <f>VLOOKUP(B243,EventsOrder,3,FALSE)</f>
        <v>1500m</v>
      </c>
      <c r="E244" s="515" t="s">
        <v>94</v>
      </c>
      <c r="F244" s="529"/>
      <c r="G244" s="547" t="str">
        <f>VLOOKUP(($B243*10)+1,Results,$F$4,FALSE)</f>
        <v>Joseph Baker</v>
      </c>
      <c r="H244" s="517"/>
      <c r="I244" s="548" t="str">
        <f>VLOOKUP(($B243*10)+2,Results,$F$4,FALSE)</f>
        <v>Ryan Jennings</v>
      </c>
      <c r="J244" s="517"/>
      <c r="K244" s="548" t="str">
        <f>VLOOKUP(($B243*10)+3,Results,$F$4,FALSE)</f>
        <v>Harry Groves</v>
      </c>
      <c r="L244" s="517"/>
      <c r="M244" s="548" t="str">
        <f>VLOOKUP(($B243*10)+4,Results,$F$4,FALSE)</f>
        <v/>
      </c>
      <c r="N244" s="517"/>
      <c r="O244" s="548" t="str">
        <f>VLOOKUP(($B243*10)+5,Results,$F$4,FALSE)</f>
        <v/>
      </c>
      <c r="P244" s="517"/>
      <c r="Q244" s="548" t="str">
        <f>VLOOKUP(($B243*10)+6,Results,$F$4,FALSE)</f>
        <v/>
      </c>
      <c r="R244" s="549"/>
      <c r="S244" s="575" t="str">
        <f>VLOOKUP(($B243*10)+7,Results,$F$4,FALSE)</f>
        <v/>
      </c>
      <c r="T244" s="517"/>
      <c r="U244" s="548" t="str">
        <f>VLOOKUP(($B243*10)+8,Results,$F$4,FALSE)</f>
        <v/>
      </c>
      <c r="V244" s="519"/>
      <c r="W244" s="599"/>
      <c r="X244" s="488"/>
      <c r="Y244" s="488"/>
      <c r="Z244" s="488"/>
      <c r="AA244" s="488"/>
      <c r="AB244" s="488"/>
      <c r="AC244" s="488"/>
      <c r="AD244" s="488"/>
    </row>
    <row r="245" spans="1:30" ht="15" thickBot="1" x14ac:dyDescent="0.35">
      <c r="A245" s="118" t="str">
        <f>B243&amp;"B"</f>
        <v>56B</v>
      </c>
      <c r="B245" s="506"/>
      <c r="C245" s="576"/>
      <c r="D245" s="502"/>
      <c r="E245" s="523"/>
      <c r="F245" s="503"/>
      <c r="G245" s="554" t="str">
        <f>VLOOKUP(($B243*10)+1,Results,$G$4,FALSE)</f>
        <v>BRAT</v>
      </c>
      <c r="H245" s="573" t="str">
        <f>VLOOKUP(($B243*10)+1,Results,$H$4,FALSE)</f>
        <v>5.04.6</v>
      </c>
      <c r="I245" s="495" t="str">
        <f>VLOOKUP(($B243*10)+2,Results,$G$4,FALSE)</f>
        <v>Rugby</v>
      </c>
      <c r="J245" s="573" t="str">
        <f>VLOOKUP(($B243*10)+2,Results,$H$4,FALSE)</f>
        <v>5.19.7</v>
      </c>
      <c r="K245" s="495" t="str">
        <f>VLOOKUP(($B243*10)+3,Results,$G$4,FALSE)</f>
        <v>Worc</v>
      </c>
      <c r="L245" s="573" t="str">
        <f>VLOOKUP(($B243*10)+3,Results,$H$4,FALSE)</f>
        <v>5.38.6</v>
      </c>
      <c r="M245" s="495">
        <f>VLOOKUP(($B243*10)+4,Results,$G$4,FALSE)</f>
        <v>0</v>
      </c>
      <c r="N245" s="573">
        <f>VLOOKUP(($B243*10)+4,Results,$H$4,FALSE)</f>
        <v>0</v>
      </c>
      <c r="O245" s="495">
        <f>VLOOKUP(($B243*10)+5,Results,$G$4,FALSE)</f>
        <v>0</v>
      </c>
      <c r="P245" s="573">
        <f>VLOOKUP(($B243*10)+5,Results,$H$4,FALSE)</f>
        <v>0</v>
      </c>
      <c r="Q245" s="495">
        <f>VLOOKUP(($B243*10)+6,Results,$G$4,FALSE)</f>
        <v>0</v>
      </c>
      <c r="R245" s="574">
        <f>VLOOKUP(($B243*10)+6,Results,$H$4,FALSE)</f>
        <v>0</v>
      </c>
      <c r="S245" s="496">
        <f>VLOOKUP(($B243*10)+7,Results,$G$4,FALSE)</f>
        <v>0</v>
      </c>
      <c r="T245" s="573">
        <f>VLOOKUP(($B243*10)+7,Results,$H$4,FALSE)</f>
        <v>0</v>
      </c>
      <c r="U245" s="495">
        <f>VLOOKUP(($B243*10)+8,Results,$G$4,FALSE)</f>
        <v>0</v>
      </c>
      <c r="V245" s="528">
        <f>VLOOKUP(($B243*10)+8,Results,$H$4,FALSE)</f>
        <v>0</v>
      </c>
      <c r="W245" s="600">
        <f>VLOOKUP(($B243*10)+1,Results,$I$4,FALSE)</f>
        <v>8</v>
      </c>
      <c r="X245" s="499">
        <f>VLOOKUP(($B243*10)+2,Results,$I$4,FALSE)</f>
        <v>0</v>
      </c>
      <c r="Y245" s="499">
        <f>VLOOKUP(($B243*10)+3,Results,$I$4,FALSE)</f>
        <v>0</v>
      </c>
      <c r="Z245" s="499">
        <f>VLOOKUP(($B243*10)+4,Results,$I$4,FALSE)</f>
        <v>7</v>
      </c>
      <c r="AA245" s="499">
        <f>VLOOKUP(($B243*10)+5,Results,$I$4,FALSE)</f>
        <v>0</v>
      </c>
      <c r="AB245" s="499">
        <f>VLOOKUP(($B243*10)+6,Results,$I$4,FALSE)</f>
        <v>0</v>
      </c>
      <c r="AC245" s="499">
        <f>VLOOKUP(($B243*10)+7,Results,$I$4,FALSE)</f>
        <v>0</v>
      </c>
      <c r="AD245" s="499">
        <f>VLOOKUP(($B243*10)+8,Results,$I$4,FALSE)</f>
        <v>6</v>
      </c>
    </row>
    <row r="246" spans="1:30" x14ac:dyDescent="0.3">
      <c r="A246" s="118" t="str">
        <f>B247&amp;"A"</f>
        <v>60A</v>
      </c>
      <c r="B246" s="506"/>
      <c r="C246" s="571"/>
      <c r="D246" s="479" t="str">
        <f>VLOOKUP(B247,EventsOrder,4,FALSE)</f>
        <v>U16 Male</v>
      </c>
      <c r="E246" s="515" t="s">
        <v>149</v>
      </c>
      <c r="F246" s="480"/>
      <c r="G246" s="481" t="str">
        <f>VLOOKUP(($B247*10)+1,Results,$F$3,FALSE)</f>
        <v/>
      </c>
      <c r="H246" s="482"/>
      <c r="I246" s="483" t="str">
        <f>VLOOKUP(($B247*10)+2,Results,$F$3,FALSE)</f>
        <v/>
      </c>
      <c r="J246" s="482"/>
      <c r="K246" s="483" t="str">
        <f>VLOOKUP(($B247*10)+3,Results,$F$3,FALSE)</f>
        <v/>
      </c>
      <c r="L246" s="482"/>
      <c r="M246" s="483" t="str">
        <f>VLOOKUP(($B247*10)+4,Results,$F$3,FALSE)</f>
        <v/>
      </c>
      <c r="N246" s="482"/>
      <c r="O246" s="483" t="str">
        <f>VLOOKUP(($B247*10)+5,Results,$F$3,FALSE)</f>
        <v/>
      </c>
      <c r="P246" s="482"/>
      <c r="Q246" s="483" t="str">
        <f>VLOOKUP(($B247*10)+6,Results,$F$3,FALSE)</f>
        <v/>
      </c>
      <c r="R246" s="484"/>
      <c r="S246" s="485" t="str">
        <f>VLOOKUP(($B247*10)+7,Results,$F$3,FALSE)</f>
        <v/>
      </c>
      <c r="T246" s="482"/>
      <c r="U246" s="483" t="str">
        <f>VLOOKUP(($B247*10)+8,Results,$F$3,FALSE)</f>
        <v/>
      </c>
      <c r="V246" s="486"/>
      <c r="W246" s="599"/>
      <c r="X246" s="488"/>
      <c r="Y246" s="488"/>
      <c r="Z246" s="488"/>
      <c r="AA246" s="488"/>
      <c r="AB246" s="488"/>
      <c r="AC246" s="488"/>
      <c r="AD246" s="488"/>
    </row>
    <row r="247" spans="1:30" x14ac:dyDescent="0.3">
      <c r="A247" s="118" t="str">
        <f>B247&amp;"A"</f>
        <v>60A</v>
      </c>
      <c r="B247" s="24">
        <v>60</v>
      </c>
      <c r="C247" s="572">
        <f>VLOOKUP(B247,EventsOrder,2,FALSE)</f>
        <v>3.3</v>
      </c>
      <c r="D247" s="490"/>
      <c r="E247" s="11"/>
      <c r="F247" s="492"/>
      <c r="G247" s="493">
        <f>VLOOKUP(($B247*10)+1,Results,$G$3,FALSE)</f>
        <v>0</v>
      </c>
      <c r="H247" s="505">
        <f>VLOOKUP(($B247*10)+1,Results,$H$3,FALSE)</f>
        <v>0</v>
      </c>
      <c r="I247" s="495">
        <f>VLOOKUP(($B247*10)+2,Results,$G$3,FALSE)</f>
        <v>0</v>
      </c>
      <c r="J247" s="505">
        <f>VLOOKUP(($B247*10)+2,Results,$H$3,FALSE)</f>
        <v>0</v>
      </c>
      <c r="K247" s="495">
        <f>VLOOKUP(($B247*10)+3,Results,$G$3,FALSE)</f>
        <v>0</v>
      </c>
      <c r="L247" s="505">
        <f>VLOOKUP(($B247*10)+3,Results,$H$3,FALSE)</f>
        <v>0</v>
      </c>
      <c r="M247" s="495">
        <f>VLOOKUP(($B247*10)+4,Results,$G$3,FALSE)</f>
        <v>0</v>
      </c>
      <c r="N247" s="505">
        <f>VLOOKUP(($B247*10)+4,Results,$H$3,FALSE)</f>
        <v>0</v>
      </c>
      <c r="O247" s="495">
        <f>VLOOKUP(($B247*10)+5,Results,$G$3,FALSE)</f>
        <v>0</v>
      </c>
      <c r="P247" s="505">
        <f>VLOOKUP(($B247*10)+5,Results,$H$3,FALSE)</f>
        <v>0</v>
      </c>
      <c r="Q247" s="495">
        <f>VLOOKUP(($B247*10)+6,Results,$G$3,FALSE)</f>
        <v>0</v>
      </c>
      <c r="R247" s="505">
        <f>VLOOKUP(($B247*10)+6,Results,$H$3,FALSE)</f>
        <v>0</v>
      </c>
      <c r="S247" s="496">
        <f>VLOOKUP(($B247*10)+7,Results,$G$3,FALSE)</f>
        <v>0</v>
      </c>
      <c r="T247" s="505">
        <f>VLOOKUP(($B247*10)+7,Results,$H$3,FALSE)</f>
        <v>0</v>
      </c>
      <c r="U247" s="495">
        <f>VLOOKUP(($B247*10)+8,Results,$G$3,FALSE)</f>
        <v>0</v>
      </c>
      <c r="V247" s="601">
        <f>VLOOKUP(($B247*10)+8,Results,$H$3,FALSE)</f>
        <v>0</v>
      </c>
      <c r="W247" s="600">
        <f>VLOOKUP(($B247*10)+1,Results,$I$3,FALSE)</f>
        <v>0</v>
      </c>
      <c r="X247" s="499">
        <f>VLOOKUP(($B247*10)+2,Results,$I$3,FALSE)</f>
        <v>0</v>
      </c>
      <c r="Y247" s="499">
        <f>VLOOKUP(($B247*10)+3,Results,$I$3,FALSE)</f>
        <v>0</v>
      </c>
      <c r="Z247" s="499">
        <f>VLOOKUP(($B247*10)+4,Results,$I$3,FALSE)</f>
        <v>0</v>
      </c>
      <c r="AA247" s="499">
        <f>VLOOKUP(($B247*10)+5,Results,$I$3,FALSE)</f>
        <v>0</v>
      </c>
      <c r="AB247" s="499">
        <f>VLOOKUP(($B247*10)+6,Results,$I$3,FALSE)</f>
        <v>0</v>
      </c>
      <c r="AC247" s="499">
        <f>VLOOKUP(($B247*10)+7,Results,$I$3,FALSE)</f>
        <v>0</v>
      </c>
      <c r="AD247" s="499">
        <f>VLOOKUP(($B247*10)+8,Results,$I$3,FALSE)</f>
        <v>0</v>
      </c>
    </row>
    <row r="248" spans="1:30" x14ac:dyDescent="0.3">
      <c r="A248" s="118" t="str">
        <f>B247&amp;"B"</f>
        <v>60B</v>
      </c>
      <c r="B248" s="506"/>
      <c r="C248" s="572"/>
      <c r="D248" s="479" t="str">
        <f>VLOOKUP(B247,EventsOrder,3,FALSE)</f>
        <v>Discus</v>
      </c>
      <c r="E248" s="515" t="s">
        <v>94</v>
      </c>
      <c r="F248" s="529"/>
      <c r="G248" s="547" t="str">
        <f>VLOOKUP(($B247*10)+1,Results,$F$4,FALSE)</f>
        <v/>
      </c>
      <c r="H248" s="517"/>
      <c r="I248" s="548" t="str">
        <f>VLOOKUP(($B247*10)+2,Results,$F$4,FALSE)</f>
        <v/>
      </c>
      <c r="J248" s="517"/>
      <c r="K248" s="548" t="str">
        <f>VLOOKUP(($B247*10)+3,Results,$F$4,FALSE)</f>
        <v/>
      </c>
      <c r="L248" s="517"/>
      <c r="M248" s="548" t="str">
        <f>VLOOKUP(($B247*10)+4,Results,$F$4,FALSE)</f>
        <v/>
      </c>
      <c r="N248" s="517"/>
      <c r="O248" s="548" t="str">
        <f>VLOOKUP(($B247*10)+5,Results,$F$4,FALSE)</f>
        <v/>
      </c>
      <c r="P248" s="517"/>
      <c r="Q248" s="548" t="str">
        <f>VLOOKUP(($B247*10)+6,Results,$F$4,FALSE)</f>
        <v/>
      </c>
      <c r="R248" s="549"/>
      <c r="S248" s="575" t="str">
        <f>VLOOKUP(($B247*10)+7,Results,$F$4,FALSE)</f>
        <v/>
      </c>
      <c r="T248" s="517"/>
      <c r="U248" s="548" t="str">
        <f>VLOOKUP(($B247*10)+8,Results,$F$4,FALSE)</f>
        <v/>
      </c>
      <c r="V248" s="519"/>
      <c r="W248" s="599"/>
      <c r="X248" s="488"/>
      <c r="Y248" s="488"/>
      <c r="Z248" s="488"/>
      <c r="AA248" s="488"/>
      <c r="AB248" s="488"/>
      <c r="AC248" s="488"/>
      <c r="AD248" s="488"/>
    </row>
    <row r="249" spans="1:30" ht="15" thickBot="1" x14ac:dyDescent="0.35">
      <c r="A249" s="118" t="str">
        <f>B247&amp;"B"</f>
        <v>60B</v>
      </c>
      <c r="B249" s="506"/>
      <c r="C249" s="576"/>
      <c r="D249" s="502"/>
      <c r="E249" s="523"/>
      <c r="F249" s="503"/>
      <c r="G249" s="554">
        <f>VLOOKUP(($B247*10)+1,Results,$G$4,FALSE)</f>
        <v>0</v>
      </c>
      <c r="H249" s="505">
        <f>VLOOKUP(($B247*10)+1,Results,$H$4,FALSE)</f>
        <v>0</v>
      </c>
      <c r="I249" s="556">
        <f>VLOOKUP(($B247*10)+2,Results,$G$4,FALSE)</f>
        <v>0</v>
      </c>
      <c r="J249" s="505">
        <f>VLOOKUP(($B247*10)+2,Results,$H$4,FALSE)</f>
        <v>0</v>
      </c>
      <c r="K249" s="556">
        <f>VLOOKUP(($B247*10)+3,Results,$G$4,FALSE)</f>
        <v>0</v>
      </c>
      <c r="L249" s="505">
        <f>VLOOKUP(($B247*10)+3,Results,$H$4,FALSE)</f>
        <v>0</v>
      </c>
      <c r="M249" s="556">
        <f>VLOOKUP(($B247*10)+4,Results,$G$4,FALSE)</f>
        <v>0</v>
      </c>
      <c r="N249" s="505">
        <f>VLOOKUP(($B247*10)+4,Results,$H$4,FALSE)</f>
        <v>0</v>
      </c>
      <c r="O249" s="556">
        <f>VLOOKUP(($B247*10)+5,Results,$G$4,FALSE)</f>
        <v>0</v>
      </c>
      <c r="P249" s="505">
        <f>VLOOKUP(($B247*10)+5,Results,$H$4,FALSE)</f>
        <v>0</v>
      </c>
      <c r="Q249" s="556">
        <f>VLOOKUP(($B247*10)+6,Results,$G$4,FALSE)</f>
        <v>0</v>
      </c>
      <c r="R249" s="505">
        <f>VLOOKUP(($B247*10)+6,Results,$H$4,FALSE)</f>
        <v>0</v>
      </c>
      <c r="S249" s="556">
        <f>VLOOKUP(($B247*10)+7,Results,$G$4,FALSE)</f>
        <v>0</v>
      </c>
      <c r="T249" s="505">
        <f>VLOOKUP(($B247*10)+7,Results,$H$4,FALSE)</f>
        <v>0</v>
      </c>
      <c r="U249" s="556">
        <f>VLOOKUP(($B247*10)+8,Results,$G$4,FALSE)</f>
        <v>0</v>
      </c>
      <c r="V249" s="601">
        <f>VLOOKUP(($B247*10)+8,Results,$H$4,FALSE)</f>
        <v>0</v>
      </c>
      <c r="W249" s="600">
        <f>VLOOKUP(($B247*10)+1,Results,$I$4,FALSE)</f>
        <v>0</v>
      </c>
      <c r="X249" s="499">
        <f>VLOOKUP(($B247*10)+2,Results,$I$4,FALSE)</f>
        <v>0</v>
      </c>
      <c r="Y249" s="499">
        <f>VLOOKUP(($B247*10)+3,Results,$I$4,FALSE)</f>
        <v>0</v>
      </c>
      <c r="Z249" s="499">
        <f>VLOOKUP(($B247*10)+4,Results,$I$4,FALSE)</f>
        <v>0</v>
      </c>
      <c r="AA249" s="499">
        <f>VLOOKUP(($B247*10)+5,Results,$I$4,FALSE)</f>
        <v>0</v>
      </c>
      <c r="AB249" s="499">
        <f>VLOOKUP(($B247*10)+6,Results,$I$4,FALSE)</f>
        <v>0</v>
      </c>
      <c r="AC249" s="499">
        <f>VLOOKUP(($B247*10)+7,Results,$I$4,FALSE)</f>
        <v>0</v>
      </c>
      <c r="AD249" s="499">
        <f>VLOOKUP(($B247*10)+8,Results,$I$4,FALSE)</f>
        <v>0</v>
      </c>
    </row>
    <row r="250" spans="1:30" x14ac:dyDescent="0.3">
      <c r="A250" s="118" t="str">
        <f>B251&amp;"A"</f>
        <v>72A</v>
      </c>
      <c r="B250" s="506"/>
      <c r="C250" s="571"/>
      <c r="D250" s="479" t="str">
        <f>VLOOKUP(B251,EventsOrder,4,FALSE)</f>
        <v>U16 Male</v>
      </c>
      <c r="E250" s="515" t="s">
        <v>149</v>
      </c>
      <c r="F250" s="480"/>
      <c r="G250" s="481" t="str">
        <f>VLOOKUP(($B251*10)+1,Results,$F$3,FALSE)</f>
        <v>Charlie Hughes</v>
      </c>
      <c r="H250" s="482"/>
      <c r="I250" s="483" t="str">
        <f>VLOOKUP(($B251*10)+2,Results,$F$3,FALSE)</f>
        <v>Dominic Francis-Gordon</v>
      </c>
      <c r="J250" s="482"/>
      <c r="K250" s="483" t="str">
        <f>VLOOKUP(($B251*10)+3,Results,$F$3,FALSE)</f>
        <v>Zac Birch</v>
      </c>
      <c r="L250" s="482"/>
      <c r="M250" s="483" t="str">
        <f>VLOOKUP(($B251*10)+4,Results,$F$3,FALSE)</f>
        <v>Alfie Goodman</v>
      </c>
      <c r="N250" s="482"/>
      <c r="O250" s="483" t="str">
        <f>VLOOKUP(($B251*10)+5,Results,$F$3,FALSE)</f>
        <v>Reuban Higgins</v>
      </c>
      <c r="P250" s="482"/>
      <c r="Q250" s="483" t="str">
        <f>VLOOKUP(($B251*10)+6,Results,$F$3,FALSE)</f>
        <v>Oscar Farmer</v>
      </c>
      <c r="R250" s="484"/>
      <c r="S250" s="485" t="str">
        <f>VLOOKUP(($B251*10)+7,Results,$F$3,FALSE)</f>
        <v>Oscar Brehler</v>
      </c>
      <c r="T250" s="482"/>
      <c r="U250" s="483" t="str">
        <f>VLOOKUP(($B251*10)+8,Results,$F$3,FALSE)</f>
        <v/>
      </c>
      <c r="V250" s="486"/>
      <c r="W250" s="599"/>
      <c r="X250" s="488"/>
      <c r="Y250" s="488"/>
      <c r="Z250" s="488"/>
      <c r="AA250" s="488"/>
      <c r="AB250" s="488"/>
      <c r="AC250" s="488"/>
      <c r="AD250" s="488"/>
    </row>
    <row r="251" spans="1:30" x14ac:dyDescent="0.3">
      <c r="A251" s="118" t="str">
        <f>B251&amp;"A"</f>
        <v>72A</v>
      </c>
      <c r="B251" s="24">
        <v>72</v>
      </c>
      <c r="C251" s="572">
        <f>VLOOKUP(B251,EventsOrder,2,FALSE)</f>
        <v>4.25</v>
      </c>
      <c r="D251" s="490"/>
      <c r="E251" s="11"/>
      <c r="F251" s="492"/>
      <c r="G251" s="493" t="str">
        <f>VLOOKUP(($B251*10)+1,Results,$G$3,FALSE)</f>
        <v>Sol</v>
      </c>
      <c r="H251" s="494">
        <f>VLOOKUP(($B251*10)+1,Results,$H$3,FALSE)</f>
        <v>23.5</v>
      </c>
      <c r="I251" s="495" t="str">
        <f>VLOOKUP(($B251*10)+2,Results,$G$3,FALSE)</f>
        <v>BRAT</v>
      </c>
      <c r="J251" s="494">
        <f>VLOOKUP(($B251*10)+2,Results,$H$3,FALSE)</f>
        <v>24.2</v>
      </c>
      <c r="K251" s="495" t="str">
        <f>VLOOKUP(($B251*10)+3,Results,$G$3,FALSE)</f>
        <v>Strat</v>
      </c>
      <c r="L251" s="494">
        <f>VLOOKUP(($B251*10)+3,Results,$H$3,FALSE)</f>
        <v>24.4</v>
      </c>
      <c r="M251" s="495" t="str">
        <f>VLOOKUP(($B251*10)+4,Results,$G$3,FALSE)</f>
        <v>Rugby</v>
      </c>
      <c r="N251" s="494">
        <f>VLOOKUP(($B251*10)+4,Results,$H$3,FALSE)</f>
        <v>24.7</v>
      </c>
      <c r="O251" s="495" t="str">
        <f>VLOOKUP(($B251*10)+5,Results,$G$3,FALSE)</f>
        <v>Royal</v>
      </c>
      <c r="P251" s="494">
        <f>VLOOKUP(($B251*10)+5,Results,$H$3,FALSE)</f>
        <v>25.4</v>
      </c>
      <c r="Q251" s="495" t="str">
        <f>VLOOKUP(($B251*10)+6,Results,$G$3,FALSE)</f>
        <v>Worc</v>
      </c>
      <c r="R251" s="495">
        <f>VLOOKUP(($B251*10)+6,Results,$H$3,FALSE)</f>
        <v>25.7</v>
      </c>
      <c r="S251" s="496" t="str">
        <f>VLOOKUP(($B251*10)+7,Results,$G$3,FALSE)</f>
        <v>Tam</v>
      </c>
      <c r="T251" s="494">
        <f>VLOOKUP(($B251*10)+7,Results,$H$3,FALSE)</f>
        <v>25.8</v>
      </c>
      <c r="U251" s="495">
        <f>VLOOKUP(($B251*10)+8,Results,$G$3,FALSE)</f>
        <v>0</v>
      </c>
      <c r="V251" s="497">
        <f>VLOOKUP(($B251*10)+8,Results,$H$3,FALSE)</f>
        <v>0</v>
      </c>
      <c r="W251" s="600">
        <f>VLOOKUP(($B251*10)+1,Results,$I$3,FALSE)</f>
        <v>7</v>
      </c>
      <c r="X251" s="499">
        <f>VLOOKUP(($B251*10)+2,Results,$I$3,FALSE)</f>
        <v>0</v>
      </c>
      <c r="Y251" s="499">
        <f>VLOOKUP(($B251*10)+3,Results,$I$3,FALSE)</f>
        <v>4</v>
      </c>
      <c r="Z251" s="499">
        <f>VLOOKUP(($B251*10)+4,Results,$I$3,FALSE)</f>
        <v>5</v>
      </c>
      <c r="AA251" s="499">
        <f>VLOOKUP(($B251*10)+5,Results,$I$3,FALSE)</f>
        <v>8</v>
      </c>
      <c r="AB251" s="499">
        <f>VLOOKUP(($B251*10)+6,Results,$I$3,FALSE)</f>
        <v>6</v>
      </c>
      <c r="AC251" s="499">
        <f>VLOOKUP(($B251*10)+7,Results,$I$3,FALSE)</f>
        <v>2</v>
      </c>
      <c r="AD251" s="499">
        <f>VLOOKUP(($B251*10)+8,Results,$I$3,FALSE)</f>
        <v>3</v>
      </c>
    </row>
    <row r="252" spans="1:30" x14ac:dyDescent="0.3">
      <c r="A252" s="118" t="str">
        <f>B251&amp;"B"</f>
        <v>72B</v>
      </c>
      <c r="B252" s="506"/>
      <c r="C252" s="572"/>
      <c r="D252" s="479" t="str">
        <f>VLOOKUP(B251,EventsOrder,3,FALSE)</f>
        <v>200m</v>
      </c>
      <c r="E252" s="515" t="s">
        <v>94</v>
      </c>
      <c r="F252" s="529"/>
      <c r="G252" s="547" t="str">
        <f>VLOOKUP(($B251*10)+1,Results,$F$4,FALSE)</f>
        <v xml:space="preserve">JAYARD VALERIO </v>
      </c>
      <c r="H252" s="517"/>
      <c r="I252" s="548" t="str">
        <f>VLOOKUP(($B251*10)+2,Results,$F$4,FALSE)</f>
        <v>Joseph Smith</v>
      </c>
      <c r="J252" s="517"/>
      <c r="K252" s="548" t="str">
        <f>VLOOKUP(($B251*10)+3,Results,$F$4,FALSE)</f>
        <v xml:space="preserve">Jasper Cooper </v>
      </c>
      <c r="L252" s="517"/>
      <c r="M252" s="548" t="str">
        <f>VLOOKUP(($B251*10)+4,Results,$F$4,FALSE)</f>
        <v>Tyrell Fowles</v>
      </c>
      <c r="N252" s="517"/>
      <c r="O252" s="548" t="str">
        <f>VLOOKUP(($B251*10)+5,Results,$F$4,FALSE)</f>
        <v>Jason Bedford</v>
      </c>
      <c r="P252" s="517"/>
      <c r="Q252" s="548" t="str">
        <f>VLOOKUP(($B251*10)+6,Results,$F$4,FALSE)</f>
        <v>Lucas Lee</v>
      </c>
      <c r="R252" s="549"/>
      <c r="S252" s="575" t="str">
        <f>VLOOKUP(($B251*10)+7,Results,$F$4,FALSE)</f>
        <v>Harry Groves</v>
      </c>
      <c r="T252" s="517"/>
      <c r="U252" s="548" t="str">
        <f>VLOOKUP(($B251*10)+8,Results,$F$4,FALSE)</f>
        <v/>
      </c>
      <c r="V252" s="519"/>
      <c r="W252" s="599"/>
      <c r="X252" s="488"/>
      <c r="Y252" s="488"/>
      <c r="Z252" s="488"/>
      <c r="AA252" s="488"/>
      <c r="AB252" s="488"/>
      <c r="AC252" s="488"/>
      <c r="AD252" s="488"/>
    </row>
    <row r="253" spans="1:30" ht="15" thickBot="1" x14ac:dyDescent="0.35">
      <c r="A253" s="118" t="str">
        <f>B251&amp;"B"</f>
        <v>72B</v>
      </c>
      <c r="B253" s="530"/>
      <c r="C253" s="576"/>
      <c r="D253" s="502"/>
      <c r="E253" s="523"/>
      <c r="F253" s="503"/>
      <c r="G253" s="554" t="str">
        <f>VLOOKUP(($B251*10)+1,Results,$G$4,FALSE)</f>
        <v>BRAT</v>
      </c>
      <c r="H253" s="577">
        <f>VLOOKUP(($B251*10)+1,Results,$H$4,FALSE)</f>
        <v>24.9</v>
      </c>
      <c r="I253" s="556" t="str">
        <f>VLOOKUP(($B251*10)+2,Results,$G$4,FALSE)</f>
        <v>Royal</v>
      </c>
      <c r="J253" s="577">
        <f>VLOOKUP(($B251*10)+2,Results,$H$4,FALSE)</f>
        <v>25</v>
      </c>
      <c r="K253" s="556" t="str">
        <f>VLOOKUP(($B251*10)+3,Results,$G$4,FALSE)</f>
        <v>Strat</v>
      </c>
      <c r="L253" s="577">
        <f>VLOOKUP(($B251*10)+3,Results,$H$4,FALSE)</f>
        <v>25.6</v>
      </c>
      <c r="M253" s="556" t="str">
        <f>VLOOKUP(($B251*10)+4,Results,$G$4,FALSE)</f>
        <v>Rugby</v>
      </c>
      <c r="N253" s="577">
        <f>VLOOKUP(($B251*10)+4,Results,$H$4,FALSE)</f>
        <v>25.6</v>
      </c>
      <c r="O253" s="556" t="str">
        <f>VLOOKUP(($B251*10)+5,Results,$G$4,FALSE)</f>
        <v>Sol</v>
      </c>
      <c r="P253" s="577">
        <f>VLOOKUP(($B251*10)+5,Results,$H$4,FALSE)</f>
        <v>25.7</v>
      </c>
      <c r="Q253" s="556" t="str">
        <f>VLOOKUP(($B251*10)+6,Results,$G$4,FALSE)</f>
        <v>Tam</v>
      </c>
      <c r="R253" s="577">
        <f>VLOOKUP(($B251*10)+6,Results,$H$4,FALSE)</f>
        <v>26.3</v>
      </c>
      <c r="S253" s="556" t="str">
        <f>VLOOKUP(($B251*10)+7,Results,$G$4,FALSE)</f>
        <v>Worc</v>
      </c>
      <c r="T253" s="577">
        <f>VLOOKUP(($B251*10)+7,Results,$H$4,FALSE)</f>
        <v>30.5</v>
      </c>
      <c r="U253" s="556">
        <f>VLOOKUP(($B251*10)+8,Results,$G$4,FALSE)</f>
        <v>0</v>
      </c>
      <c r="V253" s="578">
        <f>VLOOKUP(($B251*10)+8,Results,$H$4,FALSE)</f>
        <v>0</v>
      </c>
      <c r="W253" s="600">
        <f>VLOOKUP(($B251*10)+1,Results,$I$4,FALSE)</f>
        <v>8</v>
      </c>
      <c r="X253" s="499">
        <f>VLOOKUP(($B251*10)+2,Results,$I$4,FALSE)</f>
        <v>0</v>
      </c>
      <c r="Y253" s="499">
        <f>VLOOKUP(($B251*10)+3,Results,$I$4,FALSE)</f>
        <v>7</v>
      </c>
      <c r="Z253" s="499">
        <f>VLOOKUP(($B251*10)+4,Results,$I$4,FALSE)</f>
        <v>5</v>
      </c>
      <c r="AA253" s="499">
        <f>VLOOKUP(($B251*10)+5,Results,$I$4,FALSE)</f>
        <v>4</v>
      </c>
      <c r="AB253" s="499">
        <f>VLOOKUP(($B251*10)+6,Results,$I$4,FALSE)</f>
        <v>6</v>
      </c>
      <c r="AC253" s="499">
        <f>VLOOKUP(($B251*10)+7,Results,$I$4,FALSE)</f>
        <v>3</v>
      </c>
      <c r="AD253" s="499">
        <f>VLOOKUP(($B251*10)+8,Results,$I$4,FALSE)</f>
        <v>2</v>
      </c>
    </row>
    <row r="254" spans="1:30" x14ac:dyDescent="0.3">
      <c r="A254" s="118" t="str">
        <f>B255&amp;"A"</f>
        <v>86A</v>
      </c>
      <c r="B254" s="506"/>
      <c r="C254" s="524"/>
      <c r="F254" s="480"/>
      <c r="G254" s="481" t="str">
        <f>VLOOKUP(($B255*10)+1,Results,$F$3,FALSE)</f>
        <v>BRAT</v>
      </c>
      <c r="H254" s="482"/>
      <c r="I254" s="483" t="str">
        <f>VLOOKUP(($B255*10)+2,Results,$F$3,FALSE)</f>
        <v>Rugby &amp; N'hampton</v>
      </c>
      <c r="J254" s="484"/>
      <c r="K254" s="485" t="str">
        <f>VLOOKUP(($B255*10)+3,Results,$F$3,FALSE)</f>
        <v>Royal Sutton</v>
      </c>
      <c r="L254" s="482"/>
      <c r="M254" s="483" t="str">
        <f>VLOOKUP(($B255*10)+4,Results,$F$3,FALSE)</f>
        <v>Stratford</v>
      </c>
      <c r="N254" s="482"/>
      <c r="O254" s="483" t="str">
        <f>VLOOKUP(($B255*10)+5,Results,$F$3,FALSE)</f>
        <v>Solihull &amp; S.Heath</v>
      </c>
      <c r="P254" s="482"/>
      <c r="Q254" s="483" t="str">
        <f>VLOOKUP(($B255*10)+6,Results,$F$3,FALSE)</f>
        <v>Tamworth</v>
      </c>
      <c r="R254" s="484"/>
      <c r="S254" s="485" t="str">
        <f>VLOOKUP(($B255*10)+7,Results,$F$3,FALSE)</f>
        <v>Worcester</v>
      </c>
      <c r="T254" s="482"/>
      <c r="U254" s="483" t="str">
        <f>VLOOKUP(($B255*10)+8,Results,$F$3,FALSE)</f>
        <v/>
      </c>
      <c r="V254" s="486"/>
      <c r="W254" s="599"/>
      <c r="X254" s="488"/>
      <c r="Y254" s="488"/>
      <c r="Z254" s="488"/>
      <c r="AA254" s="488"/>
      <c r="AB254" s="488"/>
      <c r="AC254" s="488"/>
      <c r="AD254" s="488"/>
    </row>
    <row r="255" spans="1:30" x14ac:dyDescent="0.3">
      <c r="A255" s="118" t="str">
        <f>B255&amp;"A"</f>
        <v>86A</v>
      </c>
      <c r="B255" s="24">
        <v>86</v>
      </c>
      <c r="C255" s="221">
        <f>VLOOKUP(B255,EventsOrder,2,FALSE)</f>
        <v>5.0999999999999996</v>
      </c>
      <c r="D255" s="490" t="str">
        <f>VLOOKUP(B255,EventsOrder,4,FALSE)</f>
        <v>U16 Male</v>
      </c>
      <c r="E255" s="491"/>
      <c r="F255" s="492"/>
      <c r="G255" s="493" t="str">
        <f>VLOOKUP(($B255*10)+1,Results,$F$3-1,FALSE)</f>
        <v>S - BRAT</v>
      </c>
      <c r="H255" s="505">
        <f>VLOOKUP(($B255*10)+1,Results,$H$3,FALSE)</f>
        <v>47</v>
      </c>
      <c r="I255" s="495" t="str">
        <f>VLOOKUP(($B255*10)+2,Results,$F$3-1,FALSE)</f>
        <v>R - Rugby</v>
      </c>
      <c r="J255" s="505">
        <f>VLOOKUP(($B255*10)+2,Results,$H$3,FALSE)</f>
        <v>48</v>
      </c>
      <c r="K255" s="495" t="str">
        <f>VLOOKUP(($B255*10)+3,Results,$F$3-1,FALSE)</f>
        <v>G - Royal</v>
      </c>
      <c r="L255" s="505">
        <f>VLOOKUP(($B255*10)+3,Results,$H$3,FALSE)</f>
        <v>48.4</v>
      </c>
      <c r="M255" s="495" t="str">
        <f>VLOOKUP(($B255*10)+4,Results,$F$3-1,FALSE)</f>
        <v>D - Strat</v>
      </c>
      <c r="N255" s="505">
        <f>VLOOKUP(($B255*10)+4,Results,$H$3,FALSE)</f>
        <v>49.4</v>
      </c>
      <c r="O255" s="495" t="str">
        <f>VLOOKUP(($B255*10)+5,Results,$F$3-1,FALSE)</f>
        <v>M - Sol</v>
      </c>
      <c r="P255" s="505">
        <f>VLOOKUP(($B255*10)+5,Results,$H$3,FALSE)</f>
        <v>49.7</v>
      </c>
      <c r="Q255" s="495" t="str">
        <f>VLOOKUP(($B255*10)+6,Results,$F$3-1,FALSE)</f>
        <v>F - Tam</v>
      </c>
      <c r="R255" s="505">
        <f>VLOOKUP(($B255*10)+6,Results,$H$3,FALSE)</f>
        <v>51.8</v>
      </c>
      <c r="S255" s="495" t="str">
        <f>VLOOKUP(($B255*10)+7,Results,$F$3-1,FALSE)</f>
        <v>Y - Worc</v>
      </c>
      <c r="T255" s="505">
        <f>VLOOKUP(($B255*10)+7,Results,$H$3,FALSE)</f>
        <v>51.9</v>
      </c>
      <c r="U255" s="495" t="str">
        <f>VLOOKUP(($B255*10)+8,Results,$F$3-1,FALSE)</f>
        <v/>
      </c>
      <c r="V255" s="601">
        <f>VLOOKUP(($B255*10)+8,Results,$H$3,FALSE)</f>
        <v>0</v>
      </c>
      <c r="W255" s="600">
        <f>VLOOKUP(($B255*10)+1,Results,$I$3,FALSE)</f>
        <v>8</v>
      </c>
      <c r="X255" s="499">
        <f>VLOOKUP(($B255*10)+2,Results,$I$3,FALSE)</f>
        <v>0</v>
      </c>
      <c r="Y255" s="499">
        <f>VLOOKUP(($B255*10)+3,Results,$I$3,FALSE)</f>
        <v>6</v>
      </c>
      <c r="Z255" s="499">
        <f>VLOOKUP(($B255*10)+4,Results,$I$3,FALSE)</f>
        <v>7</v>
      </c>
      <c r="AA255" s="499">
        <f>VLOOKUP(($B255*10)+5,Results,$I$3,FALSE)</f>
        <v>4</v>
      </c>
      <c r="AB255" s="499">
        <f>VLOOKUP(($B255*10)+6,Results,$I$3,FALSE)</f>
        <v>5</v>
      </c>
      <c r="AC255" s="499">
        <f>VLOOKUP(($B255*10)+7,Results,$I$3,FALSE)</f>
        <v>3</v>
      </c>
      <c r="AD255" s="499">
        <f>VLOOKUP(($B255*10)+8,Results,$I$3,FALSE)</f>
        <v>2</v>
      </c>
    </row>
    <row r="256" spans="1:30" x14ac:dyDescent="0.3">
      <c r="A256" s="118" t="str">
        <f>B255&amp;"B"</f>
        <v>86B</v>
      </c>
      <c r="B256" s="417"/>
      <c r="C256" s="550"/>
      <c r="D256" s="85"/>
      <c r="E256" s="56"/>
      <c r="F256" s="534">
        <v>1</v>
      </c>
      <c r="G256" s="608" t="str">
        <f>IF(LEN(G$255)&gt;1,HLOOKUP(G$255,Relays,$A508,FALSE),"")</f>
        <v xml:space="preserve">William Tse </v>
      </c>
      <c r="H256" s="558"/>
      <c r="I256" s="559" t="str">
        <f>IF(LEN(I$255)&gt;1,HLOOKUP(I$255,Relays,$A508,FALSE),"")</f>
        <v>Joe Walden</v>
      </c>
      <c r="J256" s="560"/>
      <c r="K256" s="559" t="str">
        <f>IF(LEN(K$255)&gt;1,HLOOKUP(K$255,Relays,$A508,FALSE),"")</f>
        <v>Joshua Smith</v>
      </c>
      <c r="L256" s="560"/>
      <c r="M256" s="559" t="str">
        <f>IF(LEN(M$255)&gt;1,HLOOKUP(M$255,Relays,$A508,FALSE),"")</f>
        <v>Charlie Castle</v>
      </c>
      <c r="N256" s="583"/>
      <c r="O256" s="559" t="str">
        <f>IF(LEN(O$255)&gt;1,HLOOKUP(O$255,Relays,$A508,FALSE),"")</f>
        <v>Joshua Baylis</v>
      </c>
      <c r="P256" s="561"/>
      <c r="Q256" s="559" t="str">
        <f>IF(LEN(Q$255)&gt;1,HLOOKUP(Q$255,Relays,$A508,FALSE),"")</f>
        <v>Joseph Sizer</v>
      </c>
      <c r="R256" s="561"/>
      <c r="S256" s="559">
        <f>IF(LEN(S$255)&gt;1,HLOOKUP(S$255,Relays,$A508,FALSE),"")</f>
        <v>0</v>
      </c>
      <c r="T256" s="561"/>
      <c r="U256" s="559" t="str">
        <f>IF(LEN(U$255)&gt;1,HLOOKUP(U$255,Relays,$A508,FALSE),"")</f>
        <v/>
      </c>
      <c r="V256" s="581"/>
      <c r="W256" s="606"/>
      <c r="X256" s="512"/>
      <c r="Y256" s="512"/>
      <c r="Z256" s="512"/>
      <c r="AA256" s="512"/>
      <c r="AB256" s="512"/>
      <c r="AC256" s="512"/>
      <c r="AD256" s="512"/>
    </row>
    <row r="257" spans="1:30" x14ac:dyDescent="0.3">
      <c r="A257" s="118" t="str">
        <f>B255&amp;"B"</f>
        <v>86B</v>
      </c>
      <c r="B257" s="506"/>
      <c r="D257" s="479" t="str">
        <f>VLOOKUP(B255,EventsOrder,3,FALSE)</f>
        <v>4 x 100m</v>
      </c>
      <c r="E257" s="56"/>
      <c r="F257" s="534">
        <v>2</v>
      </c>
      <c r="G257" s="609" t="str">
        <f>IF(LEN(G$255)&gt;1,HLOOKUP(G$255,Relays,$A509,FALSE),"")</f>
        <v>Elliot Jones</v>
      </c>
      <c r="H257" s="562"/>
      <c r="I257" s="557" t="str">
        <f>IF(LEN(I$255)&gt;1,HLOOKUP(I$255,Relays,$A509,FALSE),"")</f>
        <v>Ademiposi (Gideon) Aderibigbe</v>
      </c>
      <c r="J257" s="562"/>
      <c r="K257" s="557" t="str">
        <f>IF(LEN(K$255)&gt;1,HLOOKUP(K$255,Relays,$A509,FALSE),"")</f>
        <v>Karram Sahota</v>
      </c>
      <c r="L257" s="562"/>
      <c r="M257" s="557" t="str">
        <f>IF(LEN(M$255)&gt;1,HLOOKUP(M$255,Relays,$A509,FALSE),"")</f>
        <v>Fynn Allen</v>
      </c>
      <c r="N257" s="562"/>
      <c r="O257" s="557" t="str">
        <f>IF(LEN(O$255)&gt;1,HLOOKUP(O$255,Relays,$A509,FALSE),"")</f>
        <v>Peter Holdsworth</v>
      </c>
      <c r="P257" s="562"/>
      <c r="Q257" s="557" t="str">
        <f>IF(LEN(Q$255)&gt;1,HLOOKUP(Q$255,Relays,$A509,FALSE),"")</f>
        <v>Alfie Kemp</v>
      </c>
      <c r="R257" s="562"/>
      <c r="S257" s="557">
        <f>IF(LEN(S$255)&gt;1,HLOOKUP(S$255,Relays,$A509,FALSE),"")</f>
        <v>0</v>
      </c>
      <c r="T257" s="562"/>
      <c r="U257" s="557" t="str">
        <f>IF(LEN(U$255)&gt;1,HLOOKUP(U$255,Relays,$A509,FALSE),"")</f>
        <v/>
      </c>
      <c r="V257" s="519"/>
      <c r="W257" s="606"/>
      <c r="X257" s="512"/>
      <c r="Y257" s="512"/>
      <c r="Z257" s="512"/>
      <c r="AA257" s="512"/>
      <c r="AB257" s="512"/>
      <c r="AC257" s="512"/>
      <c r="AD257" s="512"/>
    </row>
    <row r="258" spans="1:30" x14ac:dyDescent="0.3">
      <c r="A258" s="118" t="str">
        <f>B255&amp;"R"</f>
        <v>86R</v>
      </c>
      <c r="B258" s="506"/>
      <c r="C258" s="550"/>
      <c r="E258" s="56"/>
      <c r="F258" s="534">
        <v>3</v>
      </c>
      <c r="G258" s="609" t="str">
        <f>IF(LEN(G$255)&gt;1,HLOOKUP(G$255,Relays,$A510,FALSE),"")</f>
        <v>Ethan Jatta</v>
      </c>
      <c r="H258" s="560"/>
      <c r="I258" s="557" t="str">
        <f>IF(LEN(I$255)&gt;1,HLOOKUP(I$255,Relays,$A510,FALSE),"")</f>
        <v>Robert Copeland</v>
      </c>
      <c r="J258" s="560"/>
      <c r="K258" s="557" t="str">
        <f>IF(LEN(K$255)&gt;1,HLOOKUP(K$255,Relays,$A510,FALSE),"")</f>
        <v>Oliver Marsh</v>
      </c>
      <c r="L258" s="560"/>
      <c r="M258" s="557" t="str">
        <f>IF(LEN(M$255)&gt;1,HLOOKUP(M$255,Relays,$A510,FALSE),"")</f>
        <v>Casper Willis</v>
      </c>
      <c r="N258" s="560"/>
      <c r="O258" s="557" t="str">
        <f>IF(LEN(O$255)&gt;1,HLOOKUP(O$255,Relays,$A510,FALSE),"")</f>
        <v>Jacob Austerberry</v>
      </c>
      <c r="P258" s="560"/>
      <c r="Q258" s="557" t="str">
        <f>IF(LEN(Q$255)&gt;1,HLOOKUP(Q$255,Relays,$A510,FALSE),"")</f>
        <v>Felix Hickman</v>
      </c>
      <c r="R258" s="560"/>
      <c r="S258" s="557">
        <f>IF(LEN(S$255)&gt;1,HLOOKUP(S$255,Relays,$A510,FALSE),"")</f>
        <v>0</v>
      </c>
      <c r="T258" s="560"/>
      <c r="U258" s="557" t="str">
        <f>IF(LEN(U$255)&gt;1,HLOOKUP(U$255,Relays,$A510,FALSE),"")</f>
        <v/>
      </c>
      <c r="V258" s="519"/>
      <c r="W258" s="606"/>
      <c r="X258" s="488"/>
      <c r="Y258" s="488"/>
      <c r="Z258" s="488"/>
      <c r="AA258" s="488"/>
      <c r="AB258" s="488"/>
      <c r="AC258" s="488"/>
      <c r="AD258" s="488"/>
    </row>
    <row r="259" spans="1:30" ht="15" thickBot="1" x14ac:dyDescent="0.35">
      <c r="A259" s="118" t="str">
        <f>B255&amp;"S"</f>
        <v>86S</v>
      </c>
      <c r="B259" s="506"/>
      <c r="C259" s="501"/>
      <c r="D259" s="502"/>
      <c r="E259" s="116"/>
      <c r="F259" s="563">
        <v>4</v>
      </c>
      <c r="G259" s="610" t="str">
        <f>IF(LEN(G$255)&gt;1,HLOOKUP(G$255,Relays,$A511,FALSE),"")</f>
        <v>Adam Makame</v>
      </c>
      <c r="H259" s="565"/>
      <c r="I259" s="564" t="str">
        <f>IF(LEN(I$255)&gt;1,HLOOKUP(I$255,Relays,$A511,FALSE),"")</f>
        <v>Hugo Fernandez</v>
      </c>
      <c r="J259" s="565"/>
      <c r="K259" s="564" t="str">
        <f>IF(LEN(K$255)&gt;1,HLOOKUP(K$255,Relays,$A511,FALSE),"")</f>
        <v>Finley Aldridge-Cox</v>
      </c>
      <c r="L259" s="565"/>
      <c r="M259" s="564" t="str">
        <f>IF(LEN(M$255)&gt;1,HLOOKUP(M$255,Relays,$A511,FALSE),"")</f>
        <v>Jasper Hadley</v>
      </c>
      <c r="N259" s="565"/>
      <c r="O259" s="564" t="str">
        <f>IF(LEN(O$255)&gt;1,HLOOKUP(O$255,Relays,$A511,FALSE),"")</f>
        <v>Andre Albarel</v>
      </c>
      <c r="P259" s="565"/>
      <c r="Q259" s="564" t="str">
        <f>IF(LEN(Q$255)&gt;1,HLOOKUP(Q$255,Relays,$A511,FALSE),"")</f>
        <v>Elijah Brockway</v>
      </c>
      <c r="R259" s="565"/>
      <c r="S259" s="564">
        <f>IF(LEN(S$255)&gt;1,HLOOKUP(S$255,Relays,$A511,FALSE),"")</f>
        <v>0</v>
      </c>
      <c r="T259" s="565"/>
      <c r="U259" s="564" t="str">
        <f>IF(LEN(U$255)&gt;1,HLOOKUP(U$255,Relays,$A511,FALSE),"")</f>
        <v/>
      </c>
      <c r="V259" s="578"/>
      <c r="W259" s="607"/>
      <c r="X259" s="521"/>
      <c r="Y259" s="521"/>
      <c r="Z259" s="521"/>
      <c r="AA259" s="521"/>
      <c r="AB259" s="521"/>
      <c r="AC259" s="521"/>
      <c r="AD259" s="521"/>
    </row>
    <row r="260" spans="1:30" x14ac:dyDescent="0.3">
      <c r="B260" s="589"/>
      <c r="C260" s="535"/>
      <c r="D260" s="535"/>
      <c r="E260" s="566"/>
      <c r="F260" s="535"/>
      <c r="G260" s="85"/>
      <c r="H260" s="85"/>
      <c r="I260" s="85"/>
      <c r="J260" s="85"/>
      <c r="K260" s="85"/>
      <c r="L260" s="85"/>
      <c r="M260" s="85"/>
      <c r="N260" s="85"/>
      <c r="O260" s="85"/>
      <c r="P260" s="85"/>
      <c r="Q260" s="85"/>
      <c r="R260" s="85"/>
      <c r="S260" s="85"/>
      <c r="T260" s="85"/>
      <c r="U260" s="85" t="s">
        <v>297</v>
      </c>
      <c r="V260" s="85"/>
      <c r="W260" s="590">
        <f>Officials!C$20</f>
        <v>14</v>
      </c>
      <c r="X260" s="591">
        <f>Officials!D$20</f>
        <v>14</v>
      </c>
      <c r="Y260" s="591">
        <f>Officials!E$20</f>
        <v>12</v>
      </c>
      <c r="Z260" s="591">
        <f>Officials!F$20</f>
        <v>14</v>
      </c>
      <c r="AA260" s="591">
        <f>Officials!G$20</f>
        <v>14</v>
      </c>
      <c r="AB260" s="591">
        <f>Officials!H$20</f>
        <v>14</v>
      </c>
      <c r="AC260" s="591">
        <f>Officials!I$20</f>
        <v>14</v>
      </c>
      <c r="AD260" s="592">
        <f>Officials!J$20</f>
        <v>14</v>
      </c>
    </row>
    <row r="261" spans="1:30" ht="15" thickBot="1" x14ac:dyDescent="0.35">
      <c r="B261" s="534">
        <f>COUNTIF(B210:B260,"&gt;0")</f>
        <v>12</v>
      </c>
      <c r="C261" s="535"/>
      <c r="D261" s="535"/>
      <c r="E261" s="566"/>
      <c r="F261" s="535"/>
      <c r="G261" s="85"/>
      <c r="H261" s="85"/>
      <c r="I261" s="85"/>
      <c r="J261" s="85"/>
      <c r="K261" s="85"/>
      <c r="L261" s="85"/>
      <c r="M261" s="85"/>
      <c r="N261" s="85"/>
      <c r="O261" s="85"/>
      <c r="P261" s="85"/>
      <c r="Q261" s="85"/>
      <c r="R261" s="85"/>
      <c r="S261" s="85"/>
      <c r="T261" s="85"/>
      <c r="U261" s="85" t="s">
        <v>295</v>
      </c>
      <c r="V261" s="85"/>
      <c r="W261" s="593">
        <f t="shared" ref="W261:AD261" si="18">SUM(W210:W260)</f>
        <v>161</v>
      </c>
      <c r="X261" s="537">
        <f t="shared" si="18"/>
        <v>29</v>
      </c>
      <c r="Y261" s="537">
        <f t="shared" si="18"/>
        <v>90</v>
      </c>
      <c r="Z261" s="537">
        <f t="shared" si="18"/>
        <v>119</v>
      </c>
      <c r="AA261" s="537">
        <f t="shared" si="18"/>
        <v>119</v>
      </c>
      <c r="AB261" s="537">
        <f t="shared" si="18"/>
        <v>124</v>
      </c>
      <c r="AC261" s="537">
        <f t="shared" si="18"/>
        <v>63</v>
      </c>
      <c r="AD261" s="538">
        <f t="shared" si="18"/>
        <v>77</v>
      </c>
    </row>
    <row r="262" spans="1:30" ht="15.6" thickTop="1" thickBot="1" x14ac:dyDescent="0.35">
      <c r="B262" s="589"/>
      <c r="C262" s="535"/>
      <c r="D262" s="535"/>
      <c r="E262" s="566"/>
      <c r="F262" s="535"/>
      <c r="G262" s="85"/>
      <c r="H262" s="85"/>
      <c r="I262" s="85"/>
      <c r="J262" s="85"/>
      <c r="K262" s="85"/>
      <c r="L262" s="85"/>
      <c r="M262" s="85"/>
      <c r="N262" s="85"/>
      <c r="O262" s="85"/>
      <c r="P262" s="85"/>
      <c r="Q262" s="85"/>
      <c r="R262" s="85"/>
      <c r="S262" s="85"/>
      <c r="T262" s="85"/>
      <c r="U262" s="85" t="s">
        <v>27</v>
      </c>
      <c r="V262" s="535"/>
      <c r="W262" s="540">
        <f t="shared" ref="W262:AD262" si="19">RANK(W261,$W261:$AD261)</f>
        <v>1</v>
      </c>
      <c r="X262" s="541">
        <f t="shared" si="19"/>
        <v>8</v>
      </c>
      <c r="Y262" s="541">
        <f t="shared" si="19"/>
        <v>5</v>
      </c>
      <c r="Z262" s="541">
        <f t="shared" si="19"/>
        <v>3</v>
      </c>
      <c r="AA262" s="541">
        <f t="shared" si="19"/>
        <v>3</v>
      </c>
      <c r="AB262" s="541">
        <f t="shared" si="19"/>
        <v>2</v>
      </c>
      <c r="AC262" s="541">
        <f t="shared" si="19"/>
        <v>7</v>
      </c>
      <c r="AD262" s="542">
        <f t="shared" si="19"/>
        <v>6</v>
      </c>
    </row>
    <row r="263" spans="1:30" ht="15" thickBot="1" x14ac:dyDescent="0.35">
      <c r="B263" s="589"/>
      <c r="C263" s="535"/>
      <c r="D263" s="535"/>
      <c r="E263" s="566"/>
      <c r="F263" s="535"/>
      <c r="G263" s="85"/>
      <c r="H263" s="85"/>
      <c r="I263" s="85"/>
      <c r="J263" s="85"/>
      <c r="K263" s="85"/>
      <c r="L263" s="85"/>
      <c r="M263" s="85"/>
      <c r="N263" s="85"/>
      <c r="O263" s="85"/>
      <c r="P263" s="85"/>
      <c r="Q263" s="85"/>
      <c r="R263" s="85"/>
      <c r="S263" s="85"/>
      <c r="T263" s="85"/>
      <c r="U263" s="543"/>
      <c r="V263" s="535"/>
      <c r="W263" s="544"/>
      <c r="X263" s="544"/>
      <c r="Y263" s="544"/>
      <c r="Z263" s="544"/>
      <c r="AA263" s="544"/>
      <c r="AB263" s="544"/>
      <c r="AC263" s="544"/>
      <c r="AD263" s="544"/>
    </row>
    <row r="264" spans="1:30" ht="41.25" customHeight="1" x14ac:dyDescent="0.3">
      <c r="A264" s="424"/>
      <c r="B264" s="1415" t="s">
        <v>258</v>
      </c>
      <c r="C264" s="448"/>
      <c r="D264" s="468"/>
      <c r="E264" s="469"/>
      <c r="F264" s="467"/>
      <c r="G264" s="567"/>
      <c r="H264" s="567"/>
      <c r="I264" s="568"/>
      <c r="J264" s="567"/>
      <c r="K264" s="689" t="str">
        <f>K207</f>
        <v>Heart of England League Results</v>
      </c>
      <c r="L264" s="569"/>
      <c r="M264" s="568"/>
      <c r="N264" s="567"/>
      <c r="O264" s="567"/>
      <c r="P264" s="569"/>
      <c r="Q264" s="568"/>
      <c r="R264" s="569"/>
      <c r="S264" s="473"/>
      <c r="T264" s="569"/>
      <c r="U264" s="568"/>
      <c r="V264" s="569"/>
      <c r="W264" s="1411" t="str">
        <f>W$8</f>
        <v>BRAT</v>
      </c>
      <c r="X264" s="1411" t="str">
        <f t="shared" ref="X264:AD264" si="20">X$8</f>
        <v>Kidder &amp; Stourport</v>
      </c>
      <c r="Y264" s="1411" t="str">
        <f t="shared" si="20"/>
        <v>Royal Sutton</v>
      </c>
      <c r="Z264" s="1411" t="str">
        <f t="shared" si="20"/>
        <v>Rugby &amp; N'hampton</v>
      </c>
      <c r="AA264" s="1411" t="str">
        <f t="shared" si="20"/>
        <v>Solihull &amp; S.Heath</v>
      </c>
      <c r="AB264" s="1411" t="str">
        <f t="shared" si="20"/>
        <v>Stratford</v>
      </c>
      <c r="AC264" s="1411" t="str">
        <f t="shared" si="20"/>
        <v>Tamworth</v>
      </c>
      <c r="AD264" s="1411" t="str">
        <f t="shared" si="20"/>
        <v>Worcester</v>
      </c>
    </row>
    <row r="265" spans="1:30" ht="38.25" customHeight="1" thickBot="1" x14ac:dyDescent="0.35">
      <c r="A265" s="424"/>
      <c r="B265" s="1416"/>
      <c r="C265" s="455"/>
      <c r="D265" s="456" t="s">
        <v>64</v>
      </c>
      <c r="E265" s="457">
        <f>E208</f>
        <v>1</v>
      </c>
      <c r="F265" s="457"/>
      <c r="G265" s="56"/>
      <c r="H265" s="474" t="s">
        <v>456</v>
      </c>
      <c r="I265" s="459"/>
      <c r="J265" s="433"/>
      <c r="K265" s="460" t="s">
        <v>67</v>
      </c>
      <c r="L265" s="461" t="str">
        <f>L208</f>
        <v>Rugby &amp; N'hampton</v>
      </c>
      <c r="M265" s="459"/>
      <c r="N265" s="459"/>
      <c r="O265" s="459"/>
      <c r="P265" s="456"/>
      <c r="Q265" s="460" t="s">
        <v>66</v>
      </c>
      <c r="R265" s="463" t="str">
        <f>R208</f>
        <v>17th May 2026</v>
      </c>
      <c r="S265" s="459"/>
      <c r="T265" s="459"/>
      <c r="U265" s="459"/>
      <c r="V265" s="459"/>
      <c r="W265" s="1412"/>
      <c r="X265" s="1412"/>
      <c r="Y265" s="1412"/>
      <c r="Z265" s="1412"/>
      <c r="AA265" s="1412"/>
      <c r="AB265" s="1412"/>
      <c r="AC265" s="1412"/>
      <c r="AD265" s="1412"/>
    </row>
    <row r="266" spans="1:30" ht="15" thickBot="1" x14ac:dyDescent="0.35">
      <c r="B266" s="506"/>
      <c r="C266" s="611" t="s">
        <v>168</v>
      </c>
      <c r="D266" s="33" t="s">
        <v>165</v>
      </c>
      <c r="E266" s="476"/>
      <c r="F266" s="546"/>
      <c r="G266" s="1413" t="s">
        <v>286</v>
      </c>
      <c r="H266" s="1413"/>
      <c r="I266" s="1414" t="s">
        <v>287</v>
      </c>
      <c r="J266" s="1414"/>
      <c r="K266" s="1414" t="s">
        <v>288</v>
      </c>
      <c r="L266" s="1414"/>
      <c r="M266" s="1414" t="s">
        <v>289</v>
      </c>
      <c r="N266" s="1414"/>
      <c r="O266" s="1414" t="s">
        <v>290</v>
      </c>
      <c r="P266" s="1414"/>
      <c r="Q266" s="1414" t="s">
        <v>291</v>
      </c>
      <c r="R266" s="1414"/>
      <c r="S266" s="1414" t="s">
        <v>292</v>
      </c>
      <c r="T266" s="1414"/>
      <c r="U266" s="1414" t="s">
        <v>293</v>
      </c>
      <c r="V266" s="1414"/>
      <c r="W266" s="477" t="str">
        <f>W$10</f>
        <v>S</v>
      </c>
      <c r="X266" s="477" t="str">
        <f t="shared" ref="X266:AD266" si="21">X$10</f>
        <v>U</v>
      </c>
      <c r="Y266" s="477" t="str">
        <f t="shared" si="21"/>
        <v>G</v>
      </c>
      <c r="Z266" s="477" t="str">
        <f t="shared" si="21"/>
        <v>R</v>
      </c>
      <c r="AA266" s="477" t="str">
        <f t="shared" si="21"/>
        <v>M</v>
      </c>
      <c r="AB266" s="477" t="str">
        <f t="shared" si="21"/>
        <v>D</v>
      </c>
      <c r="AC266" s="477" t="str">
        <f t="shared" si="21"/>
        <v>F</v>
      </c>
      <c r="AD266" s="477" t="str">
        <f t="shared" si="21"/>
        <v>Y</v>
      </c>
    </row>
    <row r="267" spans="1:30" x14ac:dyDescent="0.3">
      <c r="A267" s="118" t="str">
        <f>B268&amp;"A"</f>
        <v>3A</v>
      </c>
      <c r="B267" s="506"/>
      <c r="C267" s="571"/>
      <c r="D267" s="479" t="str">
        <f>VLOOKUP(B268,EventsOrder,4,FALSE)</f>
        <v>U16 Female</v>
      </c>
      <c r="E267" s="515" t="s">
        <v>149</v>
      </c>
      <c r="F267" s="480"/>
      <c r="G267" s="481" t="str">
        <f>VLOOKUP(($B268*10)+1,Results,$F$3,FALSE)</f>
        <v>Freya Armitage</v>
      </c>
      <c r="H267" s="482"/>
      <c r="I267" s="483" t="str">
        <f>VLOOKUP(($B268*10)+2,Results,$F$3,FALSE)</f>
        <v>Nicole Bevan</v>
      </c>
      <c r="J267" s="482"/>
      <c r="K267" s="483" t="str">
        <f>VLOOKUP(($B268*10)+3,Results,$F$3,FALSE)</f>
        <v>Amelia Lee</v>
      </c>
      <c r="L267" s="482"/>
      <c r="M267" s="483" t="str">
        <f>VLOOKUP(($B268*10)+4,Results,$F$3,FALSE)</f>
        <v>Ella Howe</v>
      </c>
      <c r="N267" s="482"/>
      <c r="O267" s="483" t="str">
        <f>VLOOKUP(($B268*10)+5,Results,$F$3,FALSE)</f>
        <v xml:space="preserve">Rachel Sparrow </v>
      </c>
      <c r="P267" s="482"/>
      <c r="Q267" s="483" t="str">
        <f>VLOOKUP(($B268*10)+6,Results,$F$3,FALSE)</f>
        <v>Orla Woodman</v>
      </c>
      <c r="R267" s="484"/>
      <c r="S267" s="485" t="str">
        <f>VLOOKUP(($B268*10)+7,Results,$F$3,FALSE)</f>
        <v/>
      </c>
      <c r="T267" s="482"/>
      <c r="U267" s="483" t="str">
        <f>VLOOKUP(($B268*10)+8,Results,$F$3,FALSE)</f>
        <v/>
      </c>
      <c r="V267" s="486"/>
      <c r="W267" s="599"/>
      <c r="X267" s="488"/>
      <c r="Y267" s="488"/>
      <c r="Z267" s="488"/>
      <c r="AA267" s="488"/>
      <c r="AB267" s="488"/>
      <c r="AC267" s="488"/>
      <c r="AD267" s="488"/>
    </row>
    <row r="268" spans="1:30" x14ac:dyDescent="0.3">
      <c r="A268" s="118" t="str">
        <f>B268&amp;"A"</f>
        <v>3A</v>
      </c>
      <c r="B268" s="24">
        <v>3</v>
      </c>
      <c r="C268" s="572">
        <f>VLOOKUP(B268,EventsOrder,2,FALSE)</f>
        <v>11.1</v>
      </c>
      <c r="D268" s="490"/>
      <c r="E268" s="11"/>
      <c r="F268" s="492"/>
      <c r="G268" s="493" t="str">
        <f>VLOOKUP(($B268*10)+1,Results,$G$3,FALSE)</f>
        <v>Tam</v>
      </c>
      <c r="H268" s="494" t="str">
        <f>VLOOKUP(($B268*10)+1,Results,$H$3,FALSE)</f>
        <v>5.18.7</v>
      </c>
      <c r="I268" s="495" t="str">
        <f>VLOOKUP(($B268*10)+2,Results,$G$3,FALSE)</f>
        <v>K&amp;S</v>
      </c>
      <c r="J268" s="494" t="str">
        <f>VLOOKUP(($B268*10)+2,Results,$H$3,FALSE)</f>
        <v>5.25.0</v>
      </c>
      <c r="K268" s="495" t="str">
        <f>VLOOKUP(($B268*10)+3,Results,$G$3,FALSE)</f>
        <v>Rugby</v>
      </c>
      <c r="L268" s="494" t="str">
        <f>VLOOKUP(($B268*10)+3,Results,$H$3,FALSE)</f>
        <v>5.27.2</v>
      </c>
      <c r="M268" s="495" t="str">
        <f>VLOOKUP(($B268*10)+4,Results,$G$3,FALSE)</f>
        <v>Sol</v>
      </c>
      <c r="N268" s="494" t="str">
        <f>VLOOKUP(($B268*10)+4,Results,$H$3,FALSE)</f>
        <v>5.37.6</v>
      </c>
      <c r="O268" s="495" t="str">
        <f>VLOOKUP(($B268*10)+5,Results,$G$3,FALSE)</f>
        <v>Strat</v>
      </c>
      <c r="P268" s="494" t="str">
        <f>VLOOKUP(($B268*10)+5,Results,$H$3,FALSE)</f>
        <v>5.50.2</v>
      </c>
      <c r="Q268" s="495" t="str">
        <f>VLOOKUP(($B268*10)+6,Results,$G$3,FALSE)</f>
        <v>BRAT</v>
      </c>
      <c r="R268" s="495" t="str">
        <f>VLOOKUP(($B268*10)+6,Results,$H$3,FALSE)</f>
        <v>6.10.7</v>
      </c>
      <c r="S268" s="496">
        <f>VLOOKUP(($B268*10)+7,Results,$G$3,FALSE)</f>
        <v>0</v>
      </c>
      <c r="T268" s="494">
        <f>VLOOKUP(($B268*10)+7,Results,$H$3,FALSE)</f>
        <v>0</v>
      </c>
      <c r="U268" s="495">
        <f>VLOOKUP(($B268*10)+8,Results,$G$3,FALSE)</f>
        <v>0</v>
      </c>
      <c r="V268" s="497">
        <f>VLOOKUP(($B268*10)+8,Results,$H$3,FALSE)</f>
        <v>0</v>
      </c>
      <c r="W268" s="600">
        <f>VLOOKUP(($B268*10)+1,Results,$I$3,FALSE)</f>
        <v>3</v>
      </c>
      <c r="X268" s="499">
        <f>VLOOKUP(($B268*10)+2,Results,$I$3,FALSE)</f>
        <v>7</v>
      </c>
      <c r="Y268" s="499">
        <f>VLOOKUP(($B268*10)+3,Results,$I$3,FALSE)</f>
        <v>0</v>
      </c>
      <c r="Z268" s="499">
        <f>VLOOKUP(($B268*10)+4,Results,$I$3,FALSE)</f>
        <v>6</v>
      </c>
      <c r="AA268" s="499">
        <f>VLOOKUP(($B268*10)+5,Results,$I$3,FALSE)</f>
        <v>5</v>
      </c>
      <c r="AB268" s="499">
        <f>VLOOKUP(($B268*10)+6,Results,$I$3,FALSE)</f>
        <v>4</v>
      </c>
      <c r="AC268" s="499">
        <f>VLOOKUP(($B268*10)+7,Results,$I$3,FALSE)</f>
        <v>8</v>
      </c>
      <c r="AD268" s="499">
        <f>VLOOKUP(($B268*10)+8,Results,$I$3,FALSE)</f>
        <v>0</v>
      </c>
    </row>
    <row r="269" spans="1:30" x14ac:dyDescent="0.3">
      <c r="A269" s="118" t="str">
        <f>B268&amp;"B"</f>
        <v>3B</v>
      </c>
      <c r="B269" s="506"/>
      <c r="C269" s="572"/>
      <c r="D269" s="479" t="str">
        <f>VLOOKUP(B268,EventsOrder,3,FALSE)</f>
        <v>1500m</v>
      </c>
      <c r="E269" s="515" t="s">
        <v>94</v>
      </c>
      <c r="F269" s="529"/>
      <c r="G269" s="547" t="str">
        <f>VLOOKUP(($B268*10)+1,Results,$F$4,FALSE)</f>
        <v>Jasmine Mothershaw</v>
      </c>
      <c r="H269" s="517"/>
      <c r="I269" s="548" t="str">
        <f>VLOOKUP(($B268*10)+2,Results,$F$4,FALSE)</f>
        <v>Eva Bond</v>
      </c>
      <c r="J269" s="517"/>
      <c r="K269" s="548" t="str">
        <f>VLOOKUP(($B268*10)+3,Results,$F$4,FALSE)</f>
        <v>Olivia Hawke</v>
      </c>
      <c r="L269" s="517"/>
      <c r="M269" s="548" t="str">
        <f>VLOOKUP(($B268*10)+4,Results,$F$4,FALSE)</f>
        <v/>
      </c>
      <c r="N269" s="517"/>
      <c r="O269" s="548" t="str">
        <f>VLOOKUP(($B268*10)+5,Results,$F$4,FALSE)</f>
        <v/>
      </c>
      <c r="P269" s="517"/>
      <c r="Q269" s="548" t="str">
        <f>VLOOKUP(($B268*10)+6,Results,$F$4,FALSE)</f>
        <v/>
      </c>
      <c r="R269" s="549"/>
      <c r="S269" s="575" t="str">
        <f>VLOOKUP(($B268*10)+7,Results,$F$4,FALSE)</f>
        <v/>
      </c>
      <c r="T269" s="517"/>
      <c r="U269" s="548" t="str">
        <f>VLOOKUP(($B268*10)+8,Results,$F$4,FALSE)</f>
        <v/>
      </c>
      <c r="V269" s="519"/>
      <c r="W269" s="599"/>
      <c r="X269" s="488"/>
      <c r="Y269" s="488"/>
      <c r="Z269" s="488"/>
      <c r="AA269" s="488"/>
      <c r="AB269" s="488"/>
      <c r="AC269" s="488"/>
      <c r="AD269" s="488"/>
    </row>
    <row r="270" spans="1:30" ht="15" thickBot="1" x14ac:dyDescent="0.35">
      <c r="A270" s="118" t="str">
        <f>B268&amp;"B"</f>
        <v>3B</v>
      </c>
      <c r="B270" s="506"/>
      <c r="C270" s="576"/>
      <c r="D270" s="502"/>
      <c r="E270" s="523"/>
      <c r="F270" s="503"/>
      <c r="G270" s="554" t="str">
        <f>VLOOKUP(($B268*10)+1,Results,$G$4,FALSE)</f>
        <v>Strat</v>
      </c>
      <c r="H270" s="577" t="str">
        <f>VLOOKUP(($B268*10)+1,Results,$H$4,FALSE)</f>
        <v>5.39.7</v>
      </c>
      <c r="I270" s="556" t="str">
        <f>VLOOKUP(($B268*10)+2,Results,$G$4,FALSE)</f>
        <v>Rugby</v>
      </c>
      <c r="J270" s="577" t="str">
        <f>VLOOKUP(($B268*10)+2,Results,$H$4,FALSE)</f>
        <v>5.43.4</v>
      </c>
      <c r="K270" s="556" t="str">
        <f>VLOOKUP(($B268*10)+3,Results,$G$4,FALSE)</f>
        <v>Sol</v>
      </c>
      <c r="L270" s="577" t="str">
        <f>VLOOKUP(($B268*10)+3,Results,$H$4,FALSE)</f>
        <v>5.55.6</v>
      </c>
      <c r="M270" s="556">
        <f>VLOOKUP(($B268*10)+4,Results,$G$4,FALSE)</f>
        <v>0</v>
      </c>
      <c r="N270" s="577">
        <f>VLOOKUP(($B268*10)+4,Results,$H$4,FALSE)</f>
        <v>0</v>
      </c>
      <c r="O270" s="556">
        <f>VLOOKUP(($B268*10)+5,Results,$G$4,FALSE)</f>
        <v>0</v>
      </c>
      <c r="P270" s="577">
        <f>VLOOKUP(($B268*10)+5,Results,$H$4,FALSE)</f>
        <v>0</v>
      </c>
      <c r="Q270" s="556">
        <f>VLOOKUP(($B268*10)+6,Results,$G$4,FALSE)</f>
        <v>0</v>
      </c>
      <c r="R270" s="577">
        <f>VLOOKUP(($B268*10)+6,Results,$H$4,FALSE)</f>
        <v>0</v>
      </c>
      <c r="S270" s="556">
        <f>VLOOKUP(($B268*10)+7,Results,$G$4,FALSE)</f>
        <v>0</v>
      </c>
      <c r="T270" s="577">
        <f>VLOOKUP(($B268*10)+7,Results,$H$4,FALSE)</f>
        <v>0</v>
      </c>
      <c r="U270" s="556">
        <f>VLOOKUP(($B268*10)+8,Results,$G$4,FALSE)</f>
        <v>0</v>
      </c>
      <c r="V270" s="578">
        <f>VLOOKUP(($B268*10)+8,Results,$H$4,FALSE)</f>
        <v>0</v>
      </c>
      <c r="W270" s="600">
        <f>VLOOKUP(($B268*10)+1,Results,$I$4,FALSE)</f>
        <v>0</v>
      </c>
      <c r="X270" s="499">
        <f>VLOOKUP(($B268*10)+2,Results,$I$4,FALSE)</f>
        <v>0</v>
      </c>
      <c r="Y270" s="499">
        <f>VLOOKUP(($B268*10)+3,Results,$I$4,FALSE)</f>
        <v>0</v>
      </c>
      <c r="Z270" s="499">
        <f>VLOOKUP(($B268*10)+4,Results,$I$4,FALSE)</f>
        <v>7</v>
      </c>
      <c r="AA270" s="499">
        <f>VLOOKUP(($B268*10)+5,Results,$I$4,FALSE)</f>
        <v>6</v>
      </c>
      <c r="AB270" s="499">
        <f>VLOOKUP(($B268*10)+6,Results,$I$4,FALSE)</f>
        <v>8</v>
      </c>
      <c r="AC270" s="499">
        <f>VLOOKUP(($B268*10)+7,Results,$I$4,FALSE)</f>
        <v>0</v>
      </c>
      <c r="AD270" s="499">
        <f>VLOOKUP(($B268*10)+8,Results,$I$4,FALSE)</f>
        <v>0</v>
      </c>
    </row>
    <row r="271" spans="1:30" x14ac:dyDescent="0.3">
      <c r="A271" s="118" t="str">
        <f>B272&amp;"A"</f>
        <v>10A</v>
      </c>
      <c r="B271" s="506"/>
      <c r="C271" s="571"/>
      <c r="D271" s="479" t="str">
        <f>VLOOKUP(B272,EventsOrder,4,FALSE)</f>
        <v>U16 Female</v>
      </c>
      <c r="E271" s="515" t="s">
        <v>149</v>
      </c>
      <c r="F271" s="480"/>
      <c r="G271" s="481" t="str">
        <f>VLOOKUP(($B272*10)+1,Results,$F$3,FALSE)</f>
        <v>Harriett Carey</v>
      </c>
      <c r="H271" s="482"/>
      <c r="I271" s="483" t="str">
        <f>VLOOKUP(($B272*10)+2,Results,$F$3,FALSE)</f>
        <v>Alisia Scarlett-Thomas</v>
      </c>
      <c r="J271" s="482"/>
      <c r="K271" s="483" t="str">
        <f>VLOOKUP(($B272*10)+3,Results,$F$3,FALSE)</f>
        <v>Emelia Butler</v>
      </c>
      <c r="L271" s="482"/>
      <c r="M271" s="483" t="str">
        <f>VLOOKUP(($B272*10)+4,Results,$F$3,FALSE)</f>
        <v>Sophia Llewellyn</v>
      </c>
      <c r="N271" s="482"/>
      <c r="O271" s="483" t="str">
        <f>VLOOKUP(($B272*10)+5,Results,$F$3,FALSE)</f>
        <v>Isabella Marriot</v>
      </c>
      <c r="P271" s="482"/>
      <c r="Q271" s="483" t="str">
        <f>VLOOKUP(($B272*10)+6,Results,$F$3,FALSE)</f>
        <v>Ava Thompson</v>
      </c>
      <c r="R271" s="484"/>
      <c r="S271" s="485" t="str">
        <f>VLOOKUP(($B272*10)+7,Results,$F$3,FALSE)</f>
        <v>Matilda Husselbee</v>
      </c>
      <c r="T271" s="482"/>
      <c r="U271" s="483" t="str">
        <f>VLOOKUP(($B272*10)+8,Results,$F$3,FALSE)</f>
        <v>Aiza Ulhaq</v>
      </c>
      <c r="V271" s="486"/>
      <c r="W271" s="599"/>
      <c r="X271" s="488"/>
      <c r="Y271" s="488"/>
      <c r="Z271" s="488"/>
      <c r="AA271" s="488"/>
      <c r="AB271" s="488"/>
      <c r="AC271" s="488"/>
      <c r="AD271" s="488"/>
    </row>
    <row r="272" spans="1:30" x14ac:dyDescent="0.3">
      <c r="A272" s="118" t="str">
        <f>B272&amp;"A"</f>
        <v>10A</v>
      </c>
      <c r="B272" s="24">
        <v>10</v>
      </c>
      <c r="C272" s="572">
        <f>VLOOKUP(B272,EventsOrder,2,FALSE)</f>
        <v>11.5</v>
      </c>
      <c r="D272" s="490"/>
      <c r="E272" s="11"/>
      <c r="F272" s="492"/>
      <c r="G272" s="493" t="str">
        <f>VLOOKUP(($B272*10)+1,Results,$G$3,FALSE)</f>
        <v>Worc</v>
      </c>
      <c r="H272" s="505">
        <f>VLOOKUP(($B272*10)+1,Results,$H$3,FALSE)</f>
        <v>12.5</v>
      </c>
      <c r="I272" s="495" t="str">
        <f>VLOOKUP(($B272*10)+2,Results,$G$3,FALSE)</f>
        <v>BRAT</v>
      </c>
      <c r="J272" s="505">
        <f>VLOOKUP(($B272*10)+2,Results,$H$3,FALSE)</f>
        <v>12.8</v>
      </c>
      <c r="K272" s="495" t="str">
        <f>VLOOKUP(($B272*10)+3,Results,$G$3,FALSE)</f>
        <v>Rugby</v>
      </c>
      <c r="L272" s="505">
        <f>VLOOKUP(($B272*10)+3,Results,$H$3,FALSE)</f>
        <v>13</v>
      </c>
      <c r="M272" s="495" t="str">
        <f>VLOOKUP(($B272*10)+4,Results,$G$3,FALSE)</f>
        <v>K&amp;S</v>
      </c>
      <c r="N272" s="505">
        <f>VLOOKUP(($B272*10)+4,Results,$H$3,FALSE)</f>
        <v>13.5</v>
      </c>
      <c r="O272" s="495" t="str">
        <f>VLOOKUP(($B272*10)+5,Results,$G$3,FALSE)</f>
        <v>Strat</v>
      </c>
      <c r="P272" s="505">
        <f>VLOOKUP(($B272*10)+5,Results,$H$3,FALSE)</f>
        <v>14.2</v>
      </c>
      <c r="Q272" s="495" t="str">
        <f>VLOOKUP(($B272*10)+6,Results,$G$3,FALSE)</f>
        <v>Sol</v>
      </c>
      <c r="R272" s="505">
        <f>VLOOKUP(($B272*10)+6,Results,$H$3,FALSE)</f>
        <v>15.8</v>
      </c>
      <c r="S272" s="496" t="str">
        <f>VLOOKUP(($B272*10)+7,Results,$G$3,FALSE)</f>
        <v>Tam</v>
      </c>
      <c r="T272" s="505">
        <f>VLOOKUP(($B272*10)+7,Results,$H$3,FALSE)</f>
        <v>16.7</v>
      </c>
      <c r="U272" s="495" t="str">
        <f>VLOOKUP(($B272*10)+8,Results,$G$3,FALSE)</f>
        <v>Royal</v>
      </c>
      <c r="V272" s="601">
        <f>VLOOKUP(($B272*10)+8,Results,$H$3,FALSE)</f>
        <v>16.8</v>
      </c>
      <c r="W272" s="600">
        <f>VLOOKUP(($B272*10)+1,Results,$I$3,FALSE)</f>
        <v>7</v>
      </c>
      <c r="X272" s="499">
        <f>VLOOKUP(($B272*10)+2,Results,$I$3,FALSE)</f>
        <v>5</v>
      </c>
      <c r="Y272" s="499">
        <f>VLOOKUP(($B272*10)+3,Results,$I$3,FALSE)</f>
        <v>1</v>
      </c>
      <c r="Z272" s="499">
        <f>VLOOKUP(($B272*10)+4,Results,$I$3,FALSE)</f>
        <v>6</v>
      </c>
      <c r="AA272" s="499">
        <f>VLOOKUP(($B272*10)+5,Results,$I$3,FALSE)</f>
        <v>3</v>
      </c>
      <c r="AB272" s="499">
        <f>VLOOKUP(($B272*10)+6,Results,$I$3,FALSE)</f>
        <v>4</v>
      </c>
      <c r="AC272" s="499">
        <f>VLOOKUP(($B272*10)+7,Results,$I$3,FALSE)</f>
        <v>2</v>
      </c>
      <c r="AD272" s="499">
        <f>VLOOKUP(($B272*10)+8,Results,$I$3,FALSE)</f>
        <v>8</v>
      </c>
    </row>
    <row r="273" spans="1:30" x14ac:dyDescent="0.3">
      <c r="A273" s="118" t="str">
        <f>B272&amp;"B"</f>
        <v>10B</v>
      </c>
      <c r="B273" s="506"/>
      <c r="C273" s="572"/>
      <c r="D273" s="479" t="str">
        <f>VLOOKUP(B272,EventsOrder,3,FALSE)</f>
        <v>80m hurdles</v>
      </c>
      <c r="E273" s="515" t="s">
        <v>94</v>
      </c>
      <c r="F273" s="529"/>
      <c r="G273" s="547" t="str">
        <f>VLOOKUP(($B272*10)+1,Results,$F$4,FALSE)</f>
        <v>Gracie Young</v>
      </c>
      <c r="H273" s="517"/>
      <c r="I273" s="548" t="str">
        <f>VLOOKUP(($B272*10)+2,Results,$F$4,FALSE)</f>
        <v>Amber Stevens</v>
      </c>
      <c r="J273" s="517"/>
      <c r="K273" s="548" t="str">
        <f>VLOOKUP(($B272*10)+3,Results,$F$4,FALSE)</f>
        <v>Anya Haresign</v>
      </c>
      <c r="L273" s="517"/>
      <c r="M273" s="548" t="str">
        <f>VLOOKUP(($B272*10)+4,Results,$F$4,FALSE)</f>
        <v>Emily White</v>
      </c>
      <c r="N273" s="517"/>
      <c r="O273" s="548" t="str">
        <f>VLOOKUP(($B272*10)+5,Results,$F$4,FALSE)</f>
        <v/>
      </c>
      <c r="P273" s="517"/>
      <c r="Q273" s="548" t="str">
        <f>VLOOKUP(($B272*10)+6,Results,$F$4,FALSE)</f>
        <v/>
      </c>
      <c r="R273" s="549"/>
      <c r="S273" s="575" t="str">
        <f>VLOOKUP(($B272*10)+7,Results,$F$4,FALSE)</f>
        <v/>
      </c>
      <c r="T273" s="517"/>
      <c r="U273" s="548" t="str">
        <f>VLOOKUP(($B272*10)+8,Results,$F$4,FALSE)</f>
        <v/>
      </c>
      <c r="V273" s="519"/>
      <c r="W273" s="599"/>
      <c r="X273" s="488"/>
      <c r="Y273" s="488"/>
      <c r="Z273" s="488"/>
      <c r="AA273" s="488"/>
      <c r="AB273" s="488"/>
      <c r="AC273" s="488"/>
      <c r="AD273" s="488"/>
    </row>
    <row r="274" spans="1:30" ht="15" thickBot="1" x14ac:dyDescent="0.35">
      <c r="A274" s="118" t="str">
        <f>B272&amp;"B"</f>
        <v>10B</v>
      </c>
      <c r="B274" s="506"/>
      <c r="C274" s="576"/>
      <c r="D274" s="502"/>
      <c r="E274" s="523"/>
      <c r="F274" s="503"/>
      <c r="G274" s="554" t="str">
        <f>VLOOKUP(($B272*10)+1,Results,$G$4,FALSE)</f>
        <v>Royal</v>
      </c>
      <c r="H274" s="505">
        <f>VLOOKUP(($B272*10)+1,Results,$H$4,FALSE)</f>
        <v>13.9</v>
      </c>
      <c r="I274" s="495" t="str">
        <f>VLOOKUP(($B272*10)+2,Results,$G$4,FALSE)</f>
        <v>BRAT</v>
      </c>
      <c r="J274" s="505">
        <f>VLOOKUP(($B272*10)+2,Results,$H$4,FALSE)</f>
        <v>14.4</v>
      </c>
      <c r="K274" s="495" t="str">
        <f>VLOOKUP(($B272*10)+3,Results,$G$4,FALSE)</f>
        <v>Rugby</v>
      </c>
      <c r="L274" s="505">
        <f>VLOOKUP(($B272*10)+3,Results,$H$4,FALSE)</f>
        <v>15.3</v>
      </c>
      <c r="M274" s="495" t="str">
        <f>VLOOKUP(($B272*10)+4,Results,$G$4,FALSE)</f>
        <v>Strat</v>
      </c>
      <c r="N274" s="505">
        <f>VLOOKUP(($B272*10)+4,Results,$H$4,FALSE)</f>
        <v>16.2</v>
      </c>
      <c r="O274" s="495">
        <f>VLOOKUP(($B272*10)+5,Results,$G$4,FALSE)</f>
        <v>0</v>
      </c>
      <c r="P274" s="505">
        <f>VLOOKUP(($B272*10)+5,Results,$H$4,FALSE)</f>
        <v>0</v>
      </c>
      <c r="Q274" s="495">
        <f>VLOOKUP(($B272*10)+6,Results,$G$4,FALSE)</f>
        <v>0</v>
      </c>
      <c r="R274" s="505">
        <f>VLOOKUP(($B272*10)+6,Results,$H$4,FALSE)</f>
        <v>0</v>
      </c>
      <c r="S274" s="496">
        <f>VLOOKUP(($B272*10)+7,Results,$G$4,FALSE)</f>
        <v>0</v>
      </c>
      <c r="T274" s="505">
        <f>VLOOKUP(($B272*10)+7,Results,$H$4,FALSE)</f>
        <v>0</v>
      </c>
      <c r="U274" s="495">
        <f>VLOOKUP(($B272*10)+8,Results,$G$4,FALSE)</f>
        <v>0</v>
      </c>
      <c r="V274" s="601">
        <f>VLOOKUP(($B272*10)+8,Results,$H$4,FALSE)</f>
        <v>0</v>
      </c>
      <c r="W274" s="600">
        <f>VLOOKUP(($B272*10)+1,Results,$I$4,FALSE)</f>
        <v>7</v>
      </c>
      <c r="X274" s="499">
        <f>VLOOKUP(($B272*10)+2,Results,$I$4,FALSE)</f>
        <v>0</v>
      </c>
      <c r="Y274" s="499">
        <f>VLOOKUP(($B272*10)+3,Results,$I$4,FALSE)</f>
        <v>8</v>
      </c>
      <c r="Z274" s="499">
        <f>VLOOKUP(($B272*10)+4,Results,$I$4,FALSE)</f>
        <v>6</v>
      </c>
      <c r="AA274" s="499">
        <f>VLOOKUP(($B272*10)+5,Results,$I$4,FALSE)</f>
        <v>0</v>
      </c>
      <c r="AB274" s="499">
        <f>VLOOKUP(($B272*10)+6,Results,$I$4,FALSE)</f>
        <v>5</v>
      </c>
      <c r="AC274" s="499">
        <f>VLOOKUP(($B272*10)+7,Results,$I$4,FALSE)</f>
        <v>0</v>
      </c>
      <c r="AD274" s="499">
        <f>VLOOKUP(($B272*10)+8,Results,$I$4,FALSE)</f>
        <v>0</v>
      </c>
    </row>
    <row r="275" spans="1:30" x14ac:dyDescent="0.3">
      <c r="A275" s="118" t="str">
        <f>B276&amp;"A"</f>
        <v>12A</v>
      </c>
      <c r="B275" s="506"/>
      <c r="C275" s="571"/>
      <c r="D275" s="479" t="str">
        <f>VLOOKUP(B276,EventsOrder,4,FALSE)</f>
        <v>U16 Female</v>
      </c>
      <c r="E275" s="515" t="s">
        <v>149</v>
      </c>
      <c r="F275" s="480"/>
      <c r="G275" s="481" t="str">
        <f>VLOOKUP(($B276*10)+1,Results,$F$3,FALSE)</f>
        <v/>
      </c>
      <c r="H275" s="482"/>
      <c r="I275" s="483" t="str">
        <f>VLOOKUP(($B276*10)+2,Results,$F$3,FALSE)</f>
        <v/>
      </c>
      <c r="J275" s="482"/>
      <c r="K275" s="483" t="str">
        <f>VLOOKUP(($B276*10)+3,Results,$F$3,FALSE)</f>
        <v/>
      </c>
      <c r="L275" s="482"/>
      <c r="M275" s="483" t="str">
        <f>VLOOKUP(($B276*10)+4,Results,$F$3,FALSE)</f>
        <v/>
      </c>
      <c r="N275" s="482"/>
      <c r="O275" s="483" t="str">
        <f>VLOOKUP(($B276*10)+5,Results,$F$3,FALSE)</f>
        <v/>
      </c>
      <c r="P275" s="482"/>
      <c r="Q275" s="483" t="str">
        <f>VLOOKUP(($B276*10)+6,Results,$F$3,FALSE)</f>
        <v/>
      </c>
      <c r="R275" s="484"/>
      <c r="S275" s="485" t="str">
        <f>VLOOKUP(($B276*10)+7,Results,$F$3,FALSE)</f>
        <v/>
      </c>
      <c r="T275" s="482"/>
      <c r="U275" s="483" t="str">
        <f>VLOOKUP(($B276*10)+8,Results,$F$3,FALSE)</f>
        <v/>
      </c>
      <c r="V275" s="486"/>
      <c r="W275" s="599"/>
      <c r="X275" s="488"/>
      <c r="Y275" s="488"/>
      <c r="Z275" s="488"/>
      <c r="AA275" s="488"/>
      <c r="AB275" s="488"/>
      <c r="AC275" s="488"/>
      <c r="AD275" s="488"/>
    </row>
    <row r="276" spans="1:30" x14ac:dyDescent="0.3">
      <c r="A276" s="118" t="str">
        <f>B276&amp;"A"</f>
        <v>12A</v>
      </c>
      <c r="B276" s="24">
        <v>12</v>
      </c>
      <c r="C276" s="572">
        <f>VLOOKUP(B276,EventsOrder,2,FALSE)</f>
        <v>12.15</v>
      </c>
      <c r="D276" s="490"/>
      <c r="E276" s="11"/>
      <c r="F276" s="492"/>
      <c r="G276" s="493">
        <f>VLOOKUP(($B276*10)+1,Results,$G$3,FALSE)</f>
        <v>0</v>
      </c>
      <c r="H276" s="573">
        <f>VLOOKUP(($B276*10)+1,Results,$H$3,FALSE)</f>
        <v>0</v>
      </c>
      <c r="I276" s="495">
        <f>VLOOKUP(($B276*10)+2,Results,$G$3,FALSE)</f>
        <v>0</v>
      </c>
      <c r="J276" s="573">
        <f>VLOOKUP(($B276*10)+2,Results,$H$3,FALSE)</f>
        <v>0</v>
      </c>
      <c r="K276" s="495">
        <f>VLOOKUP(($B276*10)+3,Results,$G$3,FALSE)</f>
        <v>0</v>
      </c>
      <c r="L276" s="573">
        <f>VLOOKUP(($B276*10)+3,Results,$H$3,FALSE)</f>
        <v>0</v>
      </c>
      <c r="M276" s="495">
        <f>VLOOKUP(($B276*10)+4,Results,$G$3,FALSE)</f>
        <v>0</v>
      </c>
      <c r="N276" s="573">
        <f>VLOOKUP(($B276*10)+4,Results,$H$3,FALSE)</f>
        <v>0</v>
      </c>
      <c r="O276" s="495">
        <f>VLOOKUP(($B276*10)+5,Results,$G$3,FALSE)</f>
        <v>0</v>
      </c>
      <c r="P276" s="573">
        <f>VLOOKUP(($B276*10)+5,Results,$H$3,FALSE)</f>
        <v>0</v>
      </c>
      <c r="Q276" s="495">
        <f>VLOOKUP(($B276*10)+6,Results,$G$3,FALSE)</f>
        <v>0</v>
      </c>
      <c r="R276" s="573">
        <f>VLOOKUP(($B276*10)+6,Results,$H$3,FALSE)</f>
        <v>0</v>
      </c>
      <c r="S276" s="496">
        <f>VLOOKUP(($B276*10)+7,Results,$G$3,FALSE)</f>
        <v>0</v>
      </c>
      <c r="T276" s="573">
        <f>VLOOKUP(($B276*10)+7,Results,$H$3,FALSE)</f>
        <v>0</v>
      </c>
      <c r="U276" s="495">
        <f>VLOOKUP(($B276*10)+8,Results,$G$3,FALSE)</f>
        <v>0</v>
      </c>
      <c r="V276" s="528">
        <f>VLOOKUP(($B276*10)+8,Results,$H$3,FALSE)</f>
        <v>0</v>
      </c>
      <c r="W276" s="600">
        <f>VLOOKUP(($B276*10)+1,Results,$I$3,FALSE)</f>
        <v>0</v>
      </c>
      <c r="X276" s="499">
        <f>VLOOKUP(($B276*10)+2,Results,$I$3,FALSE)</f>
        <v>0</v>
      </c>
      <c r="Y276" s="499">
        <f>VLOOKUP(($B276*10)+3,Results,$I$3,FALSE)</f>
        <v>0</v>
      </c>
      <c r="Z276" s="499">
        <f>VLOOKUP(($B276*10)+4,Results,$I$3,FALSE)</f>
        <v>0</v>
      </c>
      <c r="AA276" s="499">
        <f>VLOOKUP(($B276*10)+5,Results,$I$3,FALSE)</f>
        <v>0</v>
      </c>
      <c r="AB276" s="499">
        <f>VLOOKUP(($B276*10)+6,Results,$I$3,FALSE)</f>
        <v>0</v>
      </c>
      <c r="AC276" s="499">
        <f>VLOOKUP(($B276*10)+7,Results,$I$3,FALSE)</f>
        <v>0</v>
      </c>
      <c r="AD276" s="499">
        <f>VLOOKUP(($B276*10)+8,Results,$I$3,FALSE)</f>
        <v>0</v>
      </c>
    </row>
    <row r="277" spans="1:30" x14ac:dyDescent="0.3">
      <c r="A277" s="118" t="str">
        <f>B276&amp;"B"</f>
        <v>12B</v>
      </c>
      <c r="B277" s="506"/>
      <c r="C277" s="572"/>
      <c r="D277" s="479" t="str">
        <f>VLOOKUP(B276,EventsOrder,3,FALSE)</f>
        <v>Discus</v>
      </c>
      <c r="E277" s="515" t="s">
        <v>94</v>
      </c>
      <c r="F277" s="529"/>
      <c r="G277" s="547" t="str">
        <f>VLOOKUP(($B276*10)+1,Results,$F$4,FALSE)</f>
        <v/>
      </c>
      <c r="H277" s="517"/>
      <c r="I277" s="548" t="str">
        <f>VLOOKUP(($B276*10)+2,Results,$F$4,FALSE)</f>
        <v/>
      </c>
      <c r="J277" s="517"/>
      <c r="K277" s="548" t="str">
        <f>VLOOKUP(($B276*10)+3,Results,$F$4,FALSE)</f>
        <v/>
      </c>
      <c r="L277" s="517"/>
      <c r="M277" s="548" t="str">
        <f>VLOOKUP(($B276*10)+4,Results,$F$4,FALSE)</f>
        <v/>
      </c>
      <c r="N277" s="517"/>
      <c r="O277" s="548" t="str">
        <f>VLOOKUP(($B276*10)+5,Results,$F$4,FALSE)</f>
        <v/>
      </c>
      <c r="P277" s="517"/>
      <c r="Q277" s="548" t="str">
        <f>VLOOKUP(($B276*10)+6,Results,$F$4,FALSE)</f>
        <v/>
      </c>
      <c r="R277" s="549"/>
      <c r="S277" s="575" t="str">
        <f>VLOOKUP(($B276*10)+7,Results,$F$4,FALSE)</f>
        <v/>
      </c>
      <c r="T277" s="517"/>
      <c r="U277" s="548" t="str">
        <f>VLOOKUP(($B276*10)+8,Results,$F$4,FALSE)</f>
        <v/>
      </c>
      <c r="V277" s="519"/>
      <c r="W277" s="599"/>
      <c r="X277" s="488"/>
      <c r="Y277" s="488"/>
      <c r="Z277" s="488"/>
      <c r="AA277" s="488"/>
      <c r="AB277" s="488"/>
      <c r="AC277" s="488"/>
      <c r="AD277" s="488"/>
    </row>
    <row r="278" spans="1:30" ht="15" thickBot="1" x14ac:dyDescent="0.35">
      <c r="A278" s="118" t="str">
        <f>B276&amp;"B"</f>
        <v>12B</v>
      </c>
      <c r="B278" s="506"/>
      <c r="C278" s="576"/>
      <c r="D278" s="502"/>
      <c r="E278" s="523"/>
      <c r="F278" s="503"/>
      <c r="G278" s="554">
        <f>VLOOKUP(($B276*10)+1,Results,$G$4,FALSE)</f>
        <v>0</v>
      </c>
      <c r="H278" s="573">
        <f>VLOOKUP(($B276*10)+1,Results,$H$4,FALSE)</f>
        <v>0</v>
      </c>
      <c r="I278" s="556">
        <f>VLOOKUP(($B276*10)+2,Results,$G$4,FALSE)</f>
        <v>0</v>
      </c>
      <c r="J278" s="573">
        <f>VLOOKUP(($B276*10)+2,Results,$H$4,FALSE)</f>
        <v>0</v>
      </c>
      <c r="K278" s="556">
        <f>VLOOKUP(($B276*10)+3,Results,$G$4,FALSE)</f>
        <v>0</v>
      </c>
      <c r="L278" s="573">
        <f>VLOOKUP(($B276*10)+3,Results,$H$4,FALSE)</f>
        <v>0</v>
      </c>
      <c r="M278" s="556">
        <f>VLOOKUP(($B276*10)+4,Results,$G$4,FALSE)</f>
        <v>0</v>
      </c>
      <c r="N278" s="573">
        <f>VLOOKUP(($B276*10)+4,Results,$H$4,FALSE)</f>
        <v>0</v>
      </c>
      <c r="O278" s="556">
        <f>VLOOKUP(($B276*10)+5,Results,$G$4,FALSE)</f>
        <v>0</v>
      </c>
      <c r="P278" s="573">
        <f>VLOOKUP(($B276*10)+5,Results,$H$4,FALSE)</f>
        <v>0</v>
      </c>
      <c r="Q278" s="556">
        <f>VLOOKUP(($B276*10)+6,Results,$G$4,FALSE)</f>
        <v>0</v>
      </c>
      <c r="R278" s="573">
        <f>VLOOKUP(($B276*10)+6,Results,$H$4,FALSE)</f>
        <v>0</v>
      </c>
      <c r="S278" s="556">
        <f>VLOOKUP(($B276*10)+7,Results,$G$4,FALSE)</f>
        <v>0</v>
      </c>
      <c r="T278" s="573">
        <f>VLOOKUP(($B276*10)+7,Results,$H$4,FALSE)</f>
        <v>0</v>
      </c>
      <c r="U278" s="556">
        <f>VLOOKUP(($B276*10)+8,Results,$G$4,FALSE)</f>
        <v>0</v>
      </c>
      <c r="V278" s="528">
        <f>VLOOKUP(($B276*10)+8,Results,$H$4,FALSE)</f>
        <v>0</v>
      </c>
      <c r="W278" s="600">
        <f>VLOOKUP(($B276*10)+1,Results,$I$4,FALSE)</f>
        <v>0</v>
      </c>
      <c r="X278" s="499">
        <f>VLOOKUP(($B276*10)+2,Results,$I$4,FALSE)</f>
        <v>0</v>
      </c>
      <c r="Y278" s="499">
        <f>VLOOKUP(($B276*10)+3,Results,$I$4,FALSE)</f>
        <v>0</v>
      </c>
      <c r="Z278" s="499">
        <f>VLOOKUP(($B276*10)+4,Results,$I$4,FALSE)</f>
        <v>0</v>
      </c>
      <c r="AA278" s="499">
        <f>VLOOKUP(($B276*10)+5,Results,$I$4,FALSE)</f>
        <v>0</v>
      </c>
      <c r="AB278" s="499">
        <f>VLOOKUP(($B276*10)+6,Results,$I$4,FALSE)</f>
        <v>0</v>
      </c>
      <c r="AC278" s="499">
        <f>VLOOKUP(($B276*10)+7,Results,$I$4,FALSE)</f>
        <v>0</v>
      </c>
      <c r="AD278" s="499">
        <f>VLOOKUP(($B276*10)+8,Results,$I$4,FALSE)</f>
        <v>0</v>
      </c>
    </row>
    <row r="279" spans="1:30" x14ac:dyDescent="0.3">
      <c r="A279" s="118" t="str">
        <f>B280&amp;"A"</f>
        <v>17A</v>
      </c>
      <c r="B279" s="506"/>
      <c r="C279" s="571"/>
      <c r="D279" s="479" t="str">
        <f>VLOOKUP(B280,EventsOrder,4,FALSE)</f>
        <v>U16 Female</v>
      </c>
      <c r="E279" s="515" t="s">
        <v>149</v>
      </c>
      <c r="F279" s="480"/>
      <c r="G279" s="481" t="str">
        <f>VLOOKUP(($B280*10)+1,Results,$F$3,FALSE)</f>
        <v>Annabel Stacey</v>
      </c>
      <c r="H279" s="482"/>
      <c r="I279" s="483" t="str">
        <f>VLOOKUP(($B280*10)+2,Results,$F$3,FALSE)</f>
        <v>Tilly Farmer</v>
      </c>
      <c r="J279" s="482"/>
      <c r="K279" s="483" t="str">
        <f>VLOOKUP(($B280*10)+3,Results,$F$3,FALSE)</f>
        <v>Gracie Young</v>
      </c>
      <c r="L279" s="482"/>
      <c r="M279" s="483" t="str">
        <f>VLOOKUP(($B280*10)+4,Results,$F$3,FALSE)</f>
        <v>Phoebe Budd</v>
      </c>
      <c r="N279" s="482"/>
      <c r="O279" s="483" t="str">
        <f>VLOOKUP(($B280*10)+5,Results,$F$3,FALSE)</f>
        <v>Josephine Colclough</v>
      </c>
      <c r="P279" s="482"/>
      <c r="Q279" s="483" t="str">
        <f>VLOOKUP(($B280*10)+6,Results,$F$3,FALSE)</f>
        <v/>
      </c>
      <c r="R279" s="484"/>
      <c r="S279" s="485" t="str">
        <f>VLOOKUP(($B280*10)+7,Results,$F$3,FALSE)</f>
        <v/>
      </c>
      <c r="T279" s="482"/>
      <c r="U279" s="483" t="str">
        <f>VLOOKUP(($B280*10)+8,Results,$F$3,FALSE)</f>
        <v/>
      </c>
      <c r="V279" s="486"/>
      <c r="W279" s="599"/>
      <c r="X279" s="488"/>
      <c r="Y279" s="488"/>
      <c r="Z279" s="488"/>
      <c r="AA279" s="488"/>
      <c r="AB279" s="488"/>
      <c r="AC279" s="488"/>
      <c r="AD279" s="488"/>
    </row>
    <row r="280" spans="1:30" x14ac:dyDescent="0.3">
      <c r="A280" s="118" t="str">
        <f>B280&amp;"A"</f>
        <v>17A</v>
      </c>
      <c r="B280" s="24">
        <v>17</v>
      </c>
      <c r="C280" s="572">
        <f>VLOOKUP(B280,EventsOrder,2,FALSE)</f>
        <v>12.3</v>
      </c>
      <c r="D280" s="490"/>
      <c r="E280" s="11"/>
      <c r="F280" s="492"/>
      <c r="G280" s="493" t="str">
        <f>VLOOKUP(($B280*10)+1,Results,$G$3,FALSE)</f>
        <v>Strat</v>
      </c>
      <c r="H280" s="573">
        <f>VLOOKUP(($B280*10)+1,Results,$H$3,FALSE)</f>
        <v>1.59</v>
      </c>
      <c r="I280" s="495" t="str">
        <f>VLOOKUP(($B280*10)+2,Results,$G$3,FALSE)</f>
        <v>Tam</v>
      </c>
      <c r="J280" s="573">
        <f>VLOOKUP(($B280*10)+2,Results,$H$3,FALSE)</f>
        <v>1.59</v>
      </c>
      <c r="K280" s="495" t="str">
        <f>VLOOKUP(($B280*10)+3,Results,$G$3,FALSE)</f>
        <v>Royal</v>
      </c>
      <c r="L280" s="573">
        <f>VLOOKUP(($B280*10)+3,Results,$H$3,FALSE)</f>
        <v>1.5</v>
      </c>
      <c r="M280" s="495" t="str">
        <f>VLOOKUP(($B280*10)+4,Results,$G$3,FALSE)</f>
        <v>Rugby</v>
      </c>
      <c r="N280" s="573">
        <f>VLOOKUP(($B280*10)+4,Results,$H$3,FALSE)</f>
        <v>1.4</v>
      </c>
      <c r="O280" s="495" t="str">
        <f>VLOOKUP(($B280*10)+5,Results,$G$3,FALSE)</f>
        <v>BRAT</v>
      </c>
      <c r="P280" s="573">
        <f>VLOOKUP(($B280*10)+5,Results,$H$3,FALSE)</f>
        <v>1.4</v>
      </c>
      <c r="Q280" s="495">
        <f>VLOOKUP(($B280*10)+6,Results,$G$3,FALSE)</f>
        <v>0</v>
      </c>
      <c r="R280" s="574">
        <f>VLOOKUP(($B280*10)+6,Results,$H$3,FALSE)</f>
        <v>0</v>
      </c>
      <c r="S280" s="496">
        <f>VLOOKUP(($B280*10)+7,Results,$G$3,FALSE)</f>
        <v>0</v>
      </c>
      <c r="T280" s="573">
        <f>VLOOKUP(($B280*10)+7,Results,$H$3,FALSE)</f>
        <v>0</v>
      </c>
      <c r="U280" s="495">
        <f>VLOOKUP(($B280*10)+8,Results,$G$3,FALSE)</f>
        <v>0</v>
      </c>
      <c r="V280" s="528">
        <f>VLOOKUP(($B280*10)+8,Results,$H$3,FALSE)</f>
        <v>0</v>
      </c>
      <c r="W280" s="600">
        <f>VLOOKUP(($B280*10)+1,Results,$I$3,FALSE)</f>
        <v>4</v>
      </c>
      <c r="X280" s="499">
        <f>VLOOKUP(($B280*10)+2,Results,$I$3,FALSE)</f>
        <v>0</v>
      </c>
      <c r="Y280" s="499">
        <f>VLOOKUP(($B280*10)+3,Results,$I$3,FALSE)</f>
        <v>6</v>
      </c>
      <c r="Z280" s="499">
        <f>VLOOKUP(($B280*10)+4,Results,$I$3,FALSE)</f>
        <v>5</v>
      </c>
      <c r="AA280" s="499">
        <f>VLOOKUP(($B280*10)+5,Results,$I$3,FALSE)</f>
        <v>0</v>
      </c>
      <c r="AB280" s="499">
        <f>VLOOKUP(($B280*10)+6,Results,$I$3,FALSE)</f>
        <v>8</v>
      </c>
      <c r="AC280" s="499">
        <f>VLOOKUP(($B280*10)+7,Results,$I$3,FALSE)</f>
        <v>7</v>
      </c>
      <c r="AD280" s="499">
        <f>VLOOKUP(($B280*10)+8,Results,$I$3,FALSE)</f>
        <v>0</v>
      </c>
    </row>
    <row r="281" spans="1:30" x14ac:dyDescent="0.3">
      <c r="A281" s="118" t="str">
        <f>B280&amp;"B"</f>
        <v>17B</v>
      </c>
      <c r="B281" s="506"/>
      <c r="C281" s="572"/>
      <c r="D281" s="479" t="str">
        <f>VLOOKUP(B280,EventsOrder,3,FALSE)</f>
        <v>High Jump</v>
      </c>
      <c r="E281" s="515" t="s">
        <v>94</v>
      </c>
      <c r="F281" s="529"/>
      <c r="G281" s="547" t="str">
        <f>VLOOKUP(($B280*10)+1,Results,$F$4,FALSE)</f>
        <v>Lila Gallinagh</v>
      </c>
      <c r="H281" s="517"/>
      <c r="I281" s="548" t="str">
        <f>VLOOKUP(($B280*10)+2,Results,$F$4,FALSE)</f>
        <v>Matilda Husselbee</v>
      </c>
      <c r="J281" s="517"/>
      <c r="K281" s="548" t="str">
        <f>VLOOKUP(($B280*10)+3,Results,$F$4,FALSE)</f>
        <v>Amber Stevens</v>
      </c>
      <c r="L281" s="517"/>
      <c r="M281" s="548" t="str">
        <f>VLOOKUP(($B280*10)+4,Results,$F$4,FALSE)</f>
        <v>Vika Leviuk</v>
      </c>
      <c r="N281" s="517"/>
      <c r="O281" s="548" t="str">
        <f>VLOOKUP(($B280*10)+5,Results,$F$4,FALSE)</f>
        <v>Aiza Ulhaq</v>
      </c>
      <c r="P281" s="517"/>
      <c r="Q281" s="548" t="str">
        <f>VLOOKUP(($B280*10)+6,Results,$F$4,FALSE)</f>
        <v/>
      </c>
      <c r="R281" s="549"/>
      <c r="S281" s="575" t="str">
        <f>VLOOKUP(($B280*10)+7,Results,$F$4,FALSE)</f>
        <v/>
      </c>
      <c r="T281" s="517"/>
      <c r="U281" s="548" t="str">
        <f>VLOOKUP(($B280*10)+8,Results,$F$4,FALSE)</f>
        <v/>
      </c>
      <c r="V281" s="519"/>
      <c r="W281" s="599"/>
      <c r="X281" s="488"/>
      <c r="Y281" s="488"/>
      <c r="Z281" s="488"/>
      <c r="AA281" s="488"/>
      <c r="AB281" s="488"/>
      <c r="AC281" s="488"/>
      <c r="AD281" s="488"/>
    </row>
    <row r="282" spans="1:30" ht="15" thickBot="1" x14ac:dyDescent="0.35">
      <c r="A282" s="118" t="str">
        <f>B280&amp;"B"</f>
        <v>17B</v>
      </c>
      <c r="B282" s="506"/>
      <c r="C282" s="576"/>
      <c r="D282" s="502"/>
      <c r="E282" s="523"/>
      <c r="F282" s="503"/>
      <c r="G282" s="554" t="str">
        <f>VLOOKUP(($B280*10)+1,Results,$G$4,FALSE)</f>
        <v>Strat</v>
      </c>
      <c r="H282" s="573">
        <f>VLOOKUP(($B280*10)+1,Results,$H$4,FALSE)</f>
        <v>1.45</v>
      </c>
      <c r="I282" s="495" t="str">
        <f>VLOOKUP(($B280*10)+2,Results,$G$4,FALSE)</f>
        <v>Tam</v>
      </c>
      <c r="J282" s="573">
        <f>VLOOKUP(($B280*10)+2,Results,$H$4,FALSE)</f>
        <v>1.35</v>
      </c>
      <c r="K282" s="495" t="str">
        <f>VLOOKUP(($B280*10)+3,Results,$G$4,FALSE)</f>
        <v>BRAT</v>
      </c>
      <c r="L282" s="573">
        <f>VLOOKUP(($B280*10)+3,Results,$H$4,FALSE)</f>
        <v>1.35</v>
      </c>
      <c r="M282" s="495" t="str">
        <f>VLOOKUP(($B280*10)+4,Results,$G$4,FALSE)</f>
        <v>Rugby</v>
      </c>
      <c r="N282" s="573">
        <f>VLOOKUP(($B280*10)+4,Results,$H$4,FALSE)</f>
        <v>1.3</v>
      </c>
      <c r="O282" s="495" t="str">
        <f>VLOOKUP(($B280*10)+5,Results,$G$4,FALSE)</f>
        <v>Royal</v>
      </c>
      <c r="P282" s="573">
        <f>VLOOKUP(($B280*10)+5,Results,$H$4,FALSE)</f>
        <v>1.2</v>
      </c>
      <c r="Q282" s="495">
        <f>VLOOKUP(($B280*10)+6,Results,$G$4,FALSE)</f>
        <v>0</v>
      </c>
      <c r="R282" s="574">
        <f>VLOOKUP(($B280*10)+6,Results,$H$4,FALSE)</f>
        <v>0</v>
      </c>
      <c r="S282" s="496">
        <f>VLOOKUP(($B280*10)+7,Results,$G$4,FALSE)</f>
        <v>0</v>
      </c>
      <c r="T282" s="573">
        <f>VLOOKUP(($B280*10)+7,Results,$H$4,FALSE)</f>
        <v>0</v>
      </c>
      <c r="U282" s="495">
        <f>VLOOKUP(($B280*10)+8,Results,$G$4,FALSE)</f>
        <v>0</v>
      </c>
      <c r="V282" s="528">
        <f>VLOOKUP(($B280*10)+8,Results,$H$4,FALSE)</f>
        <v>0</v>
      </c>
      <c r="W282" s="600">
        <f>VLOOKUP(($B280*10)+1,Results,$I$4,FALSE)</f>
        <v>6</v>
      </c>
      <c r="X282" s="499">
        <f>VLOOKUP(($B280*10)+2,Results,$I$4,FALSE)</f>
        <v>0</v>
      </c>
      <c r="Y282" s="499">
        <f>VLOOKUP(($B280*10)+3,Results,$I$4,FALSE)</f>
        <v>4</v>
      </c>
      <c r="Z282" s="499">
        <f>VLOOKUP(($B280*10)+4,Results,$I$4,FALSE)</f>
        <v>5</v>
      </c>
      <c r="AA282" s="499">
        <f>VLOOKUP(($B280*10)+5,Results,$I$4,FALSE)</f>
        <v>0</v>
      </c>
      <c r="AB282" s="499">
        <f>VLOOKUP(($B280*10)+6,Results,$I$4,FALSE)</f>
        <v>8</v>
      </c>
      <c r="AC282" s="499">
        <f>VLOOKUP(($B280*10)+7,Results,$I$4,FALSE)</f>
        <v>7</v>
      </c>
      <c r="AD282" s="499">
        <f>VLOOKUP(($B280*10)+8,Results,$I$4,FALSE)</f>
        <v>0</v>
      </c>
    </row>
    <row r="283" spans="1:30" x14ac:dyDescent="0.3">
      <c r="A283" s="118" t="str">
        <f>B284&amp;"A"</f>
        <v>21A</v>
      </c>
      <c r="B283" s="506"/>
      <c r="C283" s="571"/>
      <c r="D283" s="479" t="str">
        <f>VLOOKUP(B284,EventsOrder,4,FALSE)</f>
        <v>U16 Female</v>
      </c>
      <c r="E283" s="515" t="s">
        <v>149</v>
      </c>
      <c r="F283" s="612" t="str">
        <f>VLOOKUP(B284,EventsOrder,5,FALSE)</f>
        <v>Pit 2</v>
      </c>
      <c r="G283" s="481" t="str">
        <f>VLOOKUP(($B284*10)+1,Results,$F$3,FALSE)</f>
        <v>Tamera Campbell</v>
      </c>
      <c r="H283" s="482"/>
      <c r="I283" s="483" t="str">
        <f>VLOOKUP(($B284*10)+2,Results,$F$3,FALSE)</f>
        <v>Ada Masson</v>
      </c>
      <c r="J283" s="482"/>
      <c r="K283" s="483" t="str">
        <f>VLOOKUP(($B284*10)+3,Results,$F$3,FALSE)</f>
        <v>Brodie Horler</v>
      </c>
      <c r="L283" s="482"/>
      <c r="M283" s="483" t="str">
        <f>VLOOKUP(($B284*10)+4,Results,$F$3,FALSE)</f>
        <v>Betsy Fahey</v>
      </c>
      <c r="N283" s="482"/>
      <c r="O283" s="483" t="str">
        <f>VLOOKUP(($B284*10)+5,Results,$F$3,FALSE)</f>
        <v>Lottie Willis</v>
      </c>
      <c r="P283" s="482"/>
      <c r="Q283" s="483" t="str">
        <f>VLOOKUP(($B284*10)+6,Results,$F$3,FALSE)</f>
        <v>Aiza Ulhaq</v>
      </c>
      <c r="R283" s="484"/>
      <c r="S283" s="485" t="str">
        <f>VLOOKUP(($B284*10)+7,Results,$F$3,FALSE)</f>
        <v>Penelope Cale</v>
      </c>
      <c r="T283" s="482"/>
      <c r="U283" s="483" t="str">
        <f>VLOOKUP(($B284*10)+8,Results,$F$3,FALSE)</f>
        <v>Florence Aspinall</v>
      </c>
      <c r="V283" s="486"/>
      <c r="W283" s="613"/>
      <c r="X283" s="613"/>
      <c r="Y283" s="613"/>
      <c r="Z283" s="613"/>
      <c r="AA283" s="613"/>
      <c r="AB283" s="613"/>
      <c r="AC283" s="613"/>
      <c r="AD283" s="613"/>
    </row>
    <row r="284" spans="1:30" x14ac:dyDescent="0.3">
      <c r="A284" s="118" t="str">
        <f>B284&amp;"A"</f>
        <v>21A</v>
      </c>
      <c r="B284" s="24">
        <v>21</v>
      </c>
      <c r="C284" s="572">
        <f>VLOOKUP(B284,EventsOrder,2,FALSE)</f>
        <v>1</v>
      </c>
      <c r="D284" s="490"/>
      <c r="E284" s="11"/>
      <c r="F284" s="492"/>
      <c r="G284" s="493" t="str">
        <f>VLOOKUP(($B284*10)+1,Results,$G$3,FALSE)</f>
        <v>BRAT</v>
      </c>
      <c r="H284" s="573">
        <f>VLOOKUP(($B284*10)+1,Results,$H$3,FALSE)</f>
        <v>5.01</v>
      </c>
      <c r="I284" s="495" t="str">
        <f>VLOOKUP(($B284*10)+2,Results,$G$3,FALSE)</f>
        <v>Sol</v>
      </c>
      <c r="J284" s="573">
        <f>VLOOKUP(($B284*10)+2,Results,$H$3,FALSE)</f>
        <v>4.7</v>
      </c>
      <c r="K284" s="495" t="str">
        <f>VLOOKUP(($B284*10)+3,Results,$G$3,FALSE)</f>
        <v>Tam</v>
      </c>
      <c r="L284" s="573">
        <f>VLOOKUP(($B284*10)+3,Results,$H$3,FALSE)</f>
        <v>4.66</v>
      </c>
      <c r="M284" s="495" t="str">
        <f>VLOOKUP(($B284*10)+4,Results,$G$3,FALSE)</f>
        <v>Rugby</v>
      </c>
      <c r="N284" s="573">
        <f>VLOOKUP(($B284*10)+4,Results,$H$3,FALSE)</f>
        <v>4.43</v>
      </c>
      <c r="O284" s="495" t="str">
        <f>VLOOKUP(($B284*10)+5,Results,$G$3,FALSE)</f>
        <v>Strat</v>
      </c>
      <c r="P284" s="573">
        <f>VLOOKUP(($B284*10)+5,Results,$H$3,FALSE)</f>
        <v>4.29</v>
      </c>
      <c r="Q284" s="495" t="str">
        <f>VLOOKUP(($B284*10)+6,Results,$G$3,FALSE)</f>
        <v>Royal</v>
      </c>
      <c r="R284" s="574">
        <f>VLOOKUP(($B284*10)+6,Results,$H$3,FALSE)</f>
        <v>4.2300000000000004</v>
      </c>
      <c r="S284" s="496" t="str">
        <f>VLOOKUP(($B284*10)+7,Results,$G$3,FALSE)</f>
        <v>Worc</v>
      </c>
      <c r="T284" s="573">
        <f>VLOOKUP(($B284*10)+7,Results,$H$3,FALSE)</f>
        <v>4.0599999999999996</v>
      </c>
      <c r="U284" s="495" t="str">
        <f>VLOOKUP(($B284*10)+8,Results,$G$3,FALSE)</f>
        <v>K&amp;S</v>
      </c>
      <c r="V284" s="528">
        <f>VLOOKUP(($B284*10)+8,Results,$H$3,FALSE)</f>
        <v>3.63</v>
      </c>
      <c r="W284" s="600">
        <f>VLOOKUP(($B284*10)+1,Results,$I$3,FALSE)</f>
        <v>8</v>
      </c>
      <c r="X284" s="499">
        <f>VLOOKUP(($B284*10)+2,Results,$I$3,FALSE)</f>
        <v>1</v>
      </c>
      <c r="Y284" s="499">
        <f>VLOOKUP(($B284*10)+3,Results,$I$3,FALSE)</f>
        <v>3</v>
      </c>
      <c r="Z284" s="499">
        <f>VLOOKUP(($B284*10)+4,Results,$I$3,FALSE)</f>
        <v>5</v>
      </c>
      <c r="AA284" s="499">
        <f>VLOOKUP(($B284*10)+5,Results,$I$3,FALSE)</f>
        <v>7</v>
      </c>
      <c r="AB284" s="499">
        <f>VLOOKUP(($B284*10)+6,Results,$I$3,FALSE)</f>
        <v>4</v>
      </c>
      <c r="AC284" s="499">
        <f>VLOOKUP(($B284*10)+7,Results,$I$3,FALSE)</f>
        <v>6</v>
      </c>
      <c r="AD284" s="499">
        <f>VLOOKUP(($B284*10)+8,Results,$I$3,FALSE)</f>
        <v>2</v>
      </c>
    </row>
    <row r="285" spans="1:30" x14ac:dyDescent="0.3">
      <c r="A285" s="118" t="str">
        <f>B284&amp;"B"</f>
        <v>21B</v>
      </c>
      <c r="B285" s="506"/>
      <c r="C285" s="572"/>
      <c r="D285" s="479" t="str">
        <f>VLOOKUP(B284,EventsOrder,3,FALSE)</f>
        <v>Long Jump</v>
      </c>
      <c r="E285" s="515" t="s">
        <v>94</v>
      </c>
      <c r="F285" s="612" t="str">
        <f>VLOOKUP(B284,EventsOrder,5,FALSE)</f>
        <v>Pit 2</v>
      </c>
      <c r="G285" s="547" t="str">
        <f>VLOOKUP(($B284*10)+1,Results,$F$4,FALSE)</f>
        <v>Libby Molenaar</v>
      </c>
      <c r="H285" s="517"/>
      <c r="I285" s="548" t="str">
        <f>VLOOKUP(($B284*10)+2,Results,$F$4,FALSE)</f>
        <v>Gabrielle Blake</v>
      </c>
      <c r="J285" s="517"/>
      <c r="K285" s="548" t="str">
        <f>VLOOKUP(($B284*10)+3,Results,$F$4,FALSE)</f>
        <v>Isabella Atwell</v>
      </c>
      <c r="L285" s="517"/>
      <c r="M285" s="548" t="str">
        <f>VLOOKUP(($B284*10)+4,Results,$F$4,FALSE)</f>
        <v>Lila Gallinagh</v>
      </c>
      <c r="N285" s="517"/>
      <c r="O285" s="548" t="str">
        <f>VLOOKUP(($B284*10)+5,Results,$F$4,FALSE)</f>
        <v>Seren Kerry</v>
      </c>
      <c r="P285" s="517"/>
      <c r="Q285" s="548" t="str">
        <f>VLOOKUP(($B284*10)+6,Results,$F$4,FALSE)</f>
        <v>Zareen Ulhaq</v>
      </c>
      <c r="R285" s="549"/>
      <c r="S285" s="575" t="str">
        <f>VLOOKUP(($B284*10)+7,Results,$F$4,FALSE)</f>
        <v>Tiarna Walls</v>
      </c>
      <c r="T285" s="517"/>
      <c r="U285" s="548" t="str">
        <f>VLOOKUP(($B284*10)+8,Results,$F$4,FALSE)</f>
        <v/>
      </c>
      <c r="V285" s="519"/>
      <c r="W285" s="613"/>
      <c r="X285" s="613"/>
      <c r="Y285" s="613"/>
      <c r="Z285" s="613"/>
      <c r="AA285" s="613"/>
      <c r="AB285" s="613"/>
      <c r="AC285" s="613"/>
      <c r="AD285" s="613"/>
    </row>
    <row r="286" spans="1:30" ht="15" thickBot="1" x14ac:dyDescent="0.35">
      <c r="A286" s="118" t="str">
        <f>B284&amp;"B"</f>
        <v>21B</v>
      </c>
      <c r="B286" s="506"/>
      <c r="C286" s="576"/>
      <c r="D286" s="502"/>
      <c r="E286" s="523"/>
      <c r="F286" s="503"/>
      <c r="G286" s="554" t="str">
        <f>VLOOKUP(($B284*10)+1,Results,$G$4,FALSE)</f>
        <v>BRAT</v>
      </c>
      <c r="H286" s="573">
        <f>VLOOKUP(($B284*10)+1,Results,$H$4,FALSE)</f>
        <v>4.55</v>
      </c>
      <c r="I286" s="495" t="str">
        <f>VLOOKUP(($B284*10)+2,Results,$G$4,FALSE)</f>
        <v>Sol</v>
      </c>
      <c r="J286" s="573">
        <f>VLOOKUP(($B284*10)+2,Results,$H$4,FALSE)</f>
        <v>4.3600000000000003</v>
      </c>
      <c r="K286" s="495" t="str">
        <f>VLOOKUP(($B284*10)+3,Results,$G$4,FALSE)</f>
        <v>Rugby</v>
      </c>
      <c r="L286" s="573">
        <f>VLOOKUP(($B284*10)+3,Results,$H$4,FALSE)</f>
        <v>4.2300000000000004</v>
      </c>
      <c r="M286" s="495" t="str">
        <f>VLOOKUP(($B284*10)+4,Results,$G$4,FALSE)</f>
        <v>Strat</v>
      </c>
      <c r="N286" s="573">
        <f>VLOOKUP(($B284*10)+4,Results,$H$4,FALSE)</f>
        <v>4.21</v>
      </c>
      <c r="O286" s="495" t="str">
        <f>VLOOKUP(($B284*10)+5,Results,$G$4,FALSE)</f>
        <v>Worc</v>
      </c>
      <c r="P286" s="573">
        <f>VLOOKUP(($B284*10)+5,Results,$H$4,FALSE)</f>
        <v>3.72</v>
      </c>
      <c r="Q286" s="495" t="str">
        <f>VLOOKUP(($B284*10)+6,Results,$G$4,FALSE)</f>
        <v>Royal</v>
      </c>
      <c r="R286" s="574">
        <f>VLOOKUP(($B284*10)+6,Results,$H$4,FALSE)</f>
        <v>3.7</v>
      </c>
      <c r="S286" s="496" t="str">
        <f>VLOOKUP(($B284*10)+7,Results,$G$4,FALSE)</f>
        <v>Tam</v>
      </c>
      <c r="T286" s="573">
        <f>VLOOKUP(($B284*10)+7,Results,$H$4,FALSE)</f>
        <v>3.46</v>
      </c>
      <c r="U286" s="495">
        <f>VLOOKUP(($B284*10)+8,Results,$G$4,FALSE)</f>
        <v>0</v>
      </c>
      <c r="V286" s="528">
        <f>VLOOKUP(($B284*10)+8,Results,$H$4,FALSE)</f>
        <v>0</v>
      </c>
      <c r="W286" s="600">
        <f>VLOOKUP(($B284*10)+1,Results,$I$4,FALSE)</f>
        <v>8</v>
      </c>
      <c r="X286" s="499">
        <f>VLOOKUP(($B284*10)+2,Results,$I$4,FALSE)</f>
        <v>0</v>
      </c>
      <c r="Y286" s="499">
        <f>VLOOKUP(($B284*10)+3,Results,$I$4,FALSE)</f>
        <v>3</v>
      </c>
      <c r="Z286" s="499">
        <f>VLOOKUP(($B284*10)+4,Results,$I$4,FALSE)</f>
        <v>6</v>
      </c>
      <c r="AA286" s="499">
        <f>VLOOKUP(($B284*10)+5,Results,$I$4,FALSE)</f>
        <v>7</v>
      </c>
      <c r="AB286" s="499">
        <f>VLOOKUP(($B284*10)+6,Results,$I$4,FALSE)</f>
        <v>5</v>
      </c>
      <c r="AC286" s="499">
        <f>VLOOKUP(($B284*10)+7,Results,$I$4,FALSE)</f>
        <v>2</v>
      </c>
      <c r="AD286" s="499">
        <f>VLOOKUP(($B284*10)+8,Results,$I$4,FALSE)</f>
        <v>4</v>
      </c>
    </row>
    <row r="287" spans="1:30" x14ac:dyDescent="0.3">
      <c r="A287" s="118" t="str">
        <f>B288&amp;"A"</f>
        <v>26A</v>
      </c>
      <c r="B287" s="506"/>
      <c r="C287" s="571"/>
      <c r="D287" s="479" t="str">
        <f>VLOOKUP(B288,EventsOrder,4,FALSE)</f>
        <v>U16 Female</v>
      </c>
      <c r="E287" s="515" t="s">
        <v>149</v>
      </c>
      <c r="F287" s="480"/>
      <c r="G287" s="481" t="str">
        <f>VLOOKUP(($B288*10)+1,Results,$F$3,FALSE)</f>
        <v>Orlagh Murphy</v>
      </c>
      <c r="H287" s="482"/>
      <c r="I287" s="483" t="str">
        <f>VLOOKUP(($B288*10)+2,Results,$F$3,FALSE)</f>
        <v>Jemima Spiller</v>
      </c>
      <c r="J287" s="482"/>
      <c r="K287" s="483" t="str">
        <f>VLOOKUP(($B288*10)+3,Results,$F$3,FALSE)</f>
        <v>Robyn Edwards</v>
      </c>
      <c r="L287" s="482"/>
      <c r="M287" s="483" t="str">
        <f>VLOOKUP(($B288*10)+4,Results,$F$3,FALSE)</f>
        <v>Annabel Stacey</v>
      </c>
      <c r="N287" s="482"/>
      <c r="O287" s="483" t="str">
        <f>VLOOKUP(($B288*10)+5,Results,$F$3,FALSE)</f>
        <v>Freya Rankin</v>
      </c>
      <c r="P287" s="482"/>
      <c r="Q287" s="483" t="str">
        <f>VLOOKUP(($B288*10)+6,Results,$F$3,FALSE)</f>
        <v>Lucy Collins</v>
      </c>
      <c r="R287" s="484"/>
      <c r="S287" s="485" t="str">
        <f>VLOOKUP(($B288*10)+7,Results,$F$3,FALSE)</f>
        <v xml:space="preserve">
Maiara Dalmedo</v>
      </c>
      <c r="T287" s="482"/>
      <c r="U287" s="483" t="str">
        <f>VLOOKUP(($B288*10)+8,Results,$F$3,FALSE)</f>
        <v/>
      </c>
      <c r="V287" s="486"/>
      <c r="W287" s="599"/>
      <c r="X287" s="488"/>
      <c r="Y287" s="488"/>
      <c r="Z287" s="488"/>
      <c r="AA287" s="488"/>
      <c r="AB287" s="488"/>
      <c r="AC287" s="488"/>
      <c r="AD287" s="488"/>
    </row>
    <row r="288" spans="1:30" x14ac:dyDescent="0.3">
      <c r="A288" s="118" t="str">
        <f>B288&amp;"A"</f>
        <v>26A</v>
      </c>
      <c r="B288" s="24">
        <v>26</v>
      </c>
      <c r="C288" s="572">
        <f>VLOOKUP(B288,EventsOrder,2,FALSE)</f>
        <v>1</v>
      </c>
      <c r="D288" s="490"/>
      <c r="E288" s="11"/>
      <c r="F288" s="492"/>
      <c r="G288" s="493" t="str">
        <f>VLOOKUP(($B288*10)+1,Results,$G$3,FALSE)</f>
        <v>Sol</v>
      </c>
      <c r="H288" s="505" t="str">
        <f>VLOOKUP(($B288*10)+1,Results,$H$3,FALSE)</f>
        <v>2.24.3</v>
      </c>
      <c r="I288" s="495" t="str">
        <f>VLOOKUP(($B288*10)+2,Results,$G$3,FALSE)</f>
        <v>Rugby</v>
      </c>
      <c r="J288" s="494" t="str">
        <f>VLOOKUP(($B288*10)+2,Results,$H$3,FALSE)</f>
        <v>2.28.0</v>
      </c>
      <c r="K288" s="495" t="str">
        <f>VLOOKUP(($B288*10)+3,Results,$G$3,FALSE)</f>
        <v>Tam</v>
      </c>
      <c r="L288" s="505" t="str">
        <f>VLOOKUP(($B288*10)+3,Results,$H$3,FALSE)</f>
        <v>2.34.3</v>
      </c>
      <c r="M288" s="495" t="str">
        <f>VLOOKUP(($B288*10)+4,Results,$G$3,FALSE)</f>
        <v>Strat</v>
      </c>
      <c r="N288" s="494" t="str">
        <f>VLOOKUP(($B288*10)+4,Results,$H$3,FALSE)</f>
        <v>2.36.2</v>
      </c>
      <c r="O288" s="495" t="str">
        <f>VLOOKUP(($B288*10)+5,Results,$G$3,FALSE)</f>
        <v>Royal</v>
      </c>
      <c r="P288" s="494" t="str">
        <f>VLOOKUP(($B288*10)+5,Results,$H$3,FALSE)</f>
        <v>2.39.0</v>
      </c>
      <c r="Q288" s="495" t="str">
        <f>VLOOKUP(($B288*10)+6,Results,$G$3,FALSE)</f>
        <v>Worc</v>
      </c>
      <c r="R288" s="495" t="str">
        <f>VLOOKUP(($B288*10)+6,Results,$H$3,FALSE)</f>
        <v>2.40.1</v>
      </c>
      <c r="S288" s="496" t="str">
        <f>VLOOKUP(($B288*10)+7,Results,$G$3,FALSE)</f>
        <v>BRAT</v>
      </c>
      <c r="T288" s="494" t="str">
        <f>VLOOKUP(($B288*10)+7,Results,$H$3,FALSE)</f>
        <v>2.51.4</v>
      </c>
      <c r="U288" s="495">
        <f>VLOOKUP(($B288*10)+8,Results,$G$3,FALSE)</f>
        <v>0</v>
      </c>
      <c r="V288" s="497">
        <f>VLOOKUP(($B288*10)+8,Results,$H$3,FALSE)</f>
        <v>0</v>
      </c>
      <c r="W288" s="600">
        <f>VLOOKUP(($B288*10)+1,Results,$I$3,FALSE)</f>
        <v>2</v>
      </c>
      <c r="X288" s="499">
        <f>VLOOKUP(($B288*10)+2,Results,$I$3,FALSE)</f>
        <v>0</v>
      </c>
      <c r="Y288" s="499">
        <f>VLOOKUP(($B288*10)+3,Results,$I$3,FALSE)</f>
        <v>4</v>
      </c>
      <c r="Z288" s="499">
        <f>VLOOKUP(($B288*10)+4,Results,$I$3,FALSE)</f>
        <v>7</v>
      </c>
      <c r="AA288" s="499">
        <f>VLOOKUP(($B288*10)+5,Results,$I$3,FALSE)</f>
        <v>8</v>
      </c>
      <c r="AB288" s="499">
        <f>VLOOKUP(($B288*10)+6,Results,$I$3,FALSE)</f>
        <v>5</v>
      </c>
      <c r="AC288" s="499">
        <f>VLOOKUP(($B288*10)+7,Results,$I$3,FALSE)</f>
        <v>6</v>
      </c>
      <c r="AD288" s="499">
        <f>VLOOKUP(($B288*10)+8,Results,$I$3,FALSE)</f>
        <v>3</v>
      </c>
    </row>
    <row r="289" spans="1:30" x14ac:dyDescent="0.3">
      <c r="A289" s="118" t="str">
        <f>B288&amp;"B"</f>
        <v>26B</v>
      </c>
      <c r="B289" s="506"/>
      <c r="C289" s="572"/>
      <c r="D289" s="479" t="str">
        <f>VLOOKUP(B288,EventsOrder,3,FALSE)</f>
        <v>800m</v>
      </c>
      <c r="E289" s="515" t="s">
        <v>94</v>
      </c>
      <c r="F289" s="529"/>
      <c r="G289" s="547" t="str">
        <f>VLOOKUP(($B288*10)+1,Results,$F$4,FALSE)</f>
        <v>Lucia Ogilvie-Putt</v>
      </c>
      <c r="H289" s="517"/>
      <c r="I289" s="548" t="str">
        <f>VLOOKUP(($B288*10)+2,Results,$F$4,FALSE)</f>
        <v>Lola Fitter</v>
      </c>
      <c r="J289" s="517"/>
      <c r="K289" s="548" t="str">
        <f>VLOOKUP(($B288*10)+3,Results,$F$4,FALSE)</f>
        <v>Evie Edmead</v>
      </c>
      <c r="L289" s="517"/>
      <c r="M289" s="548" t="str">
        <f>VLOOKUP(($B288*10)+4,Results,$F$4,FALSE)</f>
        <v>Florence Lambert</v>
      </c>
      <c r="N289" s="517"/>
      <c r="O289" s="548" t="str">
        <f>VLOOKUP(($B288*10)+5,Results,$F$4,FALSE)</f>
        <v>Isabel Pickering</v>
      </c>
      <c r="P289" s="517"/>
      <c r="Q289" s="548" t="str">
        <f>VLOOKUP(($B288*10)+6,Results,$F$4,FALSE)</f>
        <v/>
      </c>
      <c r="R289" s="549"/>
      <c r="S289" s="575" t="str">
        <f>VLOOKUP(($B288*10)+7,Results,$F$4,FALSE)</f>
        <v/>
      </c>
      <c r="T289" s="517"/>
      <c r="U289" s="548" t="str">
        <f>VLOOKUP(($B288*10)+8,Results,$F$4,FALSE)</f>
        <v/>
      </c>
      <c r="V289" s="519"/>
      <c r="W289" s="599"/>
      <c r="X289" s="488"/>
      <c r="Y289" s="488"/>
      <c r="Z289" s="488"/>
      <c r="AA289" s="488"/>
      <c r="AB289" s="488"/>
      <c r="AC289" s="488"/>
      <c r="AD289" s="488"/>
    </row>
    <row r="290" spans="1:30" ht="15" thickBot="1" x14ac:dyDescent="0.35">
      <c r="A290" s="118" t="str">
        <f>B288&amp;"B"</f>
        <v>26B</v>
      </c>
      <c r="B290" s="506"/>
      <c r="C290" s="576"/>
      <c r="D290" s="502"/>
      <c r="E290" s="523"/>
      <c r="F290" s="503"/>
      <c r="G290" s="554" t="str">
        <f>VLOOKUP(($B288*10)+1,Results,$G$4,FALSE)</f>
        <v>Strat</v>
      </c>
      <c r="H290" s="577" t="str">
        <f>VLOOKUP(($B288*10)+1,Results,$H$4,FALSE)</f>
        <v>2.32.9</v>
      </c>
      <c r="I290" s="556" t="str">
        <f>VLOOKUP(($B288*10)+2,Results,$G$4,FALSE)</f>
        <v>Sol</v>
      </c>
      <c r="J290" s="577" t="str">
        <f>VLOOKUP(($B288*10)+2,Results,$H$4,FALSE)</f>
        <v>2.34.9</v>
      </c>
      <c r="K290" s="556" t="str">
        <f>VLOOKUP(($B288*10)+3,Results,$G$4,FALSE)</f>
        <v>Tam</v>
      </c>
      <c r="L290" s="577" t="str">
        <f>VLOOKUP(($B288*10)+3,Results,$H$4,FALSE)</f>
        <v>2.37.9</v>
      </c>
      <c r="M290" s="556" t="str">
        <f>VLOOKUP(($B288*10)+4,Results,$G$4,FALSE)</f>
        <v>Rugby</v>
      </c>
      <c r="N290" s="577" t="str">
        <f>VLOOKUP(($B288*10)+4,Results,$H$4,FALSE)</f>
        <v>2.55.2</v>
      </c>
      <c r="O290" s="556" t="str">
        <f>VLOOKUP(($B288*10)+5,Results,$G$4,FALSE)</f>
        <v>BRAT</v>
      </c>
      <c r="P290" s="577" t="str">
        <f>VLOOKUP(($B288*10)+5,Results,$H$4,FALSE)</f>
        <v>3.01.8</v>
      </c>
      <c r="Q290" s="556">
        <f>VLOOKUP(($B288*10)+6,Results,$G$4,FALSE)</f>
        <v>0</v>
      </c>
      <c r="R290" s="577">
        <f>VLOOKUP(($B288*10)+6,Results,$H$4,FALSE)</f>
        <v>0</v>
      </c>
      <c r="S290" s="556">
        <f>VLOOKUP(($B288*10)+7,Results,$G$4,FALSE)</f>
        <v>0</v>
      </c>
      <c r="T290" s="577">
        <f>VLOOKUP(($B288*10)+7,Results,$H$4,FALSE)</f>
        <v>0</v>
      </c>
      <c r="U290" s="556">
        <f>VLOOKUP(($B288*10)+8,Results,$G$4,FALSE)</f>
        <v>0</v>
      </c>
      <c r="V290" s="578">
        <f>VLOOKUP(($B288*10)+8,Results,$H$4,FALSE)</f>
        <v>0</v>
      </c>
      <c r="W290" s="600">
        <f>VLOOKUP(($B288*10)+1,Results,$I$4,FALSE)</f>
        <v>4</v>
      </c>
      <c r="X290" s="499">
        <f>VLOOKUP(($B288*10)+2,Results,$I$4,FALSE)</f>
        <v>0</v>
      </c>
      <c r="Y290" s="499">
        <f>VLOOKUP(($B288*10)+3,Results,$I$4,FALSE)</f>
        <v>0</v>
      </c>
      <c r="Z290" s="499">
        <f>VLOOKUP(($B288*10)+4,Results,$I$4,FALSE)</f>
        <v>5</v>
      </c>
      <c r="AA290" s="499">
        <f>VLOOKUP(($B288*10)+5,Results,$I$4,FALSE)</f>
        <v>7</v>
      </c>
      <c r="AB290" s="499">
        <f>VLOOKUP(($B288*10)+6,Results,$I$4,FALSE)</f>
        <v>8</v>
      </c>
      <c r="AC290" s="499">
        <f>VLOOKUP(($B288*10)+7,Results,$I$4,FALSE)</f>
        <v>6</v>
      </c>
      <c r="AD290" s="499">
        <f>VLOOKUP(($B288*10)+8,Results,$I$4,FALSE)</f>
        <v>0</v>
      </c>
    </row>
    <row r="291" spans="1:30" x14ac:dyDescent="0.3">
      <c r="A291" s="118" t="str">
        <f>B292&amp;"A"</f>
        <v>41A</v>
      </c>
      <c r="B291" s="506"/>
      <c r="C291" s="571"/>
      <c r="D291" s="479" t="str">
        <f>VLOOKUP(B292,EventsOrder,4,FALSE)</f>
        <v>U16 Female</v>
      </c>
      <c r="E291" s="515" t="s">
        <v>149</v>
      </c>
      <c r="F291" s="480"/>
      <c r="G291" s="481" t="str">
        <f>VLOOKUP(($B292*10)+1,Results,$F$3,FALSE)</f>
        <v xml:space="preserve">Araya Williams </v>
      </c>
      <c r="H291" s="482"/>
      <c r="I291" s="483" t="str">
        <f>VLOOKUP(($B292*10)+2,Results,$F$3,FALSE)</f>
        <v>Harriett Carey</v>
      </c>
      <c r="J291" s="482"/>
      <c r="K291" s="483" t="str">
        <f>VLOOKUP(($B292*10)+3,Results,$F$3,FALSE)</f>
        <v>Millie-anna Snell</v>
      </c>
      <c r="L291" s="482"/>
      <c r="M291" s="483" t="str">
        <f>VLOOKUP(($B292*10)+4,Results,$F$3,FALSE)</f>
        <v xml:space="preserve">Niamh Williams </v>
      </c>
      <c r="N291" s="482"/>
      <c r="O291" s="483" t="str">
        <f>VLOOKUP(($B292*10)+5,Results,$F$3,FALSE)</f>
        <v>Brodie Horler</v>
      </c>
      <c r="P291" s="482"/>
      <c r="Q291" s="483" t="str">
        <f>VLOOKUP(($B292*10)+6,Results,$F$3,FALSE)</f>
        <v>Alisa Preston</v>
      </c>
      <c r="R291" s="484"/>
      <c r="S291" s="485" t="str">
        <f>VLOOKUP(($B292*10)+7,Results,$F$3,FALSE)</f>
        <v>Jessica Spiby</v>
      </c>
      <c r="T291" s="482"/>
      <c r="U291" s="483" t="str">
        <f>VLOOKUP(($B292*10)+8,Results,$F$3,FALSE)</f>
        <v>Sophia Llewellyn</v>
      </c>
      <c r="V291" s="486"/>
      <c r="W291" s="599"/>
      <c r="X291" s="488"/>
      <c r="Y291" s="488"/>
      <c r="Z291" s="488"/>
      <c r="AA291" s="488"/>
      <c r="AB291" s="488"/>
      <c r="AC291" s="488"/>
      <c r="AD291" s="488"/>
    </row>
    <row r="292" spans="1:30" x14ac:dyDescent="0.3">
      <c r="A292" s="118" t="str">
        <f>B292&amp;"A"</f>
        <v>41A</v>
      </c>
      <c r="B292" s="24">
        <v>41</v>
      </c>
      <c r="C292" s="572">
        <f>VLOOKUP(B292,EventsOrder,2,FALSE)</f>
        <v>2.25</v>
      </c>
      <c r="D292" s="490"/>
      <c r="E292" s="11"/>
      <c r="F292" s="492"/>
      <c r="G292" s="493" t="str">
        <f>VLOOKUP(($B292*10)+1,Results,$G$3,FALSE)</f>
        <v>BRAT</v>
      </c>
      <c r="H292" s="505">
        <f>VLOOKUP(($B292*10)+1,Results,$H$3,FALSE)</f>
        <v>12.3</v>
      </c>
      <c r="I292" s="495" t="str">
        <f>VLOOKUP(($B292*10)+2,Results,$G$3,FALSE)</f>
        <v>Worc</v>
      </c>
      <c r="J292" s="505">
        <f>VLOOKUP(($B292*10)+2,Results,$H$3,FALSE)</f>
        <v>13</v>
      </c>
      <c r="K292" s="495" t="str">
        <f>VLOOKUP(($B292*10)+3,Results,$G$3,FALSE)</f>
        <v>Rugby</v>
      </c>
      <c r="L292" s="505">
        <f>VLOOKUP(($B292*10)+3,Results,$H$3,FALSE)</f>
        <v>13</v>
      </c>
      <c r="M292" s="495" t="str">
        <f>VLOOKUP(($B292*10)+4,Results,$G$3,FALSE)</f>
        <v>Strat</v>
      </c>
      <c r="N292" s="505">
        <f>VLOOKUP(($B292*10)+4,Results,$H$3,FALSE)</f>
        <v>13.1</v>
      </c>
      <c r="O292" s="495" t="str">
        <f>VLOOKUP(($B292*10)+5,Results,$G$3,FALSE)</f>
        <v>Tam</v>
      </c>
      <c r="P292" s="505">
        <f>VLOOKUP(($B292*10)+5,Results,$H$3,FALSE)</f>
        <v>13.2</v>
      </c>
      <c r="Q292" s="495" t="str">
        <f>VLOOKUP(($B292*10)+6,Results,$G$3,FALSE)</f>
        <v>Sol</v>
      </c>
      <c r="R292" s="505">
        <f>VLOOKUP(($B292*10)+6,Results,$H$3,FALSE)</f>
        <v>13.6</v>
      </c>
      <c r="S292" s="496" t="str">
        <f>VLOOKUP(($B292*10)+7,Results,$G$3,FALSE)</f>
        <v>Royal</v>
      </c>
      <c r="T292" s="505">
        <f>VLOOKUP(($B292*10)+7,Results,$H$3,FALSE)</f>
        <v>13.8</v>
      </c>
      <c r="U292" s="495" t="str">
        <f>VLOOKUP(($B292*10)+8,Results,$G$3,FALSE)</f>
        <v>K&amp;S</v>
      </c>
      <c r="V292" s="601">
        <f>VLOOKUP(($B292*10)+8,Results,$H$3,FALSE)</f>
        <v>14.2</v>
      </c>
      <c r="W292" s="600">
        <f>VLOOKUP(($B292*10)+1,Results,$I$3,FALSE)</f>
        <v>8</v>
      </c>
      <c r="X292" s="499">
        <f>VLOOKUP(($B292*10)+2,Results,$I$3,FALSE)</f>
        <v>1</v>
      </c>
      <c r="Y292" s="499">
        <f>VLOOKUP(($B292*10)+3,Results,$I$3,FALSE)</f>
        <v>2</v>
      </c>
      <c r="Z292" s="499">
        <f>VLOOKUP(($B292*10)+4,Results,$I$3,FALSE)</f>
        <v>6</v>
      </c>
      <c r="AA292" s="499">
        <f>VLOOKUP(($B292*10)+5,Results,$I$3,FALSE)</f>
        <v>3</v>
      </c>
      <c r="AB292" s="499">
        <f>VLOOKUP(($B292*10)+6,Results,$I$3,FALSE)</f>
        <v>5</v>
      </c>
      <c r="AC292" s="499">
        <f>VLOOKUP(($B292*10)+7,Results,$I$3,FALSE)</f>
        <v>4</v>
      </c>
      <c r="AD292" s="499">
        <f>VLOOKUP(($B292*10)+8,Results,$I$3,FALSE)</f>
        <v>7</v>
      </c>
    </row>
    <row r="293" spans="1:30" x14ac:dyDescent="0.3">
      <c r="A293" s="118" t="str">
        <f>B292&amp;"B"</f>
        <v>41B</v>
      </c>
      <c r="B293" s="506"/>
      <c r="C293" s="572"/>
      <c r="D293" s="479" t="str">
        <f>VLOOKUP(B292,EventsOrder,3,FALSE)</f>
        <v>100m</v>
      </c>
      <c r="E293" s="515" t="s">
        <v>94</v>
      </c>
      <c r="F293" s="529"/>
      <c r="G293" s="547" t="str">
        <f>VLOOKUP(($B292*10)+1,Results,$F$4,FALSE)</f>
        <v>Tamera Campbell</v>
      </c>
      <c r="H293" s="517"/>
      <c r="I293" s="548" t="str">
        <f>VLOOKUP(($B292*10)+2,Results,$F$4,FALSE)</f>
        <v>Emily Webb</v>
      </c>
      <c r="J293" s="517"/>
      <c r="K293" s="548" t="str">
        <f>VLOOKUP(($B292*10)+3,Results,$F$4,FALSE)</f>
        <v>Lottie Willis</v>
      </c>
      <c r="L293" s="517"/>
      <c r="M293" s="548" t="str">
        <f>VLOOKUP(($B292*10)+4,Results,$F$4,FALSE)</f>
        <v>Gabrielle Blake</v>
      </c>
      <c r="N293" s="517"/>
      <c r="O293" s="548" t="str">
        <f>VLOOKUP(($B292*10)+5,Results,$F$4,FALSE)</f>
        <v>Anisia Barton</v>
      </c>
      <c r="P293" s="517"/>
      <c r="Q293" s="548" t="str">
        <f>VLOOKUP(($B292*10)+6,Results,$F$4,FALSE)</f>
        <v>Martha Kerr</v>
      </c>
      <c r="R293" s="549"/>
      <c r="S293" s="575" t="str">
        <f>VLOOKUP(($B292*10)+7,Results,$F$4,FALSE)</f>
        <v>Penelope Cale</v>
      </c>
      <c r="T293" s="517"/>
      <c r="U293" s="548" t="str">
        <f>VLOOKUP(($B292*10)+8,Results,$F$4,FALSE)</f>
        <v>Florence Aspinall</v>
      </c>
      <c r="V293" s="519"/>
      <c r="W293" s="599"/>
      <c r="X293" s="488"/>
      <c r="Y293" s="488"/>
      <c r="Z293" s="488"/>
      <c r="AA293" s="488"/>
      <c r="AB293" s="488"/>
      <c r="AC293" s="488"/>
      <c r="AD293" s="488"/>
    </row>
    <row r="294" spans="1:30" ht="15" thickBot="1" x14ac:dyDescent="0.35">
      <c r="A294" s="118" t="str">
        <f>B292&amp;"B"</f>
        <v>41B</v>
      </c>
      <c r="B294" s="506"/>
      <c r="C294" s="576"/>
      <c r="D294" s="502"/>
      <c r="E294" s="523"/>
      <c r="F294" s="503"/>
      <c r="G294" s="554" t="str">
        <f>VLOOKUP(($B292*10)+1,Results,$G$4,FALSE)</f>
        <v>BRAT</v>
      </c>
      <c r="H294" s="505">
        <f>VLOOKUP(($B292*10)+1,Results,$H$4,FALSE)</f>
        <v>13.2</v>
      </c>
      <c r="I294" s="556" t="str">
        <f>VLOOKUP(($B292*10)+2,Results,$G$4,FALSE)</f>
        <v>Tam</v>
      </c>
      <c r="J294" s="505">
        <f>VLOOKUP(($B292*10)+2,Results,$H$4,FALSE)</f>
        <v>13.2</v>
      </c>
      <c r="K294" s="556" t="str">
        <f>VLOOKUP(($B292*10)+3,Results,$G$4,FALSE)</f>
        <v>Strat</v>
      </c>
      <c r="L294" s="505">
        <f>VLOOKUP(($B292*10)+3,Results,$H$4,FALSE)</f>
        <v>13.2</v>
      </c>
      <c r="M294" s="556" t="str">
        <f>VLOOKUP(($B292*10)+4,Results,$G$4,FALSE)</f>
        <v>Sol</v>
      </c>
      <c r="N294" s="505">
        <f>VLOOKUP(($B292*10)+4,Results,$H$4,FALSE)</f>
        <v>13.4</v>
      </c>
      <c r="O294" s="556" t="str">
        <f>VLOOKUP(($B292*10)+5,Results,$G$4,FALSE)</f>
        <v>Royal</v>
      </c>
      <c r="P294" s="505">
        <f>VLOOKUP(($B292*10)+5,Results,$H$4,FALSE)</f>
        <v>14.2</v>
      </c>
      <c r="Q294" s="556" t="str">
        <f>VLOOKUP(($B292*10)+6,Results,$G$4,FALSE)</f>
        <v>Rugby</v>
      </c>
      <c r="R294" s="505">
        <f>VLOOKUP(($B292*10)+6,Results,$H$4,FALSE)</f>
        <v>14.5</v>
      </c>
      <c r="S294" s="556" t="str">
        <f>VLOOKUP(($B292*10)+7,Results,$G$4,FALSE)</f>
        <v>Worc</v>
      </c>
      <c r="T294" s="505">
        <f>VLOOKUP(($B292*10)+7,Results,$H$4,FALSE)</f>
        <v>14.6</v>
      </c>
      <c r="U294" s="556" t="str">
        <f>VLOOKUP(($B292*10)+8,Results,$G$4,FALSE)</f>
        <v>K&amp;S</v>
      </c>
      <c r="V294" s="601">
        <f>VLOOKUP(($B292*10)+8,Results,$H$4,FALSE)</f>
        <v>15.1</v>
      </c>
      <c r="W294" s="600">
        <f>VLOOKUP(($B292*10)+1,Results,$I$4,FALSE)</f>
        <v>8</v>
      </c>
      <c r="X294" s="499">
        <f>VLOOKUP(($B292*10)+2,Results,$I$4,FALSE)</f>
        <v>1</v>
      </c>
      <c r="Y294" s="499">
        <f>VLOOKUP(($B292*10)+3,Results,$I$4,FALSE)</f>
        <v>4</v>
      </c>
      <c r="Z294" s="499">
        <f>VLOOKUP(($B292*10)+4,Results,$I$4,FALSE)</f>
        <v>3</v>
      </c>
      <c r="AA294" s="499">
        <f>VLOOKUP(($B292*10)+5,Results,$I$4,FALSE)</f>
        <v>5</v>
      </c>
      <c r="AB294" s="499">
        <f>VLOOKUP(($B292*10)+6,Results,$I$4,FALSE)</f>
        <v>6</v>
      </c>
      <c r="AC294" s="499">
        <f>VLOOKUP(($B292*10)+7,Results,$I$4,FALSE)</f>
        <v>7</v>
      </c>
      <c r="AD294" s="499">
        <f>VLOOKUP(($B292*10)+8,Results,$I$4,FALSE)</f>
        <v>2</v>
      </c>
    </row>
    <row r="295" spans="1:30" x14ac:dyDescent="0.3">
      <c r="A295" s="118" t="str">
        <f>B296&amp;"A"</f>
        <v>49A</v>
      </c>
      <c r="B295" s="506"/>
      <c r="C295" s="571"/>
      <c r="D295" s="479" t="str">
        <f>VLOOKUP(B296,EventsOrder,4,FALSE)</f>
        <v>U16 Female</v>
      </c>
      <c r="E295" s="515" t="s">
        <v>149</v>
      </c>
      <c r="F295" s="480"/>
      <c r="G295" s="481" t="str">
        <f>VLOOKUP(($B296*10)+1,Results,$F$3,FALSE)</f>
        <v>Sophia Llewellyn</v>
      </c>
      <c r="H295" s="482"/>
      <c r="I295" s="483" t="str">
        <f>VLOOKUP(($B296*10)+2,Results,$F$3,FALSE)</f>
        <v>Alexa Richards</v>
      </c>
      <c r="J295" s="482"/>
      <c r="K295" s="483" t="str">
        <f>VLOOKUP(($B296*10)+3,Results,$F$3,FALSE)</f>
        <v>Rosa Farmer</v>
      </c>
      <c r="L295" s="482"/>
      <c r="M295" s="483" t="str">
        <f>VLOOKUP(($B296*10)+4,Results,$F$3,FALSE)</f>
        <v>Chloe Pratt-Massey</v>
      </c>
      <c r="N295" s="482"/>
      <c r="O295" s="483" t="str">
        <f>VLOOKUP(($B296*10)+5,Results,$F$3,FALSE)</f>
        <v>Lucy Denver</v>
      </c>
      <c r="P295" s="482"/>
      <c r="Q295" s="483" t="str">
        <f>VLOOKUP(($B296*10)+6,Results,$F$3,FALSE)</f>
        <v>Amber Stevens</v>
      </c>
      <c r="R295" s="484"/>
      <c r="S295" s="485" t="str">
        <f>VLOOKUP(($B296*10)+7,Results,$F$3,FALSE)</f>
        <v>Isabella Marriot</v>
      </c>
      <c r="T295" s="482"/>
      <c r="U295" s="483" t="str">
        <f>VLOOKUP(($B296*10)+8,Results,$F$3,FALSE)</f>
        <v>Isla Oldham</v>
      </c>
      <c r="V295" s="486"/>
      <c r="W295" s="599"/>
      <c r="X295" s="488"/>
      <c r="Y295" s="488"/>
      <c r="Z295" s="488"/>
      <c r="AA295" s="488"/>
      <c r="AB295" s="488"/>
      <c r="AC295" s="488"/>
      <c r="AD295" s="488"/>
    </row>
    <row r="296" spans="1:30" x14ac:dyDescent="0.3">
      <c r="A296" s="118" t="str">
        <f>B296&amp;"A"</f>
        <v>49A</v>
      </c>
      <c r="B296" s="24">
        <v>49</v>
      </c>
      <c r="C296" s="572">
        <f>VLOOKUP(B296,EventsOrder,2,FALSE)</f>
        <v>2.4</v>
      </c>
      <c r="D296" s="490"/>
      <c r="E296" s="11"/>
      <c r="F296" s="492"/>
      <c r="G296" s="493" t="str">
        <f>VLOOKUP(($B296*10)+1,Results,$G$3,FALSE)</f>
        <v>K&amp;S</v>
      </c>
      <c r="H296" s="573">
        <f>VLOOKUP(($B296*10)+1,Results,$H$3,FALSE)</f>
        <v>30.1</v>
      </c>
      <c r="I296" s="495" t="str">
        <f>VLOOKUP(($B296*10)+2,Results,$G$3,FALSE)</f>
        <v>Sol</v>
      </c>
      <c r="J296" s="573">
        <f>VLOOKUP(($B296*10)+2,Results,$H$3,FALSE)</f>
        <v>23.82</v>
      </c>
      <c r="K296" s="495" t="str">
        <f>VLOOKUP(($B296*10)+3,Results,$G$3,FALSE)</f>
        <v>Tam</v>
      </c>
      <c r="L296" s="573">
        <f>VLOOKUP(($B296*10)+3,Results,$H$3,FALSE)</f>
        <v>23.01</v>
      </c>
      <c r="M296" s="495" t="str">
        <f>VLOOKUP(($B296*10)+4,Results,$G$3,FALSE)</f>
        <v>Rugby</v>
      </c>
      <c r="N296" s="573">
        <f>VLOOKUP(($B296*10)+4,Results,$H$3,FALSE)</f>
        <v>21.86</v>
      </c>
      <c r="O296" s="495" t="str">
        <f>VLOOKUP(($B296*10)+5,Results,$G$3,FALSE)</f>
        <v>Royal</v>
      </c>
      <c r="P296" s="573">
        <f>VLOOKUP(($B296*10)+5,Results,$H$3,FALSE)</f>
        <v>21.49</v>
      </c>
      <c r="Q296" s="495" t="str">
        <f>VLOOKUP(($B296*10)+6,Results,$G$3,FALSE)</f>
        <v>BRAT</v>
      </c>
      <c r="R296" s="573">
        <f>VLOOKUP(($B296*10)+6,Results,$H$3,FALSE)</f>
        <v>18.149999999999999</v>
      </c>
      <c r="S296" s="496" t="str">
        <f>VLOOKUP(($B296*10)+7,Results,$G$3,FALSE)</f>
        <v>Strat</v>
      </c>
      <c r="T296" s="573">
        <f>VLOOKUP(($B296*10)+7,Results,$H$3,FALSE)</f>
        <v>13.93</v>
      </c>
      <c r="U296" s="495" t="str">
        <f>VLOOKUP(($B296*10)+8,Results,$G$3,FALSE)</f>
        <v>Worc</v>
      </c>
      <c r="V296" s="528">
        <f>VLOOKUP(($B296*10)+8,Results,$H$3,FALSE)</f>
        <v>11.82</v>
      </c>
      <c r="W296" s="600">
        <f>VLOOKUP(($B296*10)+1,Results,$I$3,FALSE)</f>
        <v>3</v>
      </c>
      <c r="X296" s="499">
        <f>VLOOKUP(($B296*10)+2,Results,$I$3,FALSE)</f>
        <v>8</v>
      </c>
      <c r="Y296" s="499">
        <f>VLOOKUP(($B296*10)+3,Results,$I$3,FALSE)</f>
        <v>4</v>
      </c>
      <c r="Z296" s="499">
        <f>VLOOKUP(($B296*10)+4,Results,$I$3,FALSE)</f>
        <v>5</v>
      </c>
      <c r="AA296" s="499">
        <f>VLOOKUP(($B296*10)+5,Results,$I$3,FALSE)</f>
        <v>7</v>
      </c>
      <c r="AB296" s="499">
        <f>VLOOKUP(($B296*10)+6,Results,$I$3,FALSE)</f>
        <v>2</v>
      </c>
      <c r="AC296" s="499">
        <f>VLOOKUP(($B296*10)+7,Results,$I$3,FALSE)</f>
        <v>6</v>
      </c>
      <c r="AD296" s="499">
        <f>VLOOKUP(($B296*10)+8,Results,$I$3,FALSE)</f>
        <v>1</v>
      </c>
    </row>
    <row r="297" spans="1:30" x14ac:dyDescent="0.3">
      <c r="A297" s="118" t="str">
        <f>B296&amp;"B"</f>
        <v>49B</v>
      </c>
      <c r="B297" s="506"/>
      <c r="C297" s="572"/>
      <c r="D297" s="479" t="str">
        <f>VLOOKUP(B296,EventsOrder,3,FALSE)</f>
        <v>Javelin</v>
      </c>
      <c r="E297" s="515" t="s">
        <v>94</v>
      </c>
      <c r="F297" s="529"/>
      <c r="G297" s="547" t="str">
        <f>VLOOKUP(($B296*10)+1,Results,$F$4,FALSE)</f>
        <v>Gracie Young</v>
      </c>
      <c r="H297" s="517"/>
      <c r="I297" s="548" t="str">
        <f>VLOOKUP(($B296*10)+2,Results,$F$4,FALSE)</f>
        <v>Holly Hancock</v>
      </c>
      <c r="J297" s="517"/>
      <c r="K297" s="548" t="str">
        <f>VLOOKUP(($B296*10)+3,Results,$F$4,FALSE)</f>
        <v>Palia-Elsie Kalala</v>
      </c>
      <c r="L297" s="517"/>
      <c r="M297" s="548" t="str">
        <f>VLOOKUP(($B296*10)+4,Results,$F$4,FALSE)</f>
        <v>Lolita Newby Vincent</v>
      </c>
      <c r="N297" s="517"/>
      <c r="O297" s="548" t="str">
        <f>VLOOKUP(($B296*10)+5,Results,$F$4,FALSE)</f>
        <v>Georgia Kiernan</v>
      </c>
      <c r="P297" s="517"/>
      <c r="Q297" s="548" t="str">
        <f>VLOOKUP(($B296*10)+6,Results,$F$4,FALSE)</f>
        <v>Isla Gerry</v>
      </c>
      <c r="R297" s="549"/>
      <c r="S297" s="575" t="str">
        <f>VLOOKUP(($B296*10)+7,Results,$F$4,FALSE)</f>
        <v>Lara Taylor</v>
      </c>
      <c r="T297" s="517"/>
      <c r="U297" s="548" t="str">
        <f>VLOOKUP(($B296*10)+8,Results,$F$4,FALSE)</f>
        <v/>
      </c>
      <c r="V297" s="519"/>
      <c r="W297" s="599"/>
      <c r="X297" s="488"/>
      <c r="Y297" s="488"/>
      <c r="Z297" s="488"/>
      <c r="AA297" s="488"/>
      <c r="AB297" s="488"/>
      <c r="AC297" s="488"/>
      <c r="AD297" s="488"/>
    </row>
    <row r="298" spans="1:30" ht="15" thickBot="1" x14ac:dyDescent="0.35">
      <c r="A298" s="118" t="str">
        <f>B296&amp;"B"</f>
        <v>49B</v>
      </c>
      <c r="B298" s="506"/>
      <c r="C298" s="576"/>
      <c r="D298" s="502"/>
      <c r="E298" s="523"/>
      <c r="F298" s="503"/>
      <c r="G298" s="554" t="str">
        <f>VLOOKUP(($B296*10)+1,Results,$G$4,FALSE)</f>
        <v>Royal</v>
      </c>
      <c r="H298" s="573">
        <f>VLOOKUP(($B296*10)+1,Results,$H$4,FALSE)</f>
        <v>17.7</v>
      </c>
      <c r="I298" s="556" t="str">
        <f>VLOOKUP(($B296*10)+2,Results,$G$4,FALSE)</f>
        <v>Tam</v>
      </c>
      <c r="J298" s="573">
        <f>VLOOKUP(($B296*10)+2,Results,$H$4,FALSE)</f>
        <v>16.84</v>
      </c>
      <c r="K298" s="556" t="str">
        <f>VLOOKUP(($B296*10)+3,Results,$G$4,FALSE)</f>
        <v>BRAT</v>
      </c>
      <c r="L298" s="573">
        <f>VLOOKUP(($B296*10)+3,Results,$H$4,FALSE)</f>
        <v>15.45</v>
      </c>
      <c r="M298" s="556" t="str">
        <f>VLOOKUP(($B296*10)+4,Results,$G$4,FALSE)</f>
        <v>Strat</v>
      </c>
      <c r="N298" s="573">
        <f>VLOOKUP(($B296*10)+4,Results,$H$4,FALSE)</f>
        <v>13.35</v>
      </c>
      <c r="O298" s="556" t="str">
        <f>VLOOKUP(($B296*10)+5,Results,$G$4,FALSE)</f>
        <v>K&amp;S</v>
      </c>
      <c r="P298" s="573">
        <f>VLOOKUP(($B296*10)+5,Results,$H$4,FALSE)</f>
        <v>12.77</v>
      </c>
      <c r="Q298" s="556" t="str">
        <f>VLOOKUP(($B296*10)+6,Results,$G$4,FALSE)</f>
        <v>Sol</v>
      </c>
      <c r="R298" s="573">
        <f>VLOOKUP(($B296*10)+6,Results,$H$4,FALSE)</f>
        <v>11.48</v>
      </c>
      <c r="S298" s="556" t="str">
        <f>VLOOKUP(($B296*10)+7,Results,$G$4,FALSE)</f>
        <v>Worc</v>
      </c>
      <c r="T298" s="573">
        <f>VLOOKUP(($B296*10)+7,Results,$H$4,FALSE)</f>
        <v>9.65</v>
      </c>
      <c r="U298" s="556">
        <f>VLOOKUP(($B296*10)+8,Results,$G$4,FALSE)</f>
        <v>0</v>
      </c>
      <c r="V298" s="528">
        <f>VLOOKUP(($B296*10)+8,Results,$H$4,FALSE)</f>
        <v>0</v>
      </c>
      <c r="W298" s="600">
        <f>VLOOKUP(($B296*10)+1,Results,$I$4,FALSE)</f>
        <v>6</v>
      </c>
      <c r="X298" s="499">
        <f>VLOOKUP(($B296*10)+2,Results,$I$4,FALSE)</f>
        <v>4</v>
      </c>
      <c r="Y298" s="499">
        <f>VLOOKUP(($B296*10)+3,Results,$I$4,FALSE)</f>
        <v>8</v>
      </c>
      <c r="Z298" s="499">
        <f>VLOOKUP(($B296*10)+4,Results,$I$4,FALSE)</f>
        <v>0</v>
      </c>
      <c r="AA298" s="499">
        <f>VLOOKUP(($B296*10)+5,Results,$I$4,FALSE)</f>
        <v>3</v>
      </c>
      <c r="AB298" s="499">
        <f>VLOOKUP(($B296*10)+6,Results,$I$4,FALSE)</f>
        <v>5</v>
      </c>
      <c r="AC298" s="499">
        <f>VLOOKUP(($B296*10)+7,Results,$I$4,FALSE)</f>
        <v>7</v>
      </c>
      <c r="AD298" s="499">
        <f>VLOOKUP(($B296*10)+8,Results,$I$4,FALSE)</f>
        <v>2</v>
      </c>
    </row>
    <row r="299" spans="1:30" x14ac:dyDescent="0.3">
      <c r="A299" s="118" t="str">
        <f>B300&amp;"A"</f>
        <v>63A</v>
      </c>
      <c r="B299" s="506"/>
      <c r="C299" s="571"/>
      <c r="D299" s="479" t="str">
        <f>VLOOKUP(B300,EventsOrder,4,FALSE)</f>
        <v>U16 Female</v>
      </c>
      <c r="E299" s="515" t="s">
        <v>149</v>
      </c>
      <c r="F299" s="480"/>
      <c r="G299" s="481" t="str">
        <f>VLOOKUP(($B300*10)+1,Results,$F$3,FALSE)</f>
        <v>Rosa Farmer</v>
      </c>
      <c r="H299" s="482"/>
      <c r="I299" s="483" t="str">
        <f>VLOOKUP(($B300*10)+2,Results,$F$3,FALSE)</f>
        <v>Jessica Spiby</v>
      </c>
      <c r="J299" s="482"/>
      <c r="K299" s="483" t="str">
        <f>VLOOKUP(($B300*10)+3,Results,$F$3,FALSE)</f>
        <v>Georgia Kiernan</v>
      </c>
      <c r="L299" s="482"/>
      <c r="M299" s="483" t="str">
        <f>VLOOKUP(($B300*10)+4,Results,$F$3,FALSE)</f>
        <v>Chloe Pallett</v>
      </c>
      <c r="N299" s="482"/>
      <c r="O299" s="483" t="str">
        <f>VLOOKUP(($B300*10)+5,Results,$F$3,FALSE)</f>
        <v>Felicity Moore</v>
      </c>
      <c r="P299" s="482"/>
      <c r="Q299" s="483" t="str">
        <f>VLOOKUP(($B300*10)+6,Results,$F$3,FALSE)</f>
        <v>Jessika Cox</v>
      </c>
      <c r="R299" s="484"/>
      <c r="S299" s="485" t="str">
        <f>VLOOKUP(($B300*10)+7,Results,$F$3,FALSE)</f>
        <v>Orlagh Murphy</v>
      </c>
      <c r="T299" s="482"/>
      <c r="U299" s="483" t="str">
        <f>VLOOKUP(($B300*10)+8,Results,$F$3,FALSE)</f>
        <v/>
      </c>
      <c r="V299" s="486"/>
      <c r="W299" s="599"/>
      <c r="X299" s="488"/>
      <c r="Y299" s="488"/>
      <c r="Z299" s="488"/>
      <c r="AA299" s="488"/>
      <c r="AB299" s="488"/>
      <c r="AC299" s="488"/>
      <c r="AD299" s="488"/>
    </row>
    <row r="300" spans="1:30" x14ac:dyDescent="0.3">
      <c r="A300" s="118" t="str">
        <f>B300&amp;"A"</f>
        <v>63A</v>
      </c>
      <c r="B300" s="24">
        <v>63</v>
      </c>
      <c r="C300" s="572">
        <f>VLOOKUP(B300,EventsOrder,2,FALSE)</f>
        <v>1.4</v>
      </c>
      <c r="D300" s="490"/>
      <c r="E300" s="11"/>
      <c r="F300" s="492"/>
      <c r="G300" s="493" t="str">
        <f>VLOOKUP(($B300*10)+1,Results,$G$3,FALSE)</f>
        <v>Tam</v>
      </c>
      <c r="H300" s="505">
        <f>VLOOKUP(($B300*10)+1,Results,$H$3,FALSE)</f>
        <v>42.7</v>
      </c>
      <c r="I300" s="495" t="str">
        <f>VLOOKUP(($B300*10)+2,Results,$G$3,FALSE)</f>
        <v>Royal</v>
      </c>
      <c r="J300" s="505">
        <f>VLOOKUP(($B300*10)+2,Results,$H$3,FALSE)</f>
        <v>43.3</v>
      </c>
      <c r="K300" s="495" t="str">
        <f>VLOOKUP(($B300*10)+3,Results,$G$3,FALSE)</f>
        <v>K&amp;S</v>
      </c>
      <c r="L300" s="505">
        <f>VLOOKUP(($B300*10)+3,Results,$H$3,FALSE)</f>
        <v>43.4</v>
      </c>
      <c r="M300" s="495" t="str">
        <f>VLOOKUP(($B300*10)+4,Results,$G$3,FALSE)</f>
        <v>Rugby</v>
      </c>
      <c r="N300" s="505">
        <f>VLOOKUP(($B300*10)+4,Results,$H$3,FALSE)</f>
        <v>43.7</v>
      </c>
      <c r="O300" s="495" t="str">
        <f>VLOOKUP(($B300*10)+5,Results,$G$3,FALSE)</f>
        <v>Worc</v>
      </c>
      <c r="P300" s="505">
        <f>VLOOKUP(($B300*10)+5,Results,$H$3,FALSE)</f>
        <v>44.4</v>
      </c>
      <c r="Q300" s="495" t="str">
        <f>VLOOKUP(($B300*10)+6,Results,$G$3,FALSE)</f>
        <v>BRAT</v>
      </c>
      <c r="R300" s="505">
        <f>VLOOKUP(($B300*10)+6,Results,$H$3,FALSE)</f>
        <v>45.1</v>
      </c>
      <c r="S300" s="496" t="str">
        <f>VLOOKUP(($B300*10)+7,Results,$G$3,FALSE)</f>
        <v>Sol</v>
      </c>
      <c r="T300" s="505">
        <f>VLOOKUP(($B300*10)+7,Results,$H$3,FALSE)</f>
        <v>45.4</v>
      </c>
      <c r="U300" s="495">
        <f>VLOOKUP(($B300*10)+8,Results,$G$3,FALSE)</f>
        <v>0</v>
      </c>
      <c r="V300" s="601">
        <f>VLOOKUP(($B300*10)+8,Results,$H$3,FALSE)</f>
        <v>0</v>
      </c>
      <c r="W300" s="600">
        <f>VLOOKUP(($B300*10)+1,Results,$I$3,FALSE)</f>
        <v>3</v>
      </c>
      <c r="X300" s="499">
        <f>VLOOKUP(($B300*10)+2,Results,$I$3,FALSE)</f>
        <v>6</v>
      </c>
      <c r="Y300" s="499">
        <f>VLOOKUP(($B300*10)+3,Results,$I$3,FALSE)</f>
        <v>7</v>
      </c>
      <c r="Z300" s="499">
        <f>VLOOKUP(($B300*10)+4,Results,$I$3,FALSE)</f>
        <v>5</v>
      </c>
      <c r="AA300" s="499">
        <f>VLOOKUP(($B300*10)+5,Results,$I$3,FALSE)</f>
        <v>2</v>
      </c>
      <c r="AB300" s="499">
        <f>VLOOKUP(($B300*10)+6,Results,$I$3,FALSE)</f>
        <v>0</v>
      </c>
      <c r="AC300" s="499">
        <f>VLOOKUP(($B300*10)+7,Results,$I$3,FALSE)</f>
        <v>8</v>
      </c>
      <c r="AD300" s="499">
        <f>VLOOKUP(($B300*10)+8,Results,$I$3,FALSE)</f>
        <v>4</v>
      </c>
    </row>
    <row r="301" spans="1:30" x14ac:dyDescent="0.3">
      <c r="A301" s="118" t="str">
        <f>B300&amp;"B"</f>
        <v>63B</v>
      </c>
      <c r="B301" s="506"/>
      <c r="C301" s="572"/>
      <c r="D301" s="479" t="str">
        <f>VLOOKUP(B300,EventsOrder,3,FALSE)</f>
        <v>300m</v>
      </c>
      <c r="E301" s="515" t="s">
        <v>94</v>
      </c>
      <c r="F301" s="529"/>
      <c r="G301" s="547" t="str">
        <f>VLOOKUP(($B300*10)+1,Results,$F$4,FALSE)</f>
        <v>Tilly Farmer</v>
      </c>
      <c r="H301" s="517"/>
      <c r="I301" s="548" t="str">
        <f>VLOOKUP(($B300*10)+2,Results,$F$4,FALSE)</f>
        <v>Lottie Willis</v>
      </c>
      <c r="J301" s="517"/>
      <c r="K301" s="548" t="str">
        <f>VLOOKUP(($B300*10)+3,Results,$F$4,FALSE)</f>
        <v>Nicole Bevan</v>
      </c>
      <c r="L301" s="517"/>
      <c r="M301" s="548" t="str">
        <f>VLOOKUP(($B300*10)+4,Results,$F$4,FALSE)</f>
        <v>Orla Gibson</v>
      </c>
      <c r="N301" s="517"/>
      <c r="O301" s="548" t="str">
        <f>VLOOKUP(($B300*10)+5,Results,$F$4,FALSE)</f>
        <v>Josephine Colclough</v>
      </c>
      <c r="P301" s="517"/>
      <c r="Q301" s="548" t="str">
        <f>VLOOKUP(($B300*10)+6,Results,$F$4,FALSE)</f>
        <v>Ava Thompson</v>
      </c>
      <c r="R301" s="549"/>
      <c r="S301" s="575" t="str">
        <f>VLOOKUP(($B300*10)+7,Results,$F$4,FALSE)</f>
        <v>Lucy Collins</v>
      </c>
      <c r="T301" s="517"/>
      <c r="U301" s="548" t="str">
        <f>VLOOKUP(($B300*10)+8,Results,$F$4,FALSE)</f>
        <v>Zareen Ulhaq</v>
      </c>
      <c r="V301" s="519"/>
      <c r="W301" s="599"/>
      <c r="X301" s="488"/>
      <c r="Y301" s="488"/>
      <c r="Z301" s="488"/>
      <c r="AA301" s="488"/>
      <c r="AB301" s="488"/>
      <c r="AC301" s="488"/>
      <c r="AD301" s="488"/>
    </row>
    <row r="302" spans="1:30" ht="15" thickBot="1" x14ac:dyDescent="0.35">
      <c r="A302" s="118" t="str">
        <f>B300&amp;"B"</f>
        <v>63B</v>
      </c>
      <c r="B302" s="506"/>
      <c r="C302" s="576"/>
      <c r="D302" s="502"/>
      <c r="E302" s="523"/>
      <c r="F302" s="503"/>
      <c r="G302" s="554" t="str">
        <f>VLOOKUP(($B300*10)+1,Results,$G$4,FALSE)</f>
        <v>Tam</v>
      </c>
      <c r="H302" s="505">
        <f>VLOOKUP(($B300*10)+1,Results,$H$4,FALSE)</f>
        <v>42.8</v>
      </c>
      <c r="I302" s="495" t="str">
        <f>VLOOKUP(($B300*10)+2,Results,$G$4,FALSE)</f>
        <v>Strat</v>
      </c>
      <c r="J302" s="505">
        <f>VLOOKUP(($B300*10)+2,Results,$H$4,FALSE)</f>
        <v>44.7</v>
      </c>
      <c r="K302" s="495" t="str">
        <f>VLOOKUP(($B300*10)+3,Results,$G$4,FALSE)</f>
        <v>K&amp;S</v>
      </c>
      <c r="L302" s="505">
        <f>VLOOKUP(($B300*10)+3,Results,$H$4,FALSE)</f>
        <v>45.9</v>
      </c>
      <c r="M302" s="495" t="str">
        <f>VLOOKUP(($B300*10)+4,Results,$G$4,FALSE)</f>
        <v>Rugby</v>
      </c>
      <c r="N302" s="505">
        <f>VLOOKUP(($B300*10)+4,Results,$H$4,FALSE)</f>
        <v>47.7</v>
      </c>
      <c r="O302" s="495" t="str">
        <f>VLOOKUP(($B300*10)+5,Results,$G$4,FALSE)</f>
        <v>BRAT</v>
      </c>
      <c r="P302" s="505">
        <f>VLOOKUP(($B300*10)+5,Results,$H$4,FALSE)</f>
        <v>48.8</v>
      </c>
      <c r="Q302" s="495" t="str">
        <f>VLOOKUP(($B300*10)+6,Results,$G$4,FALSE)</f>
        <v>Sol</v>
      </c>
      <c r="R302" s="505">
        <f>VLOOKUP(($B300*10)+6,Results,$H$4,FALSE)</f>
        <v>49</v>
      </c>
      <c r="S302" s="496" t="str">
        <f>VLOOKUP(($B300*10)+7,Results,$G$4,FALSE)</f>
        <v>Worc</v>
      </c>
      <c r="T302" s="505">
        <f>VLOOKUP(($B300*10)+7,Results,$H$4,FALSE)</f>
        <v>50</v>
      </c>
      <c r="U302" s="495" t="str">
        <f>VLOOKUP(($B300*10)+8,Results,$G$4,FALSE)</f>
        <v>Royal</v>
      </c>
      <c r="V302" s="601">
        <f>VLOOKUP(($B300*10)+8,Results,$H$4,FALSE)</f>
        <v>51.4</v>
      </c>
      <c r="W302" s="600">
        <f>VLOOKUP(($B300*10)+1,Results,$I$4,FALSE)</f>
        <v>4</v>
      </c>
      <c r="X302" s="499">
        <f>VLOOKUP(($B300*10)+2,Results,$I$4,FALSE)</f>
        <v>6</v>
      </c>
      <c r="Y302" s="499">
        <f>VLOOKUP(($B300*10)+3,Results,$I$4,FALSE)</f>
        <v>1</v>
      </c>
      <c r="Z302" s="499">
        <f>VLOOKUP(($B300*10)+4,Results,$I$4,FALSE)</f>
        <v>5</v>
      </c>
      <c r="AA302" s="499">
        <f>VLOOKUP(($B300*10)+5,Results,$I$4,FALSE)</f>
        <v>3</v>
      </c>
      <c r="AB302" s="499">
        <f>VLOOKUP(($B300*10)+6,Results,$I$4,FALSE)</f>
        <v>7</v>
      </c>
      <c r="AC302" s="499">
        <f>VLOOKUP(($B300*10)+7,Results,$I$4,FALSE)</f>
        <v>8</v>
      </c>
      <c r="AD302" s="499">
        <f>VLOOKUP(($B300*10)+8,Results,$I$4,FALSE)</f>
        <v>2</v>
      </c>
    </row>
    <row r="303" spans="1:30" x14ac:dyDescent="0.3">
      <c r="A303" s="118" t="str">
        <f>B304&amp;"A"</f>
        <v>68A</v>
      </c>
      <c r="B303" s="506"/>
      <c r="C303" s="571"/>
      <c r="D303" s="479" t="str">
        <f>VLOOKUP(B304,EventsOrder,4,FALSE)</f>
        <v>U16 Female</v>
      </c>
      <c r="E303" s="515" t="s">
        <v>149</v>
      </c>
      <c r="F303" s="480"/>
      <c r="G303" s="481" t="str">
        <f>VLOOKUP(($B304*10)+1,Results,$F$3,FALSE)</f>
        <v xml:space="preserve">Araya Williams </v>
      </c>
      <c r="H303" s="482"/>
      <c r="I303" s="483" t="str">
        <f>VLOOKUP(($B304*10)+2,Results,$F$3,FALSE)</f>
        <v>Lara Taylor</v>
      </c>
      <c r="J303" s="482"/>
      <c r="K303" s="483" t="str">
        <f>VLOOKUP(($B304*10)+3,Results,$F$3,FALSE)</f>
        <v>Brodie Horler</v>
      </c>
      <c r="L303" s="482"/>
      <c r="M303" s="483" t="str">
        <f>VLOOKUP(($B304*10)+4,Results,$F$3,FALSE)</f>
        <v>Ada Masson</v>
      </c>
      <c r="N303" s="482"/>
      <c r="O303" s="483" t="str">
        <f>VLOOKUP(($B304*10)+5,Results,$F$3,FALSE)</f>
        <v>Georgia Kiernan</v>
      </c>
      <c r="P303" s="482"/>
      <c r="Q303" s="483" t="str">
        <f>VLOOKUP(($B304*10)+6,Results,$F$3,FALSE)</f>
        <v>Phoebe Clark</v>
      </c>
      <c r="R303" s="484"/>
      <c r="S303" s="485" t="str">
        <f>VLOOKUP(($B304*10)+7,Results,$F$3,FALSE)</f>
        <v xml:space="preserve">Niamh Williams </v>
      </c>
      <c r="T303" s="482"/>
      <c r="U303" s="483" t="str">
        <f>VLOOKUP(($B304*10)+8,Results,$F$3,FALSE)</f>
        <v>Anisia Barton</v>
      </c>
      <c r="V303" s="486"/>
      <c r="W303" s="599"/>
      <c r="X303" s="488"/>
      <c r="Y303" s="488"/>
      <c r="Z303" s="488"/>
      <c r="AA303" s="488"/>
      <c r="AB303" s="488"/>
      <c r="AC303" s="488"/>
      <c r="AD303" s="488"/>
    </row>
    <row r="304" spans="1:30" x14ac:dyDescent="0.3">
      <c r="A304" s="118" t="str">
        <f>B304&amp;"A"</f>
        <v>68A</v>
      </c>
      <c r="B304" s="24">
        <v>68</v>
      </c>
      <c r="C304" s="572">
        <f>VLOOKUP(B304,EventsOrder,2,FALSE)</f>
        <v>4.0999999999999996</v>
      </c>
      <c r="D304" s="490"/>
      <c r="E304" s="11"/>
      <c r="F304" s="492"/>
      <c r="G304" s="493" t="str">
        <f>VLOOKUP(($B304*10)+1,Results,$G$3,FALSE)</f>
        <v>BRAT</v>
      </c>
      <c r="H304" s="505">
        <f>VLOOKUP(($B304*10)+1,Results,$H$3,FALSE)</f>
        <v>25.7</v>
      </c>
      <c r="I304" s="495" t="str">
        <f>VLOOKUP(($B304*10)+2,Results,$G$3,FALSE)</f>
        <v>Worc</v>
      </c>
      <c r="J304" s="505">
        <f>VLOOKUP(($B304*10)+2,Results,$H$3,FALSE)</f>
        <v>26.1</v>
      </c>
      <c r="K304" s="495" t="str">
        <f>VLOOKUP(($B304*10)+3,Results,$G$3,FALSE)</f>
        <v>Tam</v>
      </c>
      <c r="L304" s="505">
        <f>VLOOKUP(($B304*10)+3,Results,$H$3,FALSE)</f>
        <v>26.8</v>
      </c>
      <c r="M304" s="495" t="str">
        <f>VLOOKUP(($B304*10)+4,Results,$G$3,FALSE)</f>
        <v>Sol</v>
      </c>
      <c r="N304" s="505">
        <f>VLOOKUP(($B304*10)+4,Results,$H$3,FALSE)</f>
        <v>27.4</v>
      </c>
      <c r="O304" s="495" t="str">
        <f>VLOOKUP(($B304*10)+5,Results,$G$3,FALSE)</f>
        <v>K&amp;S</v>
      </c>
      <c r="P304" s="505">
        <f>VLOOKUP(($B304*10)+5,Results,$H$3,FALSE)</f>
        <v>27.7</v>
      </c>
      <c r="Q304" s="495" t="str">
        <f>VLOOKUP(($B304*10)+6,Results,$G$3,FALSE)</f>
        <v>Rugby</v>
      </c>
      <c r="R304" s="505">
        <f>VLOOKUP(($B304*10)+6,Results,$H$3,FALSE)</f>
        <v>27.7</v>
      </c>
      <c r="S304" s="496" t="str">
        <f>VLOOKUP(($B304*10)+7,Results,$G$3,FALSE)</f>
        <v>Strat</v>
      </c>
      <c r="T304" s="505">
        <f>VLOOKUP(($B304*10)+7,Results,$H$3,FALSE)</f>
        <v>27.8</v>
      </c>
      <c r="U304" s="495" t="str">
        <f>VLOOKUP(($B304*10)+8,Results,$G$3,FALSE)</f>
        <v>Royal</v>
      </c>
      <c r="V304" s="601">
        <f>VLOOKUP(($B304*10)+8,Results,$H$3,FALSE)</f>
        <v>29.5</v>
      </c>
      <c r="W304" s="600">
        <f>VLOOKUP(($B304*10)+1,Results,$I$3,FALSE)</f>
        <v>8</v>
      </c>
      <c r="X304" s="499">
        <f>VLOOKUP(($B304*10)+2,Results,$I$3,FALSE)</f>
        <v>4</v>
      </c>
      <c r="Y304" s="499">
        <f>VLOOKUP(($B304*10)+3,Results,$I$3,FALSE)</f>
        <v>1</v>
      </c>
      <c r="Z304" s="499">
        <f>VLOOKUP(($B304*10)+4,Results,$I$3,FALSE)</f>
        <v>3</v>
      </c>
      <c r="AA304" s="499">
        <f>VLOOKUP(($B304*10)+5,Results,$I$3,FALSE)</f>
        <v>5</v>
      </c>
      <c r="AB304" s="499">
        <f>VLOOKUP(($B304*10)+6,Results,$I$3,FALSE)</f>
        <v>2</v>
      </c>
      <c r="AC304" s="499">
        <f>VLOOKUP(($B304*10)+7,Results,$I$3,FALSE)</f>
        <v>6</v>
      </c>
      <c r="AD304" s="499">
        <f>VLOOKUP(($B304*10)+8,Results,$I$3,FALSE)</f>
        <v>7</v>
      </c>
    </row>
    <row r="305" spans="1:30" x14ac:dyDescent="0.3">
      <c r="A305" s="118" t="str">
        <f>B304&amp;"B"</f>
        <v>68B</v>
      </c>
      <c r="B305" s="506"/>
      <c r="C305" s="572"/>
      <c r="D305" s="479" t="str">
        <f>VLOOKUP(B304,EventsOrder,3,FALSE)</f>
        <v>200m</v>
      </c>
      <c r="E305" s="515" t="s">
        <v>94</v>
      </c>
      <c r="F305" s="529"/>
      <c r="G305" s="547" t="str">
        <f>VLOOKUP(($B304*10)+1,Results,$F$4,FALSE)</f>
        <v>Isla Oldham</v>
      </c>
      <c r="H305" s="517"/>
      <c r="I305" s="548" t="str">
        <f>VLOOKUP(($B304*10)+2,Results,$F$4,FALSE)</f>
        <v>Isla Gerry</v>
      </c>
      <c r="J305" s="517"/>
      <c r="K305" s="548" t="str">
        <f>VLOOKUP(($B304*10)+3,Results,$F$4,FALSE)</f>
        <v>Annabel Stacey</v>
      </c>
      <c r="L305" s="517"/>
      <c r="M305" s="548" t="str">
        <f>VLOOKUP(($B304*10)+4,Results,$F$4,FALSE)</f>
        <v>Betsy Fahey</v>
      </c>
      <c r="N305" s="517"/>
      <c r="O305" s="548" t="str">
        <f>VLOOKUP(($B304*10)+5,Results,$F$4,FALSE)</f>
        <v xml:space="preserve">Erin Colclough </v>
      </c>
      <c r="P305" s="517"/>
      <c r="Q305" s="548" t="str">
        <f>VLOOKUP(($B304*10)+6,Results,$F$4,FALSE)</f>
        <v>Ines Fennell</v>
      </c>
      <c r="R305" s="549"/>
      <c r="S305" s="575" t="str">
        <f>VLOOKUP(($B304*10)+7,Results,$F$4,FALSE)</f>
        <v>Florence Aspinall</v>
      </c>
      <c r="T305" s="517"/>
      <c r="U305" s="548" t="str">
        <f>VLOOKUP(($B304*10)+8,Results,$F$4,FALSE)</f>
        <v/>
      </c>
      <c r="V305" s="519"/>
      <c r="W305" s="599"/>
      <c r="X305" s="488"/>
      <c r="Y305" s="488"/>
      <c r="Z305" s="488"/>
      <c r="AA305" s="488"/>
      <c r="AB305" s="488"/>
      <c r="AC305" s="488"/>
      <c r="AD305" s="488"/>
    </row>
    <row r="306" spans="1:30" ht="15" thickBot="1" x14ac:dyDescent="0.35">
      <c r="A306" s="118" t="str">
        <f>B304&amp;"B"</f>
        <v>68B</v>
      </c>
      <c r="B306" s="506"/>
      <c r="C306" s="576"/>
      <c r="D306" s="502"/>
      <c r="E306" s="523"/>
      <c r="F306" s="503"/>
      <c r="G306" s="554" t="str">
        <f>VLOOKUP(($B304*10)+1,Results,$G$4,FALSE)</f>
        <v>Worc</v>
      </c>
      <c r="H306" s="505">
        <f>VLOOKUP(($B304*10)+1,Results,$H$4,FALSE)</f>
        <v>27.7</v>
      </c>
      <c r="I306" s="556" t="str">
        <f>VLOOKUP(($B304*10)+2,Results,$G$4,FALSE)</f>
        <v>Sol</v>
      </c>
      <c r="J306" s="505">
        <f>VLOOKUP(($B304*10)+2,Results,$H$4,FALSE)</f>
        <v>28.2</v>
      </c>
      <c r="K306" s="556" t="str">
        <f>VLOOKUP(($B304*10)+3,Results,$G$4,FALSE)</f>
        <v>Strat</v>
      </c>
      <c r="L306" s="505">
        <f>VLOOKUP(($B304*10)+3,Results,$H$4,FALSE)</f>
        <v>28.8</v>
      </c>
      <c r="M306" s="556" t="str">
        <f>VLOOKUP(($B304*10)+4,Results,$G$4,FALSE)</f>
        <v>Rugby</v>
      </c>
      <c r="N306" s="505">
        <f>VLOOKUP(($B304*10)+4,Results,$H$4,FALSE)</f>
        <v>29.3</v>
      </c>
      <c r="O306" s="556" t="str">
        <f>VLOOKUP(($B304*10)+5,Results,$G$4,FALSE)</f>
        <v>BRAT</v>
      </c>
      <c r="P306" s="505">
        <f>VLOOKUP(($B304*10)+5,Results,$H$4,FALSE)</f>
        <v>29.6</v>
      </c>
      <c r="Q306" s="556" t="str">
        <f>VLOOKUP(($B304*10)+6,Results,$G$4,FALSE)</f>
        <v>Royal</v>
      </c>
      <c r="R306" s="505">
        <f>VLOOKUP(($B304*10)+6,Results,$H$4,FALSE)</f>
        <v>31.2</v>
      </c>
      <c r="S306" s="556" t="str">
        <f>VLOOKUP(($B304*10)+7,Results,$G$4,FALSE)</f>
        <v>K&amp;S</v>
      </c>
      <c r="T306" s="505">
        <f>VLOOKUP(($B304*10)+7,Results,$H$4,FALSE)</f>
        <v>31.4</v>
      </c>
      <c r="U306" s="556">
        <f>VLOOKUP(($B304*10)+8,Results,$G$4,FALSE)</f>
        <v>0</v>
      </c>
      <c r="V306" s="601">
        <f>VLOOKUP(($B304*10)+8,Results,$H$4,FALSE)</f>
        <v>0</v>
      </c>
      <c r="W306" s="600">
        <f>VLOOKUP(($B304*10)+1,Results,$I$4,FALSE)</f>
        <v>4</v>
      </c>
      <c r="X306" s="499">
        <f>VLOOKUP(($B304*10)+2,Results,$I$4,FALSE)</f>
        <v>2</v>
      </c>
      <c r="Y306" s="499">
        <f>VLOOKUP(($B304*10)+3,Results,$I$4,FALSE)</f>
        <v>3</v>
      </c>
      <c r="Z306" s="499">
        <f>VLOOKUP(($B304*10)+4,Results,$I$4,FALSE)</f>
        <v>5</v>
      </c>
      <c r="AA306" s="499">
        <f>VLOOKUP(($B304*10)+5,Results,$I$4,FALSE)</f>
        <v>7</v>
      </c>
      <c r="AB306" s="499">
        <f>VLOOKUP(($B304*10)+6,Results,$I$4,FALSE)</f>
        <v>6</v>
      </c>
      <c r="AC306" s="499">
        <f>VLOOKUP(($B304*10)+7,Results,$I$4,FALSE)</f>
        <v>0</v>
      </c>
      <c r="AD306" s="499">
        <f>VLOOKUP(($B304*10)+8,Results,$I$4,FALSE)</f>
        <v>8</v>
      </c>
    </row>
    <row r="307" spans="1:30" x14ac:dyDescent="0.3">
      <c r="A307" s="118" t="str">
        <f>B308&amp;"A"</f>
        <v>73A</v>
      </c>
      <c r="B307" s="506"/>
      <c r="C307" s="571"/>
      <c r="D307" s="479" t="str">
        <f>VLOOKUP(B308,EventsOrder,4,FALSE)</f>
        <v>U16 Female</v>
      </c>
      <c r="E307" s="515" t="s">
        <v>149</v>
      </c>
      <c r="F307" s="480"/>
      <c r="G307" s="481" t="str">
        <f>VLOOKUP(($B308*10)+1,Results,$F$3,FALSE)</f>
        <v>Palia-Elsie Kalala</v>
      </c>
      <c r="H307" s="482"/>
      <c r="I307" s="483" t="str">
        <f>VLOOKUP(($B308*10)+2,Results,$F$3,FALSE)</f>
        <v>Amelia Rex</v>
      </c>
      <c r="J307" s="482"/>
      <c r="K307" s="483" t="str">
        <f>VLOOKUP(($B308*10)+3,Results,$F$3,FALSE)</f>
        <v>Tilly Farmer</v>
      </c>
      <c r="L307" s="482"/>
      <c r="M307" s="483" t="str">
        <f>VLOOKUP(($B308*10)+4,Results,$F$3,FALSE)</f>
        <v>Gabrielle Blake</v>
      </c>
      <c r="N307" s="482"/>
      <c r="O307" s="483" t="str">
        <f>VLOOKUP(($B308*10)+5,Results,$F$3,FALSE)</f>
        <v>Isabella Marriot</v>
      </c>
      <c r="P307" s="482"/>
      <c r="Q307" s="483" t="str">
        <f>VLOOKUP(($B308*10)+6,Results,$F$3,FALSE)</f>
        <v>Lucy Denver</v>
      </c>
      <c r="R307" s="484"/>
      <c r="S307" s="485" t="str">
        <f>VLOOKUP(($B308*10)+7,Results,$F$3,FALSE)</f>
        <v>Felicity Moore</v>
      </c>
      <c r="T307" s="482"/>
      <c r="U307" s="483" t="str">
        <f>VLOOKUP(($B308*10)+8,Results,$F$3,FALSE)</f>
        <v/>
      </c>
      <c r="V307" s="486"/>
      <c r="W307" s="599"/>
      <c r="X307" s="488"/>
      <c r="Y307" s="488"/>
      <c r="Z307" s="488"/>
      <c r="AA307" s="488"/>
      <c r="AB307" s="488"/>
      <c r="AC307" s="488"/>
      <c r="AD307" s="488"/>
    </row>
    <row r="308" spans="1:30" x14ac:dyDescent="0.3">
      <c r="A308" s="118" t="str">
        <f>B308&amp;"A"</f>
        <v>73A</v>
      </c>
      <c r="B308" s="24">
        <v>73</v>
      </c>
      <c r="C308" s="572">
        <f>VLOOKUP(B308,EventsOrder,2,FALSE)</f>
        <v>4.2</v>
      </c>
      <c r="D308" s="490"/>
      <c r="E308" s="11"/>
      <c r="F308" s="492"/>
      <c r="G308" s="493" t="str">
        <f>VLOOKUP(($B308*10)+1,Results,$G$3,FALSE)</f>
        <v>BRAT</v>
      </c>
      <c r="H308" s="573">
        <f>VLOOKUP(($B308*10)+1,Results,$H$3,FALSE)</f>
        <v>8.42</v>
      </c>
      <c r="I308" s="495" t="str">
        <f>VLOOKUP(($B308*10)+2,Results,$G$3,FALSE)</f>
        <v>Rugby</v>
      </c>
      <c r="J308" s="573">
        <f>VLOOKUP(($B308*10)+2,Results,$H$3,FALSE)</f>
        <v>8.1</v>
      </c>
      <c r="K308" s="495" t="str">
        <f>VLOOKUP(($B308*10)+3,Results,$G$3,FALSE)</f>
        <v>Tam</v>
      </c>
      <c r="L308" s="573">
        <f>VLOOKUP(($B308*10)+3,Results,$H$3,FALSE)</f>
        <v>7.91</v>
      </c>
      <c r="M308" s="495" t="str">
        <f>VLOOKUP(($B308*10)+4,Results,$G$3,FALSE)</f>
        <v>Sol</v>
      </c>
      <c r="N308" s="573">
        <f>VLOOKUP(($B308*10)+4,Results,$H$3,FALSE)</f>
        <v>7.3</v>
      </c>
      <c r="O308" s="495" t="str">
        <f>VLOOKUP(($B308*10)+5,Results,$G$3,FALSE)</f>
        <v>Strat</v>
      </c>
      <c r="P308" s="573">
        <f>VLOOKUP(($B308*10)+5,Results,$H$3,FALSE)</f>
        <v>7.13</v>
      </c>
      <c r="Q308" s="495" t="str">
        <f>VLOOKUP(($B308*10)+6,Results,$G$3,FALSE)</f>
        <v>Royal</v>
      </c>
      <c r="R308" s="574">
        <f>VLOOKUP(($B308*10)+6,Results,$H$3,FALSE)</f>
        <v>6.62</v>
      </c>
      <c r="S308" s="496" t="str">
        <f>VLOOKUP(($B308*10)+7,Results,$G$3,FALSE)</f>
        <v>Worc</v>
      </c>
      <c r="T308" s="573">
        <f>VLOOKUP(($B308*10)+7,Results,$H$3,FALSE)</f>
        <v>5.76</v>
      </c>
      <c r="U308" s="495">
        <f>VLOOKUP(($B308*10)+8,Results,$G$3,FALSE)</f>
        <v>0</v>
      </c>
      <c r="V308" s="528">
        <f>VLOOKUP(($B308*10)+8,Results,$H$3,FALSE)</f>
        <v>0</v>
      </c>
      <c r="W308" s="600">
        <f>VLOOKUP(($B308*10)+1,Results,$I$3,FALSE)</f>
        <v>8</v>
      </c>
      <c r="X308" s="499">
        <f>VLOOKUP(($B308*10)+2,Results,$I$3,FALSE)</f>
        <v>0</v>
      </c>
      <c r="Y308" s="499">
        <f>VLOOKUP(($B308*10)+3,Results,$I$3,FALSE)</f>
        <v>3</v>
      </c>
      <c r="Z308" s="499">
        <f>VLOOKUP(($B308*10)+4,Results,$I$3,FALSE)</f>
        <v>7</v>
      </c>
      <c r="AA308" s="499">
        <f>VLOOKUP(($B308*10)+5,Results,$I$3,FALSE)</f>
        <v>5</v>
      </c>
      <c r="AB308" s="499">
        <f>VLOOKUP(($B308*10)+6,Results,$I$3,FALSE)</f>
        <v>4</v>
      </c>
      <c r="AC308" s="499">
        <f>VLOOKUP(($B308*10)+7,Results,$I$3,FALSE)</f>
        <v>6</v>
      </c>
      <c r="AD308" s="499">
        <f>VLOOKUP(($B308*10)+8,Results,$I$3,FALSE)</f>
        <v>2</v>
      </c>
    </row>
    <row r="309" spans="1:30" x14ac:dyDescent="0.3">
      <c r="A309" s="118" t="str">
        <f>B308&amp;"B"</f>
        <v>73B</v>
      </c>
      <c r="B309" s="506"/>
      <c r="C309" s="572"/>
      <c r="D309" s="479" t="str">
        <f>VLOOKUP(B308,EventsOrder,3,FALSE)</f>
        <v>Shot</v>
      </c>
      <c r="E309" s="515" t="s">
        <v>94</v>
      </c>
      <c r="F309" s="529"/>
      <c r="G309" s="547" t="str">
        <f>VLOOKUP(($B308*10)+1,Results,$F$4,FALSE)</f>
        <v>Anya Haresign</v>
      </c>
      <c r="H309" s="517"/>
      <c r="I309" s="548" t="str">
        <f>VLOOKUP(($B308*10)+2,Results,$F$4,FALSE)</f>
        <v>Alisia Scarlett-Thomas</v>
      </c>
      <c r="J309" s="517"/>
      <c r="K309" s="548" t="str">
        <f>VLOOKUP(($B308*10)+3,Results,$F$4,FALSE)</f>
        <v>Tiarna Walls</v>
      </c>
      <c r="L309" s="517"/>
      <c r="M309" s="548" t="str">
        <f>VLOOKUP(($B308*10)+4,Results,$F$4,FALSE)</f>
        <v>Alexa Richards</v>
      </c>
      <c r="N309" s="517"/>
      <c r="O309" s="548" t="str">
        <f>VLOOKUP(($B308*10)+5,Results,$F$4,FALSE)</f>
        <v>Lucia Ogilvie-Putt</v>
      </c>
      <c r="P309" s="517"/>
      <c r="Q309" s="548" t="str">
        <f>VLOOKUP(($B308*10)+6,Results,$F$4,FALSE)</f>
        <v>Zareen Ulhaq</v>
      </c>
      <c r="R309" s="549"/>
      <c r="S309" s="575" t="str">
        <f>VLOOKUP(($B308*10)+7,Results,$F$4,FALSE)</f>
        <v>Seren Kerry</v>
      </c>
      <c r="T309" s="517"/>
      <c r="U309" s="548" t="str">
        <f>VLOOKUP(($B308*10)+8,Results,$F$4,FALSE)</f>
        <v/>
      </c>
      <c r="V309" s="519"/>
      <c r="W309" s="599"/>
      <c r="X309" s="488"/>
      <c r="Y309" s="488"/>
      <c r="Z309" s="488"/>
      <c r="AA309" s="488"/>
      <c r="AB309" s="488"/>
      <c r="AC309" s="488"/>
      <c r="AD309" s="488"/>
    </row>
    <row r="310" spans="1:30" ht="15" thickBot="1" x14ac:dyDescent="0.35">
      <c r="A310" s="118" t="str">
        <f>B308&amp;"B"</f>
        <v>73B</v>
      </c>
      <c r="B310" s="530"/>
      <c r="C310" s="576"/>
      <c r="D310" s="502"/>
      <c r="E310" s="523"/>
      <c r="F310" s="503"/>
      <c r="G310" s="554" t="str">
        <f>VLOOKUP(($B308*10)+1,Results,$G$4,FALSE)</f>
        <v>Rugby</v>
      </c>
      <c r="H310" s="526">
        <f>VLOOKUP(($B308*10)+1,Results,$H$4,FALSE)</f>
        <v>7.27</v>
      </c>
      <c r="I310" s="556" t="str">
        <f>VLOOKUP(($B308*10)+2,Results,$G$4,FALSE)</f>
        <v>BRAT</v>
      </c>
      <c r="J310" s="526">
        <f>VLOOKUP(($B308*10)+2,Results,$H$4,FALSE)</f>
        <v>7.17</v>
      </c>
      <c r="K310" s="556" t="str">
        <f>VLOOKUP(($B308*10)+3,Results,$G$4,FALSE)</f>
        <v>Tam</v>
      </c>
      <c r="L310" s="526">
        <f>VLOOKUP(($B308*10)+3,Results,$H$4,FALSE)</f>
        <v>6.96</v>
      </c>
      <c r="M310" s="556" t="str">
        <f>VLOOKUP(($B308*10)+4,Results,$G$4,FALSE)</f>
        <v>Sol</v>
      </c>
      <c r="N310" s="526">
        <f>VLOOKUP(($B308*10)+4,Results,$H$4,FALSE)</f>
        <v>6.81</v>
      </c>
      <c r="O310" s="556" t="str">
        <f>VLOOKUP(($B308*10)+5,Results,$G$4,FALSE)</f>
        <v>Strat</v>
      </c>
      <c r="P310" s="526">
        <f>VLOOKUP(($B308*10)+5,Results,$H$4,FALSE)</f>
        <v>5.92</v>
      </c>
      <c r="Q310" s="556" t="str">
        <f>VLOOKUP(($B308*10)+6,Results,$G$4,FALSE)</f>
        <v>Royal</v>
      </c>
      <c r="R310" s="602">
        <f>VLOOKUP(($B308*10)+6,Results,$H$4,FALSE)</f>
        <v>5.0999999999999996</v>
      </c>
      <c r="S310" s="603" t="str">
        <f>VLOOKUP(($B308*10)+7,Results,$G$4,FALSE)</f>
        <v>Worc</v>
      </c>
      <c r="T310" s="526">
        <f>VLOOKUP(($B308*10)+7,Results,$H$4,FALSE)</f>
        <v>4.79</v>
      </c>
      <c r="U310" s="556">
        <f>VLOOKUP(($B308*10)+8,Results,$G$4,FALSE)</f>
        <v>0</v>
      </c>
      <c r="V310" s="533">
        <f>VLOOKUP(($B308*10)+8,Results,$H$4,FALSE)</f>
        <v>0</v>
      </c>
      <c r="W310" s="498">
        <f>VLOOKUP(($B308*10)+1,Results,$I$4,FALSE)</f>
        <v>7</v>
      </c>
      <c r="X310" s="499">
        <f>VLOOKUP(($B308*10)+2,Results,$I$4,FALSE)</f>
        <v>0</v>
      </c>
      <c r="Y310" s="499">
        <f>VLOOKUP(($B308*10)+3,Results,$I$4,FALSE)</f>
        <v>3</v>
      </c>
      <c r="Z310" s="499">
        <f>VLOOKUP(($B308*10)+4,Results,$I$4,FALSE)</f>
        <v>8</v>
      </c>
      <c r="AA310" s="499">
        <f>VLOOKUP(($B308*10)+5,Results,$I$4,FALSE)</f>
        <v>5</v>
      </c>
      <c r="AB310" s="499">
        <f>VLOOKUP(($B308*10)+6,Results,$I$4,FALSE)</f>
        <v>4</v>
      </c>
      <c r="AC310" s="499">
        <f>VLOOKUP(($B308*10)+7,Results,$I$4,FALSE)</f>
        <v>6</v>
      </c>
      <c r="AD310" s="499">
        <f>VLOOKUP(($B308*10)+8,Results,$I$4,FALSE)</f>
        <v>2</v>
      </c>
    </row>
    <row r="311" spans="1:30" x14ac:dyDescent="0.3">
      <c r="A311" s="118" t="str">
        <f>B312&amp;"A"</f>
        <v>83A</v>
      </c>
      <c r="B311" s="506"/>
      <c r="C311" s="524"/>
      <c r="F311" s="480"/>
      <c r="G311" s="481" t="str">
        <f>VLOOKUP(($B312*10)+1,Results,$F$3,FALSE)</f>
        <v>BRAT</v>
      </c>
      <c r="H311" s="482"/>
      <c r="I311" s="483" t="str">
        <f>VLOOKUP(($B312*10)+2,Results,$F$3,FALSE)</f>
        <v>Worcester</v>
      </c>
      <c r="J311" s="484"/>
      <c r="K311" s="485" t="str">
        <f>VLOOKUP(($B312*10)+3,Results,$F$3,FALSE)</f>
        <v>Tamworth</v>
      </c>
      <c r="L311" s="482"/>
      <c r="M311" s="483" t="str">
        <f>VLOOKUP(($B312*10)+4,Results,$F$3,FALSE)</f>
        <v>Solihull &amp; S.Heath</v>
      </c>
      <c r="N311" s="482"/>
      <c r="O311" s="483" t="str">
        <f>VLOOKUP(($B312*10)+5,Results,$F$3,FALSE)</f>
        <v>Rugby &amp; N'hampton</v>
      </c>
      <c r="P311" s="482"/>
      <c r="Q311" s="483" t="str">
        <f>VLOOKUP(($B312*10)+6,Results,$F$3,FALSE)</f>
        <v>Stratford</v>
      </c>
      <c r="R311" s="484"/>
      <c r="S311" s="485" t="str">
        <f>VLOOKUP(($B312*10)+7,Results,$F$3,FALSE)</f>
        <v>Kidder &amp; Stourport</v>
      </c>
      <c r="T311" s="482"/>
      <c r="U311" s="483" t="str">
        <f>VLOOKUP(($B312*10)+8,Results,$F$3,FALSE)</f>
        <v>Royal Sutton</v>
      </c>
      <c r="V311" s="486"/>
      <c r="W311" s="599"/>
      <c r="X311" s="488"/>
      <c r="Y311" s="488"/>
      <c r="Z311" s="488"/>
      <c r="AA311" s="488"/>
      <c r="AB311" s="488"/>
      <c r="AC311" s="488"/>
      <c r="AD311" s="488"/>
    </row>
    <row r="312" spans="1:30" x14ac:dyDescent="0.3">
      <c r="A312" s="118" t="str">
        <f>B312&amp;"A"</f>
        <v>83A</v>
      </c>
      <c r="B312" s="24">
        <v>83</v>
      </c>
      <c r="C312" s="221">
        <f>VLOOKUP(B312,EventsOrder,2,FALSE)</f>
        <v>4.55</v>
      </c>
      <c r="D312" s="490" t="str">
        <f>VLOOKUP(B312,EventsOrder,4,FALSE)</f>
        <v>U16 Female</v>
      </c>
      <c r="E312" s="491"/>
      <c r="F312" s="492"/>
      <c r="G312" s="493" t="str">
        <f>VLOOKUP(($B312*10)+1,Results,$F$3-1,FALSE)</f>
        <v>S - BRAT</v>
      </c>
      <c r="H312" s="505">
        <f>VLOOKUP(($B312*10)+1,Results,$H$3,FALSE)</f>
        <v>50.4</v>
      </c>
      <c r="I312" s="495" t="str">
        <f>VLOOKUP(($B312*10)+2,Results,$F$3-1,FALSE)</f>
        <v>Y - Worc</v>
      </c>
      <c r="J312" s="505">
        <f>VLOOKUP(($B312*10)+2,Results,$H$3,FALSE)</f>
        <v>51.1</v>
      </c>
      <c r="K312" s="495" t="str">
        <f>VLOOKUP(($B312*10)+3,Results,$F$3-1,FALSE)</f>
        <v>F - Tam</v>
      </c>
      <c r="L312" s="505">
        <f>VLOOKUP(($B312*10)+3,Results,$H$3,FALSE)</f>
        <v>51.8</v>
      </c>
      <c r="M312" s="495" t="str">
        <f>VLOOKUP(($B312*10)+4,Results,$F$3-1,FALSE)</f>
        <v>M - Sol</v>
      </c>
      <c r="N312" s="505">
        <f>VLOOKUP(($B312*10)+4,Results,$H$3,FALSE)</f>
        <v>52.3</v>
      </c>
      <c r="O312" s="495" t="str">
        <f>VLOOKUP(($B312*10)+5,Results,$F$3-1,FALSE)</f>
        <v>R - Rugby</v>
      </c>
      <c r="P312" s="505">
        <f>VLOOKUP(($B312*10)+5,Results,$H$3,FALSE)</f>
        <v>53.3</v>
      </c>
      <c r="Q312" s="495" t="str">
        <f>VLOOKUP(($B312*10)+6,Results,$F$3-1,FALSE)</f>
        <v>D - Strat</v>
      </c>
      <c r="R312" s="505">
        <f>VLOOKUP(($B312*10)+6,Results,$H$3,FALSE)</f>
        <v>53.5</v>
      </c>
      <c r="S312" s="495" t="str">
        <f>VLOOKUP(($B312*10)+7,Results,$F$3-1,FALSE)</f>
        <v>U - K&amp;S</v>
      </c>
      <c r="T312" s="505">
        <f>VLOOKUP(($B312*10)+7,Results,$H$3,FALSE)</f>
        <v>54.6</v>
      </c>
      <c r="U312" s="495" t="str">
        <f>VLOOKUP(($B312*10)+8,Results,$F$3-1,FALSE)</f>
        <v>G - Royal</v>
      </c>
      <c r="V312" s="601">
        <f>VLOOKUP(($B312*10)+8,Results,$H$3,FALSE)</f>
        <v>55.4</v>
      </c>
      <c r="W312" s="600">
        <f>VLOOKUP(($B312*10)+1,Results,$I$3,FALSE)</f>
        <v>8</v>
      </c>
      <c r="X312" s="499">
        <f>VLOOKUP(($B312*10)+2,Results,$I$3,FALSE)</f>
        <v>2</v>
      </c>
      <c r="Y312" s="499">
        <f>VLOOKUP(($B312*10)+3,Results,$I$3,FALSE)</f>
        <v>1</v>
      </c>
      <c r="Z312" s="499">
        <f>VLOOKUP(($B312*10)+4,Results,$I$3,FALSE)</f>
        <v>4</v>
      </c>
      <c r="AA312" s="499">
        <f>VLOOKUP(($B312*10)+5,Results,$I$3,FALSE)</f>
        <v>5</v>
      </c>
      <c r="AB312" s="499">
        <f>VLOOKUP(($B312*10)+6,Results,$I$3,FALSE)</f>
        <v>3</v>
      </c>
      <c r="AC312" s="499">
        <f>VLOOKUP(($B312*10)+7,Results,$I$3,FALSE)</f>
        <v>6</v>
      </c>
      <c r="AD312" s="499">
        <f>VLOOKUP(($B312*10)+8,Results,$I$3,FALSE)</f>
        <v>7</v>
      </c>
    </row>
    <row r="313" spans="1:30" x14ac:dyDescent="0.3">
      <c r="A313" s="118" t="str">
        <f>B312&amp;"B"</f>
        <v>83B</v>
      </c>
      <c r="B313" s="417"/>
      <c r="C313" s="550"/>
      <c r="D313" s="85"/>
      <c r="E313" s="56"/>
      <c r="F313" s="534">
        <v>1</v>
      </c>
      <c r="G313" s="608" t="str">
        <f>IF(LEN(G$312)&gt;1,HLOOKUP(G$312,Relays,$A493,FALSE),"")</f>
        <v>Darcy mcdaid</v>
      </c>
      <c r="H313" s="558"/>
      <c r="I313" s="559" t="str">
        <f>IF(LEN(I$312)&gt;1,HLOOKUP(I$312,Relays,$A493,FALSE),"")</f>
        <v>Gracie Hodgkins</v>
      </c>
      <c r="J313" s="560"/>
      <c r="K313" s="559" t="str">
        <f>IF(LEN(K$312)&gt;1,HLOOKUP(K$312,Relays,$A493,FALSE),"")</f>
        <v>Evie Smith</v>
      </c>
      <c r="L313" s="560"/>
      <c r="M313" s="559" t="str">
        <f>IF(LEN(M$312)&gt;1,HLOOKUP(M$312,Relays,$A493,FALSE),"")</f>
        <v>Ava Blundell</v>
      </c>
      <c r="N313" s="583"/>
      <c r="O313" s="559" t="str">
        <f>IF(LEN(O$312)&gt;1,HLOOKUP(O$312,Relays,$A493,FALSE),"")</f>
        <v>Matilda Famuyiwa</v>
      </c>
      <c r="P313" s="561"/>
      <c r="Q313" s="559" t="str">
        <f>IF(LEN(Q$312)&gt;1,HLOOKUP(Q$312,Relays,$A493,FALSE),"")</f>
        <v>Elsie Pipitone</v>
      </c>
      <c r="R313" s="561"/>
      <c r="S313" s="559" t="str">
        <f>IF(LEN(S$312)&gt;1,HLOOKUP(S$312,Relays,$A493,FALSE),"")</f>
        <v>Matilda Kiernan</v>
      </c>
      <c r="T313" s="561"/>
      <c r="U313" s="559" t="str">
        <f>IF(LEN(U$312)&gt;1,HLOOKUP(U$312,Relays,$A493,FALSE),"")</f>
        <v>Annabelle Ani</v>
      </c>
      <c r="V313" s="614"/>
      <c r="W313" s="606"/>
      <c r="X313" s="512"/>
      <c r="Y313" s="512"/>
      <c r="Z313" s="512"/>
      <c r="AA313" s="512"/>
      <c r="AB313" s="512"/>
      <c r="AC313" s="512"/>
      <c r="AD313" s="512"/>
    </row>
    <row r="314" spans="1:30" x14ac:dyDescent="0.3">
      <c r="A314" s="118" t="str">
        <f>B312&amp;"B"</f>
        <v>83B</v>
      </c>
      <c r="B314" s="506"/>
      <c r="D314" s="479" t="str">
        <f>VLOOKUP(B312,EventsOrder,3,FALSE)</f>
        <v>4 x 100m</v>
      </c>
      <c r="E314" s="56"/>
      <c r="F314" s="534">
        <v>2</v>
      </c>
      <c r="G314" s="609" t="str">
        <f>IF(LEN(G$312)&gt;1,HLOOKUP(G$312,Relays,$A494,FALSE),"")</f>
        <v>Agnes thomson</v>
      </c>
      <c r="H314" s="562"/>
      <c r="I314" s="557" t="str">
        <f>IF(LEN(I$312)&gt;1,HLOOKUP(I$312,Relays,$A494,FALSE),"")</f>
        <v>Elsie Thornton</v>
      </c>
      <c r="J314" s="562"/>
      <c r="K314" s="557" t="str">
        <f>IF(LEN(K$312)&gt;1,HLOOKUP(K$312,Relays,$A494,FALSE),"")</f>
        <v>Alice Smith</v>
      </c>
      <c r="L314" s="562"/>
      <c r="M314" s="557" t="str">
        <f>IF(LEN(M$312)&gt;1,HLOOKUP(M$312,Relays,$A494,FALSE),"")</f>
        <v>Ava Collett</v>
      </c>
      <c r="N314" s="562"/>
      <c r="O314" s="557" t="str">
        <f>IF(LEN(O$312)&gt;1,HLOOKUP(O$312,Relays,$A494,FALSE),"")</f>
        <v>Taya Young</v>
      </c>
      <c r="P314" s="562"/>
      <c r="Q314" s="557" t="str">
        <f>IF(LEN(Q$312)&gt;1,HLOOKUP(Q$312,Relays,$A494,FALSE),"")</f>
        <v>Lara Ryan-Gill</v>
      </c>
      <c r="R314" s="562"/>
      <c r="S314" s="557" t="str">
        <f>IF(LEN(S$312)&gt;1,HLOOKUP(S$312,Relays,$A494,FALSE),"")</f>
        <v>Lila Warwick</v>
      </c>
      <c r="T314" s="562"/>
      <c r="U314" s="557" t="str">
        <f>IF(LEN(U$312)&gt;1,HLOOKUP(U$312,Relays,$A494,FALSE),"")</f>
        <v>Abigail Dilworth</v>
      </c>
      <c r="V314" s="615"/>
      <c r="W314" s="606"/>
      <c r="X314" s="512"/>
      <c r="Y314" s="512"/>
      <c r="Z314" s="512"/>
      <c r="AA314" s="512"/>
      <c r="AB314" s="512"/>
      <c r="AC314" s="512"/>
      <c r="AD314" s="512"/>
    </row>
    <row r="315" spans="1:30" x14ac:dyDescent="0.3">
      <c r="A315" s="118" t="str">
        <f>B312&amp;"R"</f>
        <v>83R</v>
      </c>
      <c r="B315" s="506"/>
      <c r="C315" s="550"/>
      <c r="E315" s="56"/>
      <c r="F315" s="534">
        <v>3</v>
      </c>
      <c r="G315" s="609" t="str">
        <f>IF(LEN(G$312)&gt;1,HLOOKUP(G$312,Relays,$A495,FALSE),"")</f>
        <v>Rose Ricardo</v>
      </c>
      <c r="H315" s="560"/>
      <c r="I315" s="557" t="str">
        <f>IF(LEN(I$312)&gt;1,HLOOKUP(I$312,Relays,$A495,FALSE),"")</f>
        <v>Esme Dyer</v>
      </c>
      <c r="J315" s="560"/>
      <c r="K315" s="557" t="str">
        <f>IF(LEN(K$312)&gt;1,HLOOKUP(K$312,Relays,$A495,FALSE),"")</f>
        <v>Marlei Bignot</v>
      </c>
      <c r="L315" s="560"/>
      <c r="M315" s="557" t="str">
        <f>IF(LEN(M$312)&gt;1,HLOOKUP(M$312,Relays,$A495,FALSE),"")</f>
        <v>Phoebe Ricketts</v>
      </c>
      <c r="N315" s="560"/>
      <c r="O315" s="557" t="str">
        <f>IF(LEN(O$312)&gt;1,HLOOKUP(O$312,Relays,$A495,FALSE),"")</f>
        <v>Amber Butler</v>
      </c>
      <c r="P315" s="560"/>
      <c r="Q315" s="557" t="str">
        <f>IF(LEN(Q$312)&gt;1,HLOOKUP(Q$312,Relays,$A495,FALSE),"")</f>
        <v>Martha Edwards</v>
      </c>
      <c r="R315" s="560"/>
      <c r="S315" s="557" t="str">
        <f>IF(LEN(S$312)&gt;1,HLOOKUP(S$312,Relays,$A495,FALSE),"")</f>
        <v>Isabelle McCann</v>
      </c>
      <c r="T315" s="560"/>
      <c r="U315" s="557" t="str">
        <f>IF(LEN(U$312)&gt;1,HLOOKUP(U$312,Relays,$A495,FALSE),"")</f>
        <v>Annabelle Pattinson</v>
      </c>
      <c r="V315" s="615"/>
      <c r="W315" s="606"/>
      <c r="X315" s="488"/>
      <c r="Y315" s="488"/>
      <c r="Z315" s="488"/>
      <c r="AA315" s="488"/>
      <c r="AB315" s="488"/>
      <c r="AC315" s="488"/>
      <c r="AD315" s="488"/>
    </row>
    <row r="316" spans="1:30" ht="15" thickBot="1" x14ac:dyDescent="0.35">
      <c r="A316" s="118" t="str">
        <f>B312&amp;"S"</f>
        <v>83S</v>
      </c>
      <c r="B316" s="506"/>
      <c r="C316" s="501"/>
      <c r="D316" s="502"/>
      <c r="E316" s="116"/>
      <c r="F316" s="563">
        <v>4</v>
      </c>
      <c r="G316" s="610" t="str">
        <f>IF(LEN(G$312)&gt;1,HLOOKUP(G$312,Relays,$A496,FALSE),"")</f>
        <v>Savannah wedderburn</v>
      </c>
      <c r="H316" s="565"/>
      <c r="I316" s="564" t="str">
        <f>IF(LEN(I$312)&gt;1,HLOOKUP(I$312,Relays,$A496,FALSE),"")</f>
        <v>Rosie Groves</v>
      </c>
      <c r="J316" s="565"/>
      <c r="K316" s="564" t="str">
        <f>IF(LEN(K$312)&gt;1,HLOOKUP(K$312,Relays,$A496,FALSE),"")</f>
        <v>Freya Draycott</v>
      </c>
      <c r="L316" s="565"/>
      <c r="M316" s="564" t="str">
        <f>IF(LEN(M$312)&gt;1,HLOOKUP(M$312,Relays,$A496,FALSE),"")</f>
        <v>Abby Ruggles</v>
      </c>
      <c r="N316" s="565"/>
      <c r="O316" s="564" t="str">
        <f>IF(LEN(O$312)&gt;1,HLOOKUP(O$312,Relays,$A496,FALSE),"")</f>
        <v>Reese Ridgway</v>
      </c>
      <c r="P316" s="565"/>
      <c r="Q316" s="564" t="str">
        <f>IF(LEN(Q$312)&gt;1,HLOOKUP(Q$312,Relays,$A496,FALSE),"")</f>
        <v>Evangeline Harris</v>
      </c>
      <c r="R316" s="565"/>
      <c r="S316" s="564" t="str">
        <f>IF(LEN(S$312)&gt;1,HLOOKUP(S$312,Relays,$A496,FALSE),"")</f>
        <v>Pippa Richards</v>
      </c>
      <c r="T316" s="565"/>
      <c r="U316" s="564" t="str">
        <f>IF(LEN(U$312)&gt;1,HLOOKUP(U$312,Relays,$A496,FALSE),"")</f>
        <v>Mabel Edgerton</v>
      </c>
      <c r="V316" s="616"/>
      <c r="W316" s="607"/>
      <c r="X316" s="521"/>
      <c r="Y316" s="521"/>
      <c r="Z316" s="521"/>
      <c r="AA316" s="521"/>
      <c r="AB316" s="521"/>
      <c r="AC316" s="521"/>
      <c r="AD316" s="521"/>
    </row>
    <row r="317" spans="1:30" x14ac:dyDescent="0.3">
      <c r="B317" s="589"/>
      <c r="C317" s="535"/>
      <c r="D317" s="535"/>
      <c r="E317" s="566"/>
      <c r="F317" s="535"/>
      <c r="G317" s="85"/>
      <c r="H317" s="85"/>
      <c r="I317" s="85"/>
      <c r="J317" s="85"/>
      <c r="K317" s="85"/>
      <c r="L317" s="85"/>
      <c r="M317" s="85"/>
      <c r="N317" s="85"/>
      <c r="O317" s="85"/>
      <c r="P317" s="85"/>
      <c r="Q317" s="85"/>
      <c r="R317" s="85"/>
      <c r="S317" s="85"/>
      <c r="T317" s="85"/>
      <c r="U317" s="85" t="s">
        <v>297</v>
      </c>
      <c r="V317" s="85"/>
      <c r="W317" s="590">
        <f>Officials!C$20</f>
        <v>14</v>
      </c>
      <c r="X317" s="591">
        <f>Officials!D$20</f>
        <v>14</v>
      </c>
      <c r="Y317" s="591">
        <f>Officials!E$20</f>
        <v>12</v>
      </c>
      <c r="Z317" s="591">
        <f>Officials!F$20</f>
        <v>14</v>
      </c>
      <c r="AA317" s="591">
        <f>Officials!G$20</f>
        <v>14</v>
      </c>
      <c r="AB317" s="591">
        <f>Officials!H$20</f>
        <v>14</v>
      </c>
      <c r="AC317" s="591">
        <f>Officials!I$20</f>
        <v>14</v>
      </c>
      <c r="AD317" s="592">
        <f>Officials!J$20</f>
        <v>14</v>
      </c>
    </row>
    <row r="318" spans="1:30" ht="15" thickBot="1" x14ac:dyDescent="0.35">
      <c r="B318" s="534">
        <f>COUNTIF(B267:B317,"&gt;0")</f>
        <v>12</v>
      </c>
      <c r="C318" s="535"/>
      <c r="D318" s="535"/>
      <c r="E318" s="566"/>
      <c r="F318" s="535"/>
      <c r="G318" s="85"/>
      <c r="H318" s="85"/>
      <c r="I318" s="85"/>
      <c r="J318" s="85"/>
      <c r="K318" s="85"/>
      <c r="L318" s="85"/>
      <c r="M318" s="85"/>
      <c r="N318" s="85"/>
      <c r="O318" s="85"/>
      <c r="P318" s="85"/>
      <c r="Q318" s="85"/>
      <c r="R318" s="85"/>
      <c r="S318" s="85"/>
      <c r="T318" s="85"/>
      <c r="U318" s="85" t="s">
        <v>295</v>
      </c>
      <c r="V318" s="85"/>
      <c r="W318" s="593">
        <f t="shared" ref="W318:AD318" si="22">SUM(W267:W317)</f>
        <v>130</v>
      </c>
      <c r="X318" s="537">
        <f t="shared" si="22"/>
        <v>61</v>
      </c>
      <c r="Y318" s="537">
        <f t="shared" si="22"/>
        <v>78</v>
      </c>
      <c r="Z318" s="537">
        <f t="shared" si="22"/>
        <v>123</v>
      </c>
      <c r="AA318" s="537">
        <f t="shared" si="22"/>
        <v>107</v>
      </c>
      <c r="AB318" s="537">
        <f t="shared" si="22"/>
        <v>117</v>
      </c>
      <c r="AC318" s="537">
        <f t="shared" si="22"/>
        <v>122</v>
      </c>
      <c r="AD318" s="538">
        <f t="shared" si="22"/>
        <v>75</v>
      </c>
    </row>
    <row r="319" spans="1:30" ht="15.6" thickTop="1" thickBot="1" x14ac:dyDescent="0.35">
      <c r="B319" s="617"/>
      <c r="C319" s="535"/>
      <c r="D319" s="535"/>
      <c r="E319" s="566"/>
      <c r="F319" s="535"/>
      <c r="G319" s="85"/>
      <c r="H319" s="85"/>
      <c r="I319" s="85"/>
      <c r="J319" s="85"/>
      <c r="K319" s="85"/>
      <c r="L319" s="85"/>
      <c r="M319" s="85"/>
      <c r="N319" s="85"/>
      <c r="O319" s="85"/>
      <c r="P319" s="85"/>
      <c r="Q319" s="85"/>
      <c r="R319" s="85"/>
      <c r="S319" s="85"/>
      <c r="T319" s="85"/>
      <c r="U319" s="85" t="s">
        <v>27</v>
      </c>
      <c r="V319" s="535"/>
      <c r="W319" s="540">
        <f t="shared" ref="W319:AD319" si="23">RANK(W318,$W318:$AD318)</f>
        <v>1</v>
      </c>
      <c r="X319" s="541">
        <f t="shared" si="23"/>
        <v>8</v>
      </c>
      <c r="Y319" s="541">
        <f t="shared" si="23"/>
        <v>6</v>
      </c>
      <c r="Z319" s="541">
        <f t="shared" si="23"/>
        <v>2</v>
      </c>
      <c r="AA319" s="541">
        <f t="shared" si="23"/>
        <v>5</v>
      </c>
      <c r="AB319" s="541">
        <f t="shared" si="23"/>
        <v>4</v>
      </c>
      <c r="AC319" s="541">
        <f t="shared" si="23"/>
        <v>3</v>
      </c>
      <c r="AD319" s="542">
        <f t="shared" si="23"/>
        <v>7</v>
      </c>
    </row>
    <row r="320" spans="1:30" ht="15" thickBot="1" x14ac:dyDescent="0.35">
      <c r="B320" s="307"/>
      <c r="C320"/>
      <c r="D320"/>
      <c r="G320" s="55"/>
      <c r="H320" s="55"/>
      <c r="I320" s="55"/>
      <c r="J320" s="55"/>
      <c r="K320" s="55"/>
      <c r="L320" s="55"/>
      <c r="M320" s="55"/>
      <c r="N320" s="55"/>
      <c r="O320" s="55"/>
      <c r="P320" s="55"/>
      <c r="Q320" s="55"/>
      <c r="R320" s="55"/>
      <c r="S320" s="55"/>
      <c r="T320" s="55"/>
      <c r="U320" s="543"/>
      <c r="V320" s="535"/>
      <c r="W320" s="544"/>
      <c r="X320" s="544"/>
      <c r="Y320" s="544"/>
      <c r="Z320" s="544"/>
      <c r="AA320" s="544"/>
      <c r="AB320" s="544"/>
      <c r="AC320" s="544"/>
      <c r="AD320" s="544"/>
    </row>
    <row r="321" spans="1:30" ht="39.75" customHeight="1" x14ac:dyDescent="0.3">
      <c r="A321" s="424"/>
      <c r="B321" s="1415" t="s">
        <v>258</v>
      </c>
      <c r="C321" s="448"/>
      <c r="D321" s="468"/>
      <c r="E321" s="469"/>
      <c r="F321" s="467"/>
      <c r="G321" s="567"/>
      <c r="H321" s="567"/>
      <c r="I321" s="568"/>
      <c r="J321" s="567"/>
      <c r="K321" s="689" t="s">
        <v>294</v>
      </c>
      <c r="L321" s="569"/>
      <c r="M321" s="568"/>
      <c r="N321" s="567"/>
      <c r="O321" s="567"/>
      <c r="P321" s="569"/>
      <c r="Q321" s="568"/>
      <c r="R321" s="569"/>
      <c r="S321" s="473"/>
      <c r="T321" s="569"/>
      <c r="U321" s="568"/>
      <c r="V321" s="569"/>
      <c r="W321" s="1411" t="str">
        <f>W$8</f>
        <v>BRAT</v>
      </c>
      <c r="X321" s="1411" t="str">
        <f t="shared" ref="X321:AD321" si="24">X$8</f>
        <v>Kidder &amp; Stourport</v>
      </c>
      <c r="Y321" s="1411" t="str">
        <f t="shared" si="24"/>
        <v>Royal Sutton</v>
      </c>
      <c r="Z321" s="1411" t="str">
        <f t="shared" si="24"/>
        <v>Rugby &amp; N'hampton</v>
      </c>
      <c r="AA321" s="1411" t="str">
        <f t="shared" si="24"/>
        <v>Solihull &amp; S.Heath</v>
      </c>
      <c r="AB321" s="1411" t="str">
        <f t="shared" si="24"/>
        <v>Stratford</v>
      </c>
      <c r="AC321" s="1411" t="str">
        <f t="shared" si="24"/>
        <v>Tamworth</v>
      </c>
      <c r="AD321" s="1411" t="str">
        <f t="shared" si="24"/>
        <v>Worcester</v>
      </c>
    </row>
    <row r="322" spans="1:30" ht="40.5" customHeight="1" thickBot="1" x14ac:dyDescent="0.35">
      <c r="A322" s="424"/>
      <c r="B322" s="1416"/>
      <c r="C322" s="455"/>
      <c r="D322" s="456" t="s">
        <v>64</v>
      </c>
      <c r="E322" s="457">
        <f>'Event Details'!E$9</f>
        <v>1</v>
      </c>
      <c r="F322" s="457"/>
      <c r="G322" s="56"/>
      <c r="H322" s="474" t="s">
        <v>461</v>
      </c>
      <c r="I322" s="459"/>
      <c r="J322" s="433"/>
      <c r="K322" s="460" t="s">
        <v>67</v>
      </c>
      <c r="L322" s="461" t="str">
        <f>'Event Details'!G$17</f>
        <v>Rugby &amp; N'hampton</v>
      </c>
      <c r="M322" s="459"/>
      <c r="N322" s="459"/>
      <c r="O322" s="459"/>
      <c r="P322" s="456"/>
      <c r="Q322" s="460" t="s">
        <v>66</v>
      </c>
      <c r="R322" s="463" t="str">
        <f>'Event Details'!C$17</f>
        <v>17th May 2026</v>
      </c>
      <c r="S322" s="459"/>
      <c r="T322" s="459"/>
      <c r="U322" s="459"/>
      <c r="V322" s="459"/>
      <c r="W322" s="1412"/>
      <c r="X322" s="1412"/>
      <c r="Y322" s="1412"/>
      <c r="Z322" s="1412"/>
      <c r="AA322" s="1412"/>
      <c r="AB322" s="1412"/>
      <c r="AC322" s="1412"/>
      <c r="AD322" s="1412"/>
    </row>
    <row r="323" spans="1:30" ht="15" thickBot="1" x14ac:dyDescent="0.35">
      <c r="B323" s="506"/>
      <c r="C323" s="570" t="s">
        <v>168</v>
      </c>
      <c r="D323" s="33" t="s">
        <v>165</v>
      </c>
      <c r="E323" s="476"/>
      <c r="F323" s="1342" t="s">
        <v>177</v>
      </c>
      <c r="G323" s="1413" t="s">
        <v>286</v>
      </c>
      <c r="H323" s="1413"/>
      <c r="I323" s="1414" t="s">
        <v>287</v>
      </c>
      <c r="J323" s="1414"/>
      <c r="K323" s="1414" t="s">
        <v>288</v>
      </c>
      <c r="L323" s="1414"/>
      <c r="M323" s="1414" t="s">
        <v>289</v>
      </c>
      <c r="N323" s="1414"/>
      <c r="O323" s="1414" t="s">
        <v>290</v>
      </c>
      <c r="P323" s="1414"/>
      <c r="Q323" s="1414" t="s">
        <v>291</v>
      </c>
      <c r="R323" s="1414"/>
      <c r="S323" s="1414" t="s">
        <v>292</v>
      </c>
      <c r="T323" s="1414"/>
      <c r="U323" s="1414" t="s">
        <v>293</v>
      </c>
      <c r="V323" s="1417"/>
      <c r="W323" s="477" t="str">
        <f>W$10</f>
        <v>S</v>
      </c>
      <c r="X323" s="477" t="str">
        <f t="shared" ref="X323:AD323" si="25">X$10</f>
        <v>U</v>
      </c>
      <c r="Y323" s="477" t="str">
        <f t="shared" si="25"/>
        <v>G</v>
      </c>
      <c r="Z323" s="477" t="str">
        <f t="shared" si="25"/>
        <v>R</v>
      </c>
      <c r="AA323" s="477" t="str">
        <f t="shared" si="25"/>
        <v>M</v>
      </c>
      <c r="AB323" s="477" t="str">
        <f t="shared" si="25"/>
        <v>D</v>
      </c>
      <c r="AC323" s="477" t="str">
        <f t="shared" si="25"/>
        <v>F</v>
      </c>
      <c r="AD323" s="477" t="str">
        <f t="shared" si="25"/>
        <v>Y</v>
      </c>
    </row>
    <row r="324" spans="1:30" x14ac:dyDescent="0.3">
      <c r="A324" s="118" t="str">
        <f>B325&amp;"A"</f>
        <v>11A</v>
      </c>
      <c r="B324" s="506"/>
      <c r="C324" s="571"/>
      <c r="D324" s="479" t="str">
        <f>VLOOKUP(B325,EventsOrder,4,FALSE)</f>
        <v>U18 Men</v>
      </c>
      <c r="E324" s="515" t="s">
        <v>149</v>
      </c>
      <c r="F324" s="480"/>
      <c r="G324" s="481" t="str">
        <f>VLOOKUP(($B325*10)+1,Results,$F$3,FALSE)</f>
        <v>Ted Freeman</v>
      </c>
      <c r="H324" s="482"/>
      <c r="I324" s="483">
        <f>VLOOKUP(($B325*10)+2,Results,$F$3,FALSE)</f>
        <v>0</v>
      </c>
      <c r="J324" s="482"/>
      <c r="K324" s="483" t="str">
        <f>VLOOKUP(($B325*10)+3,Results,$F$3,FALSE)</f>
        <v/>
      </c>
      <c r="L324" s="482"/>
      <c r="M324" s="483" t="str">
        <f>VLOOKUP(($B325*10)+4,Results,$F$3,FALSE)</f>
        <v/>
      </c>
      <c r="N324" s="482"/>
      <c r="O324" s="483" t="str">
        <f>VLOOKUP(($B325*10)+5,Results,$F$3,FALSE)</f>
        <v/>
      </c>
      <c r="P324" s="482"/>
      <c r="Q324" s="483" t="str">
        <f>VLOOKUP(($B325*10)+6,Results,$F$3,FALSE)</f>
        <v/>
      </c>
      <c r="R324" s="484"/>
      <c r="S324" s="485" t="str">
        <f>VLOOKUP(($B325*10)+7,Results,$F$3,FALSE)</f>
        <v/>
      </c>
      <c r="T324" s="482"/>
      <c r="U324" s="483" t="str">
        <f>VLOOKUP(($B325*10)+8,Results,$F$3,FALSE)</f>
        <v/>
      </c>
      <c r="V324" s="486"/>
      <c r="W324" s="599"/>
      <c r="X324" s="488"/>
      <c r="Y324" s="488"/>
      <c r="Z324" s="488"/>
      <c r="AA324" s="488"/>
      <c r="AB324" s="488"/>
      <c r="AC324" s="488"/>
      <c r="AD324" s="488"/>
    </row>
    <row r="325" spans="1:30" x14ac:dyDescent="0.3">
      <c r="A325" s="118" t="str">
        <f>B325&amp;"A"</f>
        <v>11A</v>
      </c>
      <c r="B325" s="24">
        <v>11</v>
      </c>
      <c r="C325" s="572">
        <f>VLOOKUP(B325,EventsOrder,2,FALSE)</f>
        <v>12.15</v>
      </c>
      <c r="D325" s="490"/>
      <c r="E325" s="11"/>
      <c r="F325" s="492"/>
      <c r="G325" s="493" t="str">
        <f>VLOOKUP(($B325*10)+1,Results,$G$3,FALSE)</f>
        <v>K&amp;S</v>
      </c>
      <c r="H325" s="573">
        <f>VLOOKUP(($B325*10)+1,Results,$H$3,FALSE)</f>
        <v>11.04</v>
      </c>
      <c r="I325" s="495" t="str">
        <f>VLOOKUP(($B325*10)+2,Results,$G$3,FALSE)</f>
        <v>Strat</v>
      </c>
      <c r="J325" s="573">
        <f>VLOOKUP(($B325*10)+2,Results,$H$3,FALSE)</f>
        <v>7.03</v>
      </c>
      <c r="K325" s="495">
        <f>VLOOKUP(($B325*10)+3,Results,$G$3,FALSE)</f>
        <v>0</v>
      </c>
      <c r="L325" s="573">
        <f>VLOOKUP(($B325*10)+3,Results,$H$3,FALSE)</f>
        <v>0</v>
      </c>
      <c r="M325" s="495">
        <f>VLOOKUP(($B325*10)+4,Results,$G$3,FALSE)</f>
        <v>0</v>
      </c>
      <c r="N325" s="573">
        <f>VLOOKUP(($B325*10)+4,Results,$H$3,FALSE)</f>
        <v>0</v>
      </c>
      <c r="O325" s="495">
        <f>VLOOKUP(($B325*10)+5,Results,$G$3,FALSE)</f>
        <v>0</v>
      </c>
      <c r="P325" s="573">
        <f>VLOOKUP(($B325*10)+5,Results,$H$3,FALSE)</f>
        <v>0</v>
      </c>
      <c r="Q325" s="495">
        <f>VLOOKUP(($B325*10)+6,Results,$G$3,FALSE)</f>
        <v>0</v>
      </c>
      <c r="R325" s="574">
        <f>VLOOKUP(($B325*10)+6,Results,$H$3,FALSE)</f>
        <v>0</v>
      </c>
      <c r="S325" s="496">
        <f>VLOOKUP(($B325*10)+7,Results,$G$3,FALSE)</f>
        <v>0</v>
      </c>
      <c r="T325" s="573">
        <f>VLOOKUP(($B325*10)+7,Results,$H$3,FALSE)</f>
        <v>0</v>
      </c>
      <c r="U325" s="495">
        <f>VLOOKUP(($B325*10)+8,Results,$G$3,FALSE)</f>
        <v>0</v>
      </c>
      <c r="V325" s="528">
        <f>VLOOKUP(($B325*10)+8,Results,$H$3,FALSE)</f>
        <v>0</v>
      </c>
      <c r="W325" s="600">
        <f>VLOOKUP(($B325*10)+1,Results,$I$3,FALSE)</f>
        <v>0</v>
      </c>
      <c r="X325" s="499">
        <f>VLOOKUP(($B325*10)+2,Results,$I$3,FALSE)</f>
        <v>8</v>
      </c>
      <c r="Y325" s="499">
        <f>VLOOKUP(($B325*10)+3,Results,$I$3,FALSE)</f>
        <v>0</v>
      </c>
      <c r="Z325" s="499">
        <f>VLOOKUP(($B325*10)+4,Results,$I$3,FALSE)</f>
        <v>0</v>
      </c>
      <c r="AA325" s="499">
        <f>VLOOKUP(($B325*10)+5,Results,$I$3,FALSE)</f>
        <v>0</v>
      </c>
      <c r="AB325" s="499">
        <f>VLOOKUP(($B325*10)+6,Results,$I$3,FALSE)</f>
        <v>7</v>
      </c>
      <c r="AC325" s="499">
        <f>VLOOKUP(($B325*10)+7,Results,$I$3,FALSE)</f>
        <v>0</v>
      </c>
      <c r="AD325" s="499">
        <f>VLOOKUP(($B325*10)+8,Results,$I$3,FALSE)</f>
        <v>0</v>
      </c>
    </row>
    <row r="326" spans="1:30" x14ac:dyDescent="0.3">
      <c r="A326" s="118" t="str">
        <f>B325&amp;"B"</f>
        <v>11B</v>
      </c>
      <c r="B326" s="506"/>
      <c r="C326" s="572"/>
      <c r="D326" s="479" t="str">
        <f>VLOOKUP(B325,EventsOrder,3,FALSE)</f>
        <v>Shot (U18)</v>
      </c>
      <c r="E326" s="515" t="s">
        <v>94</v>
      </c>
      <c r="F326" s="529"/>
      <c r="G326" s="547" t="str">
        <f>VLOOKUP(($B325*10)+1,Results,$F$4,FALSE)</f>
        <v>Alex Payne</v>
      </c>
      <c r="H326" s="517"/>
      <c r="I326" s="548" t="str">
        <f>VLOOKUP(($B325*10)+2,Results,$F$4,FALSE)</f>
        <v/>
      </c>
      <c r="J326" s="517"/>
      <c r="K326" s="548" t="str">
        <f>VLOOKUP(($B325*10)+3,Results,$F$4,FALSE)</f>
        <v/>
      </c>
      <c r="L326" s="517"/>
      <c r="M326" s="548" t="str">
        <f>VLOOKUP(($B325*10)+4,Results,$F$4,FALSE)</f>
        <v/>
      </c>
      <c r="N326" s="517"/>
      <c r="O326" s="548" t="str">
        <f>VLOOKUP(($B325*10)+5,Results,$F$4,FALSE)</f>
        <v/>
      </c>
      <c r="P326" s="517"/>
      <c r="Q326" s="548" t="str">
        <f>VLOOKUP(($B325*10)+6,Results,$F$4,FALSE)</f>
        <v/>
      </c>
      <c r="R326" s="549"/>
      <c r="S326" s="575" t="str">
        <f>VLOOKUP(($B325*10)+7,Results,$F$4,FALSE)</f>
        <v/>
      </c>
      <c r="T326" s="517"/>
      <c r="U326" s="548" t="str">
        <f>VLOOKUP(($B325*10)+8,Results,$F$4,FALSE)</f>
        <v/>
      </c>
      <c r="V326" s="519"/>
      <c r="W326" s="599"/>
      <c r="X326" s="488"/>
      <c r="Y326" s="488"/>
      <c r="Z326" s="488"/>
      <c r="AA326" s="488"/>
      <c r="AB326" s="488"/>
      <c r="AC326" s="488"/>
      <c r="AD326" s="488"/>
    </row>
    <row r="327" spans="1:30" ht="15" thickBot="1" x14ac:dyDescent="0.35">
      <c r="A327" s="118" t="str">
        <f>B325&amp;"B"</f>
        <v>11B</v>
      </c>
      <c r="B327" s="506"/>
      <c r="C327" s="576"/>
      <c r="D327" s="502"/>
      <c r="E327" s="523"/>
      <c r="F327" s="503"/>
      <c r="G327" s="554" t="str">
        <f>VLOOKUP(($B325*10)+1,Results,$G$4,FALSE)</f>
        <v>K&amp;S</v>
      </c>
      <c r="H327" s="573">
        <f>VLOOKUP(($B325*10)+1,Results,$H$4,FALSE)</f>
        <v>9.35</v>
      </c>
      <c r="I327" s="495">
        <f>VLOOKUP(($B325*10)+2,Results,$G$4,FALSE)</f>
        <v>0</v>
      </c>
      <c r="J327" s="573">
        <f>VLOOKUP(($B325*10)+2,Results,$H$4,FALSE)</f>
        <v>0</v>
      </c>
      <c r="K327" s="495">
        <f>VLOOKUP(($B325*10)+3,Results,$G$4,FALSE)</f>
        <v>0</v>
      </c>
      <c r="L327" s="573">
        <f>VLOOKUP(($B325*10)+3,Results,$H$4,FALSE)</f>
        <v>0</v>
      </c>
      <c r="M327" s="495">
        <f>VLOOKUP(($B325*10)+4,Results,$G$4,FALSE)</f>
        <v>0</v>
      </c>
      <c r="N327" s="573">
        <f>VLOOKUP(($B325*10)+4,Results,$H$4,FALSE)</f>
        <v>0</v>
      </c>
      <c r="O327" s="495">
        <f>VLOOKUP(($B325*10)+5,Results,$G$4,FALSE)</f>
        <v>0</v>
      </c>
      <c r="P327" s="573">
        <f>VLOOKUP(($B325*10)+5,Results,$H$4,FALSE)</f>
        <v>0</v>
      </c>
      <c r="Q327" s="495">
        <f>VLOOKUP(($B325*10)+6,Results,$G$4,FALSE)</f>
        <v>0</v>
      </c>
      <c r="R327" s="574">
        <f>VLOOKUP(($B325*10)+6,Results,$H$4,FALSE)</f>
        <v>0</v>
      </c>
      <c r="S327" s="496">
        <f>VLOOKUP(($B325*10)+7,Results,$G$4,FALSE)</f>
        <v>0</v>
      </c>
      <c r="T327" s="573">
        <f>VLOOKUP(($B325*10)+7,Results,$H$4,FALSE)</f>
        <v>0</v>
      </c>
      <c r="U327" s="495">
        <f>VLOOKUP(($B325*10)+8,Results,$G$4,FALSE)</f>
        <v>0</v>
      </c>
      <c r="V327" s="528">
        <f>VLOOKUP(($B325*10)+8,Results,$H$4,FALSE)</f>
        <v>0</v>
      </c>
      <c r="W327" s="600">
        <f>VLOOKUP(($B325*10)+1,Results,$I$4,FALSE)</f>
        <v>0</v>
      </c>
      <c r="X327" s="499">
        <f>VLOOKUP(($B325*10)+2,Results,$I$4,FALSE)</f>
        <v>8</v>
      </c>
      <c r="Y327" s="499">
        <f>VLOOKUP(($B325*10)+3,Results,$I$4,FALSE)</f>
        <v>0</v>
      </c>
      <c r="Z327" s="499">
        <f>VLOOKUP(($B325*10)+4,Results,$I$4,FALSE)</f>
        <v>0</v>
      </c>
      <c r="AA327" s="499">
        <f>VLOOKUP(($B325*10)+5,Results,$I$4,FALSE)</f>
        <v>0</v>
      </c>
      <c r="AB327" s="499">
        <f>VLOOKUP(($B325*10)+6,Results,$I$4,FALSE)</f>
        <v>0</v>
      </c>
      <c r="AC327" s="499">
        <f>VLOOKUP(($B325*10)+7,Results,$I$4,FALSE)</f>
        <v>0</v>
      </c>
      <c r="AD327" s="499">
        <f>VLOOKUP(($B325*10)+8,Results,$I$4,FALSE)</f>
        <v>0</v>
      </c>
    </row>
    <row r="328" spans="1:30" x14ac:dyDescent="0.3">
      <c r="A328" s="118" t="str">
        <f>B329&amp;"A"</f>
        <v>18A</v>
      </c>
      <c r="B328" s="506"/>
      <c r="C328" s="571"/>
      <c r="D328" s="479" t="str">
        <f>VLOOKUP(B329,EventsOrder,4,FALSE)</f>
        <v>U18 Men</v>
      </c>
      <c r="E328" s="515" t="s">
        <v>149</v>
      </c>
      <c r="F328" s="480"/>
      <c r="G328" s="481" t="str">
        <f>VLOOKUP(($B329*10)+1,Results,$F$3,FALSE)</f>
        <v>Joel Benton</v>
      </c>
      <c r="H328" s="482"/>
      <c r="I328" s="483" t="str">
        <f>VLOOKUP(($B329*10)+2,Results,$F$3,FALSE)</f>
        <v>Will Hovell</v>
      </c>
      <c r="J328" s="482"/>
      <c r="K328" s="483" t="str">
        <f>VLOOKUP(($B329*10)+3,Results,$F$3,FALSE)</f>
        <v>Anthony Tolley</v>
      </c>
      <c r="L328" s="482"/>
      <c r="M328" s="483" t="str">
        <f>VLOOKUP(($B329*10)+4,Results,$F$3,FALSE)</f>
        <v>Christian Middleton</v>
      </c>
      <c r="N328" s="482"/>
      <c r="O328" s="483" t="str">
        <f>VLOOKUP(($B329*10)+5,Results,$F$3,FALSE)</f>
        <v/>
      </c>
      <c r="P328" s="482"/>
      <c r="Q328" s="483" t="str">
        <f>VLOOKUP(($B329*10)+6,Results,$F$3,FALSE)</f>
        <v/>
      </c>
      <c r="R328" s="484"/>
      <c r="S328" s="485" t="str">
        <f>VLOOKUP(($B329*10)+7,Results,$F$3,FALSE)</f>
        <v/>
      </c>
      <c r="T328" s="482"/>
      <c r="U328" s="483" t="str">
        <f>VLOOKUP(($B329*10)+8,Results,$F$3,FALSE)</f>
        <v/>
      </c>
      <c r="V328" s="486"/>
      <c r="W328" s="599"/>
      <c r="X328" s="488"/>
      <c r="Y328" s="488"/>
      <c r="Z328" s="488"/>
      <c r="AA328" s="488"/>
      <c r="AB328" s="488"/>
      <c r="AC328" s="488"/>
      <c r="AD328" s="488"/>
    </row>
    <row r="329" spans="1:30" x14ac:dyDescent="0.3">
      <c r="A329" s="118" t="str">
        <f>B329&amp;"A"</f>
        <v>18A</v>
      </c>
      <c r="B329" s="24">
        <v>18</v>
      </c>
      <c r="C329" s="572">
        <f>VLOOKUP(B329,EventsOrder,2,FALSE)</f>
        <v>12.2</v>
      </c>
      <c r="D329" s="490"/>
      <c r="E329" s="11"/>
      <c r="F329" s="492"/>
      <c r="G329" s="493" t="str">
        <f>VLOOKUP(($B329*10)+1,Results,$G$3,FALSE)</f>
        <v>Rugby</v>
      </c>
      <c r="H329" s="494" t="str">
        <f>VLOOKUP(($B329*10)+1,Results,$H$3,FALSE)</f>
        <v>2.02.0</v>
      </c>
      <c r="I329" s="495" t="str">
        <f>VLOOKUP(($B329*10)+2,Results,$G$3,FALSE)</f>
        <v>Strat</v>
      </c>
      <c r="J329" s="494" t="str">
        <f>VLOOKUP(($B329*10)+2,Results,$H$3,FALSE)</f>
        <v>2.02.3</v>
      </c>
      <c r="K329" s="495" t="str">
        <f>VLOOKUP(($B329*10)+3,Results,$G$3,FALSE)</f>
        <v>Tam</v>
      </c>
      <c r="L329" s="494" t="str">
        <f>VLOOKUP(($B329*10)+3,Results,$H$3,FALSE)</f>
        <v>2.14.7</v>
      </c>
      <c r="M329" s="495" t="str">
        <f>VLOOKUP(($B329*10)+4,Results,$G$3,FALSE)</f>
        <v>BRAT</v>
      </c>
      <c r="N329" s="494" t="str">
        <f>VLOOKUP(($B329*10)+4,Results,$H$3,FALSE)</f>
        <v>2.15.7</v>
      </c>
      <c r="O329" s="495">
        <f>VLOOKUP(($B329*10)+5,Results,$G$3,FALSE)</f>
        <v>0</v>
      </c>
      <c r="P329" s="494">
        <f>VLOOKUP(($B329*10)+5,Results,$H$3,FALSE)</f>
        <v>0</v>
      </c>
      <c r="Q329" s="495">
        <f>VLOOKUP(($B329*10)+6,Results,$G$3,FALSE)</f>
        <v>0</v>
      </c>
      <c r="R329" s="495">
        <f>VLOOKUP(($B329*10)+6,Results,$H$3,FALSE)</f>
        <v>0</v>
      </c>
      <c r="S329" s="496">
        <f>VLOOKUP(($B329*10)+7,Results,$G$3,FALSE)</f>
        <v>0</v>
      </c>
      <c r="T329" s="494">
        <f>VLOOKUP(($B329*10)+7,Results,$H$3,FALSE)</f>
        <v>0</v>
      </c>
      <c r="U329" s="495">
        <f>VLOOKUP(($B329*10)+8,Results,$G$3,FALSE)</f>
        <v>0</v>
      </c>
      <c r="V329" s="497">
        <f>VLOOKUP(($B329*10)+8,Results,$H$3,FALSE)</f>
        <v>0</v>
      </c>
      <c r="W329" s="600">
        <f>VLOOKUP(($B329*10)+1,Results,$I$3,FALSE)</f>
        <v>5</v>
      </c>
      <c r="X329" s="499">
        <f>VLOOKUP(($B329*10)+2,Results,$I$3,FALSE)</f>
        <v>0</v>
      </c>
      <c r="Y329" s="499">
        <f>VLOOKUP(($B329*10)+3,Results,$I$3,FALSE)</f>
        <v>0</v>
      </c>
      <c r="Z329" s="499">
        <f>VLOOKUP(($B329*10)+4,Results,$I$3,FALSE)</f>
        <v>8</v>
      </c>
      <c r="AA329" s="499">
        <f>VLOOKUP(($B329*10)+5,Results,$I$3,FALSE)</f>
        <v>0</v>
      </c>
      <c r="AB329" s="499">
        <f>VLOOKUP(($B329*10)+6,Results,$I$3,FALSE)</f>
        <v>7</v>
      </c>
      <c r="AC329" s="499">
        <f>VLOOKUP(($B329*10)+7,Results,$I$3,FALSE)</f>
        <v>6</v>
      </c>
      <c r="AD329" s="499">
        <f>VLOOKUP(($B329*10)+8,Results,$I$3,FALSE)</f>
        <v>0</v>
      </c>
    </row>
    <row r="330" spans="1:30" x14ac:dyDescent="0.3">
      <c r="A330" s="118" t="str">
        <f>B329&amp;"B"</f>
        <v>18B</v>
      </c>
      <c r="B330" s="506"/>
      <c r="C330" s="572"/>
      <c r="D330" s="479" t="str">
        <f>VLOOKUP(B329,EventsOrder,3,FALSE)</f>
        <v>800m (U18/U20)</v>
      </c>
      <c r="E330" s="515" t="s">
        <v>94</v>
      </c>
      <c r="F330" s="529"/>
      <c r="G330" s="547" t="str">
        <f>VLOOKUP(($B329*10)+1,Results,$F$4,FALSE)</f>
        <v>Joel Ledgard</v>
      </c>
      <c r="H330" s="517"/>
      <c r="I330" s="548" t="str">
        <f>VLOOKUP(($B329*10)+2,Results,$F$4,FALSE)</f>
        <v/>
      </c>
      <c r="J330" s="517"/>
      <c r="K330" s="548" t="str">
        <f>VLOOKUP(($B329*10)+3,Results,$F$4,FALSE)</f>
        <v/>
      </c>
      <c r="L330" s="517"/>
      <c r="M330" s="548" t="str">
        <f>VLOOKUP(($B329*10)+4,Results,$F$4,FALSE)</f>
        <v/>
      </c>
      <c r="N330" s="517"/>
      <c r="O330" s="548" t="str">
        <f>VLOOKUP(($B329*10)+5,Results,$F$4,FALSE)</f>
        <v/>
      </c>
      <c r="P330" s="517"/>
      <c r="Q330" s="548" t="str">
        <f>VLOOKUP(($B329*10)+6,Results,$F$4,FALSE)</f>
        <v/>
      </c>
      <c r="R330" s="549"/>
      <c r="S330" s="575" t="str">
        <f>VLOOKUP(($B329*10)+7,Results,$F$4,FALSE)</f>
        <v/>
      </c>
      <c r="T330" s="517"/>
      <c r="U330" s="548" t="str">
        <f>VLOOKUP(($B329*10)+8,Results,$F$4,FALSE)</f>
        <v/>
      </c>
      <c r="V330" s="519"/>
      <c r="W330" s="599"/>
      <c r="X330" s="488"/>
      <c r="Y330" s="488"/>
      <c r="Z330" s="488"/>
      <c r="AA330" s="488"/>
      <c r="AB330" s="488"/>
      <c r="AC330" s="488"/>
      <c r="AD330" s="488"/>
    </row>
    <row r="331" spans="1:30" ht="15" thickBot="1" x14ac:dyDescent="0.35">
      <c r="A331" s="118" t="str">
        <f>B329&amp;"B"</f>
        <v>18B</v>
      </c>
      <c r="B331" s="506"/>
      <c r="C331" s="576"/>
      <c r="D331" s="502"/>
      <c r="E331" s="523"/>
      <c r="F331" s="503"/>
      <c r="G331" s="554" t="str">
        <f>VLOOKUP(($B329*10)+1,Results,$G$4,FALSE)</f>
        <v>Strat</v>
      </c>
      <c r="H331" s="577" t="str">
        <f>VLOOKUP(($B329*10)+1,Results,$H$4,FALSE)</f>
        <v>2.05.2</v>
      </c>
      <c r="I331" s="556">
        <f>VLOOKUP(($B329*10)+2,Results,$G$4,FALSE)</f>
        <v>0</v>
      </c>
      <c r="J331" s="577">
        <f>VLOOKUP(($B329*10)+2,Results,$H$4,FALSE)</f>
        <v>0</v>
      </c>
      <c r="K331" s="556">
        <f>VLOOKUP(($B329*10)+3,Results,$G$4,FALSE)</f>
        <v>0</v>
      </c>
      <c r="L331" s="577">
        <f>VLOOKUP(($B329*10)+3,Results,$H$4,FALSE)</f>
        <v>0</v>
      </c>
      <c r="M331" s="556">
        <f>VLOOKUP(($B329*10)+4,Results,$G$4,FALSE)</f>
        <v>0</v>
      </c>
      <c r="N331" s="577">
        <f>VLOOKUP(($B329*10)+4,Results,$H$4,FALSE)</f>
        <v>0</v>
      </c>
      <c r="O331" s="556">
        <f>VLOOKUP(($B329*10)+5,Results,$G$4,FALSE)</f>
        <v>0</v>
      </c>
      <c r="P331" s="577">
        <f>VLOOKUP(($B329*10)+5,Results,$H$4,FALSE)</f>
        <v>0</v>
      </c>
      <c r="Q331" s="556">
        <f>VLOOKUP(($B329*10)+6,Results,$G$4,FALSE)</f>
        <v>0</v>
      </c>
      <c r="R331" s="577">
        <f>VLOOKUP(($B329*10)+6,Results,$H$4,FALSE)</f>
        <v>0</v>
      </c>
      <c r="S331" s="556">
        <f>VLOOKUP(($B329*10)+7,Results,$G$4,FALSE)</f>
        <v>0</v>
      </c>
      <c r="T331" s="577">
        <f>VLOOKUP(($B329*10)+7,Results,$H$4,FALSE)</f>
        <v>0</v>
      </c>
      <c r="U331" s="556">
        <f>VLOOKUP(($B329*10)+8,Results,$G$4,FALSE)</f>
        <v>0</v>
      </c>
      <c r="V331" s="578">
        <f>VLOOKUP(($B329*10)+8,Results,$H$4,FALSE)</f>
        <v>0</v>
      </c>
      <c r="W331" s="600">
        <f>VLOOKUP(($B329*10)+1,Results,$I$4,FALSE)</f>
        <v>0</v>
      </c>
      <c r="X331" s="499">
        <f>VLOOKUP(($B329*10)+2,Results,$I$4,FALSE)</f>
        <v>0</v>
      </c>
      <c r="Y331" s="499">
        <f>VLOOKUP(($B329*10)+3,Results,$I$4,FALSE)</f>
        <v>0</v>
      </c>
      <c r="Z331" s="499">
        <f>VLOOKUP(($B329*10)+4,Results,$I$4,FALSE)</f>
        <v>0</v>
      </c>
      <c r="AA331" s="499">
        <f>VLOOKUP(($B329*10)+5,Results,$I$4,FALSE)</f>
        <v>0</v>
      </c>
      <c r="AB331" s="499">
        <f>VLOOKUP(($B329*10)+6,Results,$I$4,FALSE)</f>
        <v>8</v>
      </c>
      <c r="AC331" s="499">
        <f>VLOOKUP(($B329*10)+7,Results,$I$4,FALSE)</f>
        <v>0</v>
      </c>
      <c r="AD331" s="499">
        <f>VLOOKUP(($B329*10)+8,Results,$I$4,FALSE)</f>
        <v>0</v>
      </c>
    </row>
    <row r="332" spans="1:30" x14ac:dyDescent="0.3">
      <c r="A332" s="118" t="str">
        <f>B333&amp;"A"</f>
        <v>23A</v>
      </c>
      <c r="B332" s="506"/>
      <c r="C332" s="571"/>
      <c r="D332" s="479" t="str">
        <f>VLOOKUP(B333,EventsOrder,4,FALSE)</f>
        <v>U18 Men</v>
      </c>
      <c r="E332" s="515" t="s">
        <v>149</v>
      </c>
      <c r="F332" s="480"/>
      <c r="G332" s="481" t="str">
        <f>VLOOKUP(($B333*10)+1,Results,$F$3,FALSE)</f>
        <v/>
      </c>
      <c r="H332" s="482"/>
      <c r="I332" s="483" t="str">
        <f>VLOOKUP(($B333*10)+2,Results,$F$3,FALSE)</f>
        <v/>
      </c>
      <c r="J332" s="482"/>
      <c r="K332" s="483" t="str">
        <f>VLOOKUP(($B333*10)+3,Results,$F$3,FALSE)</f>
        <v/>
      </c>
      <c r="L332" s="482"/>
      <c r="M332" s="483" t="str">
        <f>VLOOKUP(($B333*10)+4,Results,$F$3,FALSE)</f>
        <v/>
      </c>
      <c r="N332" s="482"/>
      <c r="O332" s="483" t="str">
        <f>VLOOKUP(($B333*10)+5,Results,$F$3,FALSE)</f>
        <v/>
      </c>
      <c r="P332" s="482"/>
      <c r="Q332" s="483" t="str">
        <f>VLOOKUP(($B333*10)+6,Results,$F$3,FALSE)</f>
        <v/>
      </c>
      <c r="R332" s="484"/>
      <c r="S332" s="485" t="str">
        <f>VLOOKUP(($B333*10)+7,Results,$F$3,FALSE)</f>
        <v/>
      </c>
      <c r="T332" s="482"/>
      <c r="U332" s="483" t="str">
        <f>VLOOKUP(($B333*10)+8,Results,$F$3,FALSE)</f>
        <v/>
      </c>
      <c r="V332" s="486"/>
      <c r="W332" s="599"/>
      <c r="X332" s="488"/>
      <c r="Y332" s="488"/>
      <c r="Z332" s="488"/>
      <c r="AA332" s="488"/>
      <c r="AB332" s="488"/>
      <c r="AC332" s="488"/>
      <c r="AD332" s="488"/>
    </row>
    <row r="333" spans="1:30" x14ac:dyDescent="0.3">
      <c r="A333" s="118" t="str">
        <f>B333&amp;"A"</f>
        <v>23A</v>
      </c>
      <c r="B333" s="24">
        <v>23</v>
      </c>
      <c r="C333" s="572">
        <f>VLOOKUP(B333,EventsOrder,2,FALSE)</f>
        <v>1</v>
      </c>
      <c r="D333" s="490"/>
      <c r="E333" s="11"/>
      <c r="F333" s="492"/>
      <c r="G333" s="493">
        <f>VLOOKUP(($B333*10)+1,Results,$G$3,FALSE)</f>
        <v>0</v>
      </c>
      <c r="H333" s="573">
        <f>VLOOKUP(($B333*10)+1,Results,$H$3,FALSE)</f>
        <v>0</v>
      </c>
      <c r="I333" s="495">
        <f>VLOOKUP(($B333*10)+2,Results,$G$3,FALSE)</f>
        <v>0</v>
      </c>
      <c r="J333" s="573">
        <f>VLOOKUP(($B333*10)+2,Results,$H$3,FALSE)</f>
        <v>0</v>
      </c>
      <c r="K333" s="495">
        <f>VLOOKUP(($B333*10)+3,Results,$G$3,FALSE)</f>
        <v>0</v>
      </c>
      <c r="L333" s="573">
        <f>VLOOKUP(($B333*10)+3,Results,$H$3,FALSE)</f>
        <v>0</v>
      </c>
      <c r="M333" s="495">
        <f>VLOOKUP(($B333*10)+4,Results,$G$3,FALSE)</f>
        <v>0</v>
      </c>
      <c r="N333" s="573">
        <f>VLOOKUP(($B333*10)+4,Results,$H$3,FALSE)</f>
        <v>0</v>
      </c>
      <c r="O333" s="495">
        <f>VLOOKUP(($B333*10)+5,Results,$G$3,FALSE)</f>
        <v>0</v>
      </c>
      <c r="P333" s="573">
        <f>VLOOKUP(($B333*10)+5,Results,$H$3,FALSE)</f>
        <v>0</v>
      </c>
      <c r="Q333" s="495">
        <f>VLOOKUP(($B333*10)+6,Results,$G$3,FALSE)</f>
        <v>0</v>
      </c>
      <c r="R333" s="574">
        <f>VLOOKUP(($B333*10)+6,Results,$H$3,FALSE)</f>
        <v>0</v>
      </c>
      <c r="S333" s="496">
        <f>VLOOKUP(($B333*10)+7,Results,$G$3,FALSE)</f>
        <v>0</v>
      </c>
      <c r="T333" s="573">
        <f>VLOOKUP(($B333*10)+7,Results,$H$3,FALSE)</f>
        <v>0</v>
      </c>
      <c r="U333" s="495">
        <f>VLOOKUP(($B333*10)+8,Results,$G$3,FALSE)</f>
        <v>0</v>
      </c>
      <c r="V333" s="528">
        <f>VLOOKUP(($B333*10)+8,Results,$H$3,FALSE)</f>
        <v>0</v>
      </c>
      <c r="W333" s="600">
        <f>VLOOKUP(($B333*10)+1,Results,$I$3,FALSE)</f>
        <v>0</v>
      </c>
      <c r="X333" s="499">
        <f>VLOOKUP(($B333*10)+2,Results,$I$3,FALSE)</f>
        <v>0</v>
      </c>
      <c r="Y333" s="499">
        <f>VLOOKUP(($B333*10)+3,Results,$I$3,FALSE)</f>
        <v>0</v>
      </c>
      <c r="Z333" s="499">
        <f>VLOOKUP(($B333*10)+4,Results,$I$3,FALSE)</f>
        <v>0</v>
      </c>
      <c r="AA333" s="499">
        <f>VLOOKUP(($B333*10)+5,Results,$I$3,FALSE)</f>
        <v>0</v>
      </c>
      <c r="AB333" s="499">
        <f>VLOOKUP(($B333*10)+6,Results,$I$3,FALSE)</f>
        <v>0</v>
      </c>
      <c r="AC333" s="499">
        <f>VLOOKUP(($B333*10)+7,Results,$I$3,FALSE)</f>
        <v>0</v>
      </c>
      <c r="AD333" s="499">
        <f>VLOOKUP(($B333*10)+8,Results,$I$3,FALSE)</f>
        <v>0</v>
      </c>
    </row>
    <row r="334" spans="1:30" x14ac:dyDescent="0.3">
      <c r="A334" s="118" t="str">
        <f>B333&amp;"B"</f>
        <v>23B</v>
      </c>
      <c r="B334" s="506"/>
      <c r="C334" s="572"/>
      <c r="D334" s="479" t="str">
        <f>VLOOKUP(B333,EventsOrder,3,FALSE)</f>
        <v>Discus (U18)</v>
      </c>
      <c r="E334" s="515" t="s">
        <v>94</v>
      </c>
      <c r="F334" s="529"/>
      <c r="G334" s="547" t="str">
        <f>VLOOKUP(($B333*10)+1,Results,$F$4,FALSE)</f>
        <v/>
      </c>
      <c r="H334" s="517"/>
      <c r="I334" s="548" t="str">
        <f>VLOOKUP(($B333*10)+2,Results,$F$4,FALSE)</f>
        <v/>
      </c>
      <c r="J334" s="517"/>
      <c r="K334" s="548" t="str">
        <f>VLOOKUP(($B333*10)+3,Results,$F$4,FALSE)</f>
        <v/>
      </c>
      <c r="L334" s="517"/>
      <c r="M334" s="548" t="str">
        <f>VLOOKUP(($B333*10)+4,Results,$F$4,FALSE)</f>
        <v/>
      </c>
      <c r="N334" s="517"/>
      <c r="O334" s="548" t="str">
        <f>VLOOKUP(($B333*10)+5,Results,$F$4,FALSE)</f>
        <v/>
      </c>
      <c r="P334" s="517"/>
      <c r="Q334" s="548" t="str">
        <f>VLOOKUP(($B333*10)+6,Results,$F$4,FALSE)</f>
        <v/>
      </c>
      <c r="R334" s="549"/>
      <c r="S334" s="575" t="str">
        <f>VLOOKUP(($B333*10)+7,Results,$F$4,FALSE)</f>
        <v/>
      </c>
      <c r="T334" s="517"/>
      <c r="U334" s="548" t="str">
        <f>VLOOKUP(($B333*10)+8,Results,$F$4,FALSE)</f>
        <v/>
      </c>
      <c r="V334" s="519"/>
      <c r="W334" s="599"/>
      <c r="X334" s="488"/>
      <c r="Y334" s="488"/>
      <c r="Z334" s="488"/>
      <c r="AA334" s="488"/>
      <c r="AB334" s="488"/>
      <c r="AC334" s="488"/>
      <c r="AD334" s="488"/>
    </row>
    <row r="335" spans="1:30" ht="15" thickBot="1" x14ac:dyDescent="0.35">
      <c r="A335" s="118" t="str">
        <f>B333&amp;"B"</f>
        <v>23B</v>
      </c>
      <c r="B335" s="506"/>
      <c r="C335" s="576"/>
      <c r="D335" s="502"/>
      <c r="E335" s="523"/>
      <c r="F335" s="503"/>
      <c r="G335" s="554">
        <f>VLOOKUP(($B333*10)+1,Results,$G$4,FALSE)</f>
        <v>0</v>
      </c>
      <c r="H335" s="573">
        <f>VLOOKUP(($B333*10)+1,Results,$H$4,FALSE)</f>
        <v>0</v>
      </c>
      <c r="I335" s="495">
        <f>VLOOKUP(($B333*10)+2,Results,$G$4,FALSE)</f>
        <v>0</v>
      </c>
      <c r="J335" s="573">
        <f>VLOOKUP(($B333*10)+2,Results,$H$4,FALSE)</f>
        <v>0</v>
      </c>
      <c r="K335" s="495">
        <f>VLOOKUP(($B333*10)+3,Results,$G$4,FALSE)</f>
        <v>0</v>
      </c>
      <c r="L335" s="573">
        <f>VLOOKUP(($B333*10)+3,Results,$H$4,FALSE)</f>
        <v>0</v>
      </c>
      <c r="M335" s="495">
        <f>VLOOKUP(($B333*10)+4,Results,$G$4,FALSE)</f>
        <v>0</v>
      </c>
      <c r="N335" s="573">
        <f>VLOOKUP(($B333*10)+4,Results,$H$4,FALSE)</f>
        <v>0</v>
      </c>
      <c r="O335" s="495">
        <f>VLOOKUP(($B333*10)+5,Results,$G$4,FALSE)</f>
        <v>0</v>
      </c>
      <c r="P335" s="573">
        <f>VLOOKUP(($B333*10)+5,Results,$H$4,FALSE)</f>
        <v>0</v>
      </c>
      <c r="Q335" s="495">
        <f>VLOOKUP(($B333*10)+6,Results,$G$4,FALSE)</f>
        <v>0</v>
      </c>
      <c r="R335" s="574">
        <f>VLOOKUP(($B333*10)+6,Results,$H$4,FALSE)</f>
        <v>0</v>
      </c>
      <c r="S335" s="496">
        <f>VLOOKUP(($B333*10)+7,Results,$G$4,FALSE)</f>
        <v>0</v>
      </c>
      <c r="T335" s="573">
        <f>VLOOKUP(($B333*10)+7,Results,$H$4,FALSE)</f>
        <v>0</v>
      </c>
      <c r="U335" s="495">
        <f>VLOOKUP(($B333*10)+8,Results,$G$4,FALSE)</f>
        <v>0</v>
      </c>
      <c r="V335" s="528">
        <f>VLOOKUP(($B333*10)+8,Results,$H$4,FALSE)</f>
        <v>0</v>
      </c>
      <c r="W335" s="600">
        <f>VLOOKUP(($B333*10)+1,Results,$I$4,FALSE)</f>
        <v>0</v>
      </c>
      <c r="X335" s="499">
        <f>VLOOKUP(($B333*10)+2,Results,$I$4,FALSE)</f>
        <v>0</v>
      </c>
      <c r="Y335" s="499">
        <f>VLOOKUP(($B333*10)+3,Results,$I$4,FALSE)</f>
        <v>0</v>
      </c>
      <c r="Z335" s="499">
        <f>VLOOKUP(($B333*10)+4,Results,$I$4,FALSE)</f>
        <v>0</v>
      </c>
      <c r="AA335" s="499">
        <f>VLOOKUP(($B333*10)+5,Results,$I$4,FALSE)</f>
        <v>0</v>
      </c>
      <c r="AB335" s="499">
        <f>VLOOKUP(($B333*10)+6,Results,$I$4,FALSE)</f>
        <v>0</v>
      </c>
      <c r="AC335" s="499">
        <f>VLOOKUP(($B333*10)+7,Results,$I$4,FALSE)</f>
        <v>0</v>
      </c>
      <c r="AD335" s="499">
        <f>VLOOKUP(($B333*10)+8,Results,$I$4,FALSE)</f>
        <v>0</v>
      </c>
    </row>
    <row r="336" spans="1:30" x14ac:dyDescent="0.3">
      <c r="A336" s="118" t="str">
        <f>B337&amp;"A"</f>
        <v>27A</v>
      </c>
      <c r="B336" s="506"/>
      <c r="C336" s="571"/>
      <c r="D336" s="479" t="str">
        <f>VLOOKUP(B337,EventsOrder,4,FALSE)</f>
        <v>U18 Men</v>
      </c>
      <c r="E336" s="515" t="s">
        <v>149</v>
      </c>
      <c r="F336" s="480"/>
      <c r="G336" s="481" t="str">
        <f>VLOOKUP(($B337*10)+1,Results,$F$3,FALSE)</f>
        <v>Ben Hilton</v>
      </c>
      <c r="H336" s="482"/>
      <c r="I336" s="483" t="str">
        <f>VLOOKUP(($B337*10)+2,Results,$F$3,FALSE)</f>
        <v>Toby Thomas</v>
      </c>
      <c r="J336" s="482"/>
      <c r="K336" s="483" t="str">
        <f>VLOOKUP(($B337*10)+3,Results,$F$3,FALSE)</f>
        <v/>
      </c>
      <c r="L336" s="482"/>
      <c r="M336" s="483" t="str">
        <f>VLOOKUP(($B337*10)+4,Results,$F$3,FALSE)</f>
        <v/>
      </c>
      <c r="N336" s="482"/>
      <c r="O336" s="483" t="str">
        <f>VLOOKUP(($B337*10)+5,Results,$F$3,FALSE)</f>
        <v/>
      </c>
      <c r="P336" s="482"/>
      <c r="Q336" s="483" t="str">
        <f>VLOOKUP(($B337*10)+6,Results,$F$3,FALSE)</f>
        <v/>
      </c>
      <c r="R336" s="484"/>
      <c r="S336" s="485" t="str">
        <f>VLOOKUP(($B337*10)+7,Results,$F$3,FALSE)</f>
        <v/>
      </c>
      <c r="T336" s="482"/>
      <c r="U336" s="483" t="str">
        <f>VLOOKUP(($B337*10)+8,Results,$F$3,FALSE)</f>
        <v/>
      </c>
      <c r="V336" s="486"/>
      <c r="W336" s="599"/>
      <c r="X336" s="488"/>
      <c r="Y336" s="488"/>
      <c r="Z336" s="488"/>
      <c r="AA336" s="488"/>
      <c r="AB336" s="488"/>
      <c r="AC336" s="488"/>
      <c r="AD336" s="488"/>
    </row>
    <row r="337" spans="1:30" x14ac:dyDescent="0.3">
      <c r="A337" s="118" t="str">
        <f>B337&amp;"A"</f>
        <v>27A</v>
      </c>
      <c r="B337" s="24">
        <v>27</v>
      </c>
      <c r="C337" s="572">
        <f>VLOOKUP(B337,EventsOrder,2,FALSE)</f>
        <v>1.1000000000000001</v>
      </c>
      <c r="D337" s="490"/>
      <c r="E337" s="11"/>
      <c r="F337" s="492"/>
      <c r="G337" s="493" t="str">
        <f>VLOOKUP(($B337*10)+1,Results,$G$3,FALSE)</f>
        <v>Sol</v>
      </c>
      <c r="H337" s="505">
        <f>VLOOKUP(($B337*10)+1,Results,$H$3,FALSE)</f>
        <v>15.3</v>
      </c>
      <c r="I337" s="495" t="str">
        <f>VLOOKUP(($B337*10)+2,Results,$G$3,FALSE)</f>
        <v>Strat</v>
      </c>
      <c r="J337" s="505">
        <f>VLOOKUP(($B337*10)+2,Results,$H$3,FALSE)</f>
        <v>16</v>
      </c>
      <c r="K337" s="495">
        <f>VLOOKUP(($B337*10)+3,Results,$G$3,FALSE)</f>
        <v>0</v>
      </c>
      <c r="L337" s="505">
        <f>VLOOKUP(($B337*10)+3,Results,$H$3,FALSE)</f>
        <v>0</v>
      </c>
      <c r="M337" s="495">
        <f>VLOOKUP(($B337*10)+4,Results,$G$3,FALSE)</f>
        <v>0</v>
      </c>
      <c r="N337" s="505">
        <f>VLOOKUP(($B337*10)+4,Results,$H$3,FALSE)</f>
        <v>0</v>
      </c>
      <c r="O337" s="495">
        <f>VLOOKUP(($B337*10)+5,Results,$G$3,FALSE)</f>
        <v>0</v>
      </c>
      <c r="P337" s="505">
        <f>VLOOKUP(($B337*10)+5,Results,$H$3,FALSE)</f>
        <v>0</v>
      </c>
      <c r="Q337" s="495">
        <f>VLOOKUP(($B337*10)+6,Results,$G$3,FALSE)</f>
        <v>0</v>
      </c>
      <c r="R337" s="505">
        <f>VLOOKUP(($B337*10)+6,Results,$H$3,FALSE)</f>
        <v>0</v>
      </c>
      <c r="S337" s="496">
        <f>VLOOKUP(($B337*10)+7,Results,$G$3,FALSE)</f>
        <v>0</v>
      </c>
      <c r="T337" s="505">
        <f>VLOOKUP(($B337*10)+7,Results,$H$3,FALSE)</f>
        <v>0</v>
      </c>
      <c r="U337" s="495">
        <f>VLOOKUP(($B337*10)+8,Results,$G$3,FALSE)</f>
        <v>0</v>
      </c>
      <c r="V337" s="601">
        <f>VLOOKUP(($B337*10)+8,Results,$H$3,FALSE)</f>
        <v>0</v>
      </c>
      <c r="W337" s="600">
        <f>VLOOKUP(($B337*10)+1,Results,$I$3,FALSE)</f>
        <v>0</v>
      </c>
      <c r="X337" s="499">
        <f>VLOOKUP(($B337*10)+2,Results,$I$3,FALSE)</f>
        <v>0</v>
      </c>
      <c r="Y337" s="499">
        <f>VLOOKUP(($B337*10)+3,Results,$I$3,FALSE)</f>
        <v>0</v>
      </c>
      <c r="Z337" s="499">
        <f>VLOOKUP(($B337*10)+4,Results,$I$3,FALSE)</f>
        <v>0</v>
      </c>
      <c r="AA337" s="499">
        <f>VLOOKUP(($B337*10)+5,Results,$I$3,FALSE)</f>
        <v>8</v>
      </c>
      <c r="AB337" s="499">
        <f>VLOOKUP(($B337*10)+6,Results,$I$3,FALSE)</f>
        <v>7</v>
      </c>
      <c r="AC337" s="499">
        <f>VLOOKUP(($B337*10)+7,Results,$I$3,FALSE)</f>
        <v>0</v>
      </c>
      <c r="AD337" s="499">
        <f>VLOOKUP(($B337*10)+8,Results,$I$3,FALSE)</f>
        <v>0</v>
      </c>
    </row>
    <row r="338" spans="1:30" x14ac:dyDescent="0.3">
      <c r="A338" s="118" t="str">
        <f>B337&amp;"B"</f>
        <v>27B</v>
      </c>
      <c r="B338" s="506"/>
      <c r="C338" s="572"/>
      <c r="D338" s="479" t="str">
        <f>VLOOKUP(B337,EventsOrder,3,FALSE)</f>
        <v>110m hurdles (U18)</v>
      </c>
      <c r="E338" s="515" t="s">
        <v>94</v>
      </c>
      <c r="F338" s="529"/>
      <c r="G338" s="547" t="str">
        <f>VLOOKUP(($B337*10)+1,Results,$F$4,FALSE)</f>
        <v>Will Hovell</v>
      </c>
      <c r="H338" s="517"/>
      <c r="I338" s="548" t="str">
        <f>VLOOKUP(($B337*10)+2,Results,$F$4,FALSE)</f>
        <v/>
      </c>
      <c r="J338" s="517"/>
      <c r="K338" s="548" t="str">
        <f>VLOOKUP(($B337*10)+3,Results,$F$4,FALSE)</f>
        <v/>
      </c>
      <c r="L338" s="517"/>
      <c r="M338" s="548" t="str">
        <f>VLOOKUP(($B337*10)+4,Results,$F$4,FALSE)</f>
        <v/>
      </c>
      <c r="N338" s="517"/>
      <c r="O338" s="548" t="str">
        <f>VLOOKUP(($B337*10)+5,Results,$F$4,FALSE)</f>
        <v/>
      </c>
      <c r="P338" s="517"/>
      <c r="Q338" s="548" t="str">
        <f>VLOOKUP(($B337*10)+6,Results,$F$4,FALSE)</f>
        <v/>
      </c>
      <c r="R338" s="549"/>
      <c r="S338" s="575" t="str">
        <f>VLOOKUP(($B337*10)+7,Results,$F$4,FALSE)</f>
        <v/>
      </c>
      <c r="T338" s="517"/>
      <c r="U338" s="548" t="str">
        <f>VLOOKUP(($B337*10)+8,Results,$F$4,FALSE)</f>
        <v/>
      </c>
      <c r="V338" s="519"/>
      <c r="W338" s="599"/>
      <c r="X338" s="488"/>
      <c r="Y338" s="488"/>
      <c r="Z338" s="488"/>
      <c r="AA338" s="488"/>
      <c r="AB338" s="488"/>
      <c r="AC338" s="488"/>
      <c r="AD338" s="488"/>
    </row>
    <row r="339" spans="1:30" ht="15" thickBot="1" x14ac:dyDescent="0.35">
      <c r="A339" s="118" t="str">
        <f>B337&amp;"B"</f>
        <v>27B</v>
      </c>
      <c r="B339" s="506"/>
      <c r="C339" s="576"/>
      <c r="D339" s="502"/>
      <c r="E339" s="523"/>
      <c r="F339" s="503"/>
      <c r="G339" s="554" t="str">
        <f>VLOOKUP(($B337*10)+1,Results,$G$4,FALSE)</f>
        <v>Strat</v>
      </c>
      <c r="H339" s="505">
        <f>VLOOKUP(($B337*10)+1,Results,$H$4,FALSE)</f>
        <v>17.600000000000001</v>
      </c>
      <c r="I339" s="556">
        <f>VLOOKUP(($B337*10)+2,Results,$G$4,FALSE)</f>
        <v>0</v>
      </c>
      <c r="J339" s="505">
        <f>VLOOKUP(($B337*10)+2,Results,$H$4,FALSE)</f>
        <v>0</v>
      </c>
      <c r="K339" s="556">
        <f>VLOOKUP(($B337*10)+3,Results,$G$4,FALSE)</f>
        <v>0</v>
      </c>
      <c r="L339" s="505">
        <f>VLOOKUP(($B337*10)+3,Results,$H$4,FALSE)</f>
        <v>0</v>
      </c>
      <c r="M339" s="556">
        <f>VLOOKUP(($B337*10)+4,Results,$G$4,FALSE)</f>
        <v>0</v>
      </c>
      <c r="N339" s="505">
        <f>VLOOKUP(($B337*10)+4,Results,$H$4,FALSE)</f>
        <v>0</v>
      </c>
      <c r="O339" s="556">
        <f>VLOOKUP(($B337*10)+5,Results,$G$4,FALSE)</f>
        <v>0</v>
      </c>
      <c r="P339" s="505">
        <f>VLOOKUP(($B337*10)+5,Results,$H$4,FALSE)</f>
        <v>0</v>
      </c>
      <c r="Q339" s="556">
        <f>VLOOKUP(($B337*10)+6,Results,$G$4,FALSE)</f>
        <v>0</v>
      </c>
      <c r="R339" s="505">
        <f>VLOOKUP(($B337*10)+6,Results,$H$4,FALSE)</f>
        <v>0</v>
      </c>
      <c r="S339" s="556">
        <f>VLOOKUP(($B337*10)+7,Results,$G$4,FALSE)</f>
        <v>0</v>
      </c>
      <c r="T339" s="505">
        <f>VLOOKUP(($B337*10)+7,Results,$H$4,FALSE)</f>
        <v>0</v>
      </c>
      <c r="U339" s="556">
        <f>VLOOKUP(($B337*10)+8,Results,$G$4,FALSE)</f>
        <v>0</v>
      </c>
      <c r="V339" s="601">
        <f>VLOOKUP(($B337*10)+8,Results,$H$4,FALSE)</f>
        <v>0</v>
      </c>
      <c r="W339" s="600">
        <f>VLOOKUP(($B337*10)+1,Results,$I$4,FALSE)</f>
        <v>0</v>
      </c>
      <c r="X339" s="499">
        <f>VLOOKUP(($B337*10)+2,Results,$I$4,FALSE)</f>
        <v>0</v>
      </c>
      <c r="Y339" s="499">
        <f>VLOOKUP(($B337*10)+3,Results,$I$4,FALSE)</f>
        <v>0</v>
      </c>
      <c r="Z339" s="499">
        <f>VLOOKUP(($B337*10)+4,Results,$I$4,FALSE)</f>
        <v>0</v>
      </c>
      <c r="AA339" s="499">
        <f>VLOOKUP(($B337*10)+5,Results,$I$4,FALSE)</f>
        <v>0</v>
      </c>
      <c r="AB339" s="499">
        <f>VLOOKUP(($B337*10)+6,Results,$I$4,FALSE)</f>
        <v>8</v>
      </c>
      <c r="AC339" s="499">
        <f>VLOOKUP(($B337*10)+7,Results,$I$4,FALSE)</f>
        <v>0</v>
      </c>
      <c r="AD339" s="499">
        <f>VLOOKUP(($B337*10)+8,Results,$I$4,FALSE)</f>
        <v>0</v>
      </c>
    </row>
    <row r="340" spans="1:30" x14ac:dyDescent="0.3">
      <c r="A340" s="118" t="str">
        <f>B341&amp;"A"</f>
        <v>30A</v>
      </c>
      <c r="B340" s="506"/>
      <c r="C340" s="571"/>
      <c r="D340" s="479" t="str">
        <f>VLOOKUP(B341,EventsOrder,4,FALSE)</f>
        <v>U18 Men</v>
      </c>
      <c r="E340" s="515" t="s">
        <v>149</v>
      </c>
      <c r="F340" s="480"/>
      <c r="G340" s="481" t="str">
        <f>VLOOKUP(($B341*10)+1,Results,$F$3,FALSE)</f>
        <v>George Wright</v>
      </c>
      <c r="H340" s="482"/>
      <c r="I340" s="483" t="str">
        <f>VLOOKUP(($B341*10)+2,Results,$F$3,FALSE)</f>
        <v>Charlie Gercs</v>
      </c>
      <c r="J340" s="482"/>
      <c r="K340" s="483" t="str">
        <f>VLOOKUP(($B341*10)+3,Results,$F$3,FALSE)</f>
        <v>Saleh Beshir</v>
      </c>
      <c r="L340" s="482"/>
      <c r="M340" s="483" t="str">
        <f>VLOOKUP(($B341*10)+4,Results,$F$3,FALSE)</f>
        <v>Oliver Ciszecki</v>
      </c>
      <c r="N340" s="482"/>
      <c r="O340" s="483" t="str">
        <f>VLOOKUP(($B341*10)+5,Results,$F$3,FALSE)</f>
        <v/>
      </c>
      <c r="P340" s="482"/>
      <c r="Q340" s="483" t="str">
        <f>VLOOKUP(($B341*10)+6,Results,$F$3,FALSE)</f>
        <v/>
      </c>
      <c r="R340" s="484"/>
      <c r="S340" s="485" t="str">
        <f>VLOOKUP(($B341*10)+7,Results,$F$3,FALSE)</f>
        <v/>
      </c>
      <c r="T340" s="482"/>
      <c r="U340" s="483" t="str">
        <f>VLOOKUP(($B341*10)+8,Results,$F$3,FALSE)</f>
        <v/>
      </c>
      <c r="V340" s="486"/>
      <c r="W340" s="599"/>
      <c r="X340" s="488"/>
      <c r="Y340" s="488"/>
      <c r="Z340" s="488"/>
      <c r="AA340" s="488"/>
      <c r="AB340" s="488"/>
      <c r="AC340" s="488"/>
      <c r="AD340" s="488"/>
    </row>
    <row r="341" spans="1:30" x14ac:dyDescent="0.3">
      <c r="A341" s="118" t="str">
        <f>B341&amp;"A"</f>
        <v>30A</v>
      </c>
      <c r="B341" s="24">
        <v>30</v>
      </c>
      <c r="C341" s="572">
        <f>VLOOKUP(B341,EventsOrder,2,FALSE)</f>
        <v>1.3</v>
      </c>
      <c r="D341" s="490"/>
      <c r="E341" s="11"/>
      <c r="F341" s="492"/>
      <c r="G341" s="493" t="str">
        <f>VLOOKUP(($B341*10)+1,Results,$G$3,FALSE)</f>
        <v>Strat</v>
      </c>
      <c r="H341" s="573">
        <f>VLOOKUP(($B341*10)+1,Results,$H$3,FALSE)</f>
        <v>5.54</v>
      </c>
      <c r="I341" s="495" t="str">
        <f>VLOOKUP(($B341*10)+2,Results,$G$3,FALSE)</f>
        <v>Rugby</v>
      </c>
      <c r="J341" s="573">
        <f>VLOOKUP(($B341*10)+2,Results,$H$3,FALSE)</f>
        <v>5.08</v>
      </c>
      <c r="K341" s="495" t="str">
        <f>VLOOKUP(($B341*10)+3,Results,$G$3,FALSE)</f>
        <v>BRAT</v>
      </c>
      <c r="L341" s="573">
        <f>VLOOKUP(($B341*10)+3,Results,$H$3,FALSE)</f>
        <v>4.6500000000000004</v>
      </c>
      <c r="M341" s="495" t="str">
        <f>VLOOKUP(($B341*10)+4,Results,$G$3,FALSE)</f>
        <v>Tam</v>
      </c>
      <c r="N341" s="573">
        <f>VLOOKUP(($B341*10)+4,Results,$H$3,FALSE)</f>
        <v>4.1100000000000003</v>
      </c>
      <c r="O341" s="495">
        <f>VLOOKUP(($B341*10)+5,Results,$G$3,FALSE)</f>
        <v>0</v>
      </c>
      <c r="P341" s="573">
        <f>VLOOKUP(($B341*10)+5,Results,$H$3,FALSE)</f>
        <v>0</v>
      </c>
      <c r="Q341" s="495">
        <f>VLOOKUP(($B341*10)+6,Results,$G$3,FALSE)</f>
        <v>0</v>
      </c>
      <c r="R341" s="574">
        <f>VLOOKUP(($B341*10)+6,Results,$H$3,FALSE)</f>
        <v>0</v>
      </c>
      <c r="S341" s="496">
        <f>VLOOKUP(($B341*10)+7,Results,$G$3,FALSE)</f>
        <v>0</v>
      </c>
      <c r="T341" s="573">
        <f>VLOOKUP(($B341*10)+7,Results,$H$3,FALSE)</f>
        <v>0</v>
      </c>
      <c r="U341" s="495">
        <f>VLOOKUP(($B341*10)+8,Results,$G$3,FALSE)</f>
        <v>0</v>
      </c>
      <c r="V341" s="528">
        <f>VLOOKUP(($B341*10)+8,Results,$H$3,FALSE)</f>
        <v>0</v>
      </c>
      <c r="W341" s="600">
        <f>VLOOKUP(($B341*10)+1,Results,$I$3,FALSE)</f>
        <v>6</v>
      </c>
      <c r="X341" s="499">
        <f>VLOOKUP(($B341*10)+2,Results,$I$3,FALSE)</f>
        <v>0</v>
      </c>
      <c r="Y341" s="499">
        <f>VLOOKUP(($B341*10)+3,Results,$I$3,FALSE)</f>
        <v>0</v>
      </c>
      <c r="Z341" s="499">
        <f>VLOOKUP(($B341*10)+4,Results,$I$3,FALSE)</f>
        <v>7</v>
      </c>
      <c r="AA341" s="499">
        <f>VLOOKUP(($B341*10)+5,Results,$I$3,FALSE)</f>
        <v>0</v>
      </c>
      <c r="AB341" s="499">
        <f>VLOOKUP(($B341*10)+6,Results,$I$3,FALSE)</f>
        <v>8</v>
      </c>
      <c r="AC341" s="499">
        <f>VLOOKUP(($B341*10)+7,Results,$I$3,FALSE)</f>
        <v>5</v>
      </c>
      <c r="AD341" s="499">
        <f>VLOOKUP(($B341*10)+8,Results,$I$3,FALSE)</f>
        <v>0</v>
      </c>
    </row>
    <row r="342" spans="1:30" x14ac:dyDescent="0.3">
      <c r="A342" s="118" t="str">
        <f>B341&amp;"B"</f>
        <v>30B</v>
      </c>
      <c r="B342" s="506"/>
      <c r="C342" s="572"/>
      <c r="D342" s="479" t="str">
        <f>VLOOKUP(B341,EventsOrder,3,FALSE)</f>
        <v>Long Jump (U18/20)</v>
      </c>
      <c r="E342" s="515" t="s">
        <v>94</v>
      </c>
      <c r="F342" s="529"/>
      <c r="G342" s="547" t="str">
        <f>VLOOKUP(($B341*10)+1,Results,$F$4,FALSE)</f>
        <v>Will Hovell</v>
      </c>
      <c r="H342" s="517"/>
      <c r="I342" s="548" t="str">
        <f>VLOOKUP(($B341*10)+2,Results,$F$4,FALSE)</f>
        <v/>
      </c>
      <c r="J342" s="517"/>
      <c r="K342" s="548" t="str">
        <f>VLOOKUP(($B341*10)+3,Results,$F$4,FALSE)</f>
        <v/>
      </c>
      <c r="L342" s="517"/>
      <c r="M342" s="548" t="str">
        <f>VLOOKUP(($B341*10)+4,Results,$F$4,FALSE)</f>
        <v/>
      </c>
      <c r="N342" s="517"/>
      <c r="O342" s="548" t="str">
        <f>VLOOKUP(($B341*10)+5,Results,$F$4,FALSE)</f>
        <v/>
      </c>
      <c r="P342" s="517"/>
      <c r="Q342" s="548" t="str">
        <f>VLOOKUP(($B341*10)+6,Results,$F$4,FALSE)</f>
        <v/>
      </c>
      <c r="R342" s="549"/>
      <c r="S342" s="575" t="str">
        <f>VLOOKUP(($B341*10)+7,Results,$F$4,FALSE)</f>
        <v/>
      </c>
      <c r="T342" s="517"/>
      <c r="U342" s="548" t="str">
        <f>VLOOKUP(($B341*10)+8,Results,$F$4,FALSE)</f>
        <v/>
      </c>
      <c r="V342" s="519"/>
      <c r="W342" s="599"/>
      <c r="X342" s="488"/>
      <c r="Y342" s="488"/>
      <c r="Z342" s="488"/>
      <c r="AA342" s="488"/>
      <c r="AB342" s="488"/>
      <c r="AC342" s="488"/>
      <c r="AD342" s="488"/>
    </row>
    <row r="343" spans="1:30" ht="15" thickBot="1" x14ac:dyDescent="0.35">
      <c r="A343" s="118" t="str">
        <f>B341&amp;"B"</f>
        <v>30B</v>
      </c>
      <c r="B343" s="506"/>
      <c r="C343" s="576"/>
      <c r="D343" s="502"/>
      <c r="E343" s="523"/>
      <c r="F343" s="503"/>
      <c r="G343" s="554" t="str">
        <f>VLOOKUP(($B341*10)+1,Results,$G$4,FALSE)</f>
        <v>Strat</v>
      </c>
      <c r="H343" s="573">
        <f>VLOOKUP(($B341*10)+1,Results,$H$4,FALSE)</f>
        <v>4.8099999999999996</v>
      </c>
      <c r="I343" s="495">
        <f>VLOOKUP(($B341*10)+2,Results,$G$4,FALSE)</f>
        <v>0</v>
      </c>
      <c r="J343" s="573">
        <f>VLOOKUP(($B341*10)+2,Results,$H$4,FALSE)</f>
        <v>0</v>
      </c>
      <c r="K343" s="495">
        <f>VLOOKUP(($B341*10)+3,Results,$G$4,FALSE)</f>
        <v>0</v>
      </c>
      <c r="L343" s="573">
        <f>VLOOKUP(($B341*10)+3,Results,$H$4,FALSE)</f>
        <v>0</v>
      </c>
      <c r="M343" s="495">
        <f>VLOOKUP(($B341*10)+4,Results,$G$4,FALSE)</f>
        <v>0</v>
      </c>
      <c r="N343" s="573">
        <f>VLOOKUP(($B341*10)+4,Results,$H$4,FALSE)</f>
        <v>0</v>
      </c>
      <c r="O343" s="495">
        <f>VLOOKUP(($B341*10)+5,Results,$G$4,FALSE)</f>
        <v>0</v>
      </c>
      <c r="P343" s="573">
        <f>VLOOKUP(($B341*10)+5,Results,$H$4,FALSE)</f>
        <v>0</v>
      </c>
      <c r="Q343" s="495">
        <f>VLOOKUP(($B341*10)+6,Results,$G$4,FALSE)</f>
        <v>0</v>
      </c>
      <c r="R343" s="574">
        <f>VLOOKUP(($B341*10)+6,Results,$H$4,FALSE)</f>
        <v>0</v>
      </c>
      <c r="S343" s="496">
        <f>VLOOKUP(($B341*10)+7,Results,$G$4,FALSE)</f>
        <v>0</v>
      </c>
      <c r="T343" s="573">
        <f>VLOOKUP(($B341*10)+7,Results,$H$4,FALSE)</f>
        <v>0</v>
      </c>
      <c r="U343" s="495">
        <f>VLOOKUP(($B341*10)+8,Results,$G$4,FALSE)</f>
        <v>0</v>
      </c>
      <c r="V343" s="528">
        <f>VLOOKUP(($B341*10)+8,Results,$H$4,FALSE)</f>
        <v>0</v>
      </c>
      <c r="W343" s="600">
        <f>VLOOKUP(($B341*10)+1,Results,$I$4,FALSE)</f>
        <v>0</v>
      </c>
      <c r="X343" s="499">
        <f>VLOOKUP(($B341*10)+2,Results,$I$4,FALSE)</f>
        <v>0</v>
      </c>
      <c r="Y343" s="499">
        <f>VLOOKUP(($B341*10)+3,Results,$I$4,FALSE)</f>
        <v>0</v>
      </c>
      <c r="Z343" s="499">
        <f>VLOOKUP(($B341*10)+4,Results,$I$4,FALSE)</f>
        <v>0</v>
      </c>
      <c r="AA343" s="499">
        <f>VLOOKUP(($B341*10)+5,Results,$I$4,FALSE)</f>
        <v>0</v>
      </c>
      <c r="AB343" s="499">
        <f>VLOOKUP(($B341*10)+6,Results,$I$4,FALSE)</f>
        <v>8</v>
      </c>
      <c r="AC343" s="499">
        <f>VLOOKUP(($B341*10)+7,Results,$I$4,FALSE)</f>
        <v>0</v>
      </c>
      <c r="AD343" s="499">
        <f>VLOOKUP(($B341*10)+8,Results,$I$4,FALSE)</f>
        <v>0</v>
      </c>
    </row>
    <row r="344" spans="1:30" x14ac:dyDescent="0.3">
      <c r="A344" s="118" t="str">
        <f>B345&amp;"A"</f>
        <v>31A</v>
      </c>
      <c r="B344" s="506"/>
      <c r="C344" s="571"/>
      <c r="D344" s="479" t="str">
        <f>VLOOKUP(B345,EventsOrder,4,FALSE)</f>
        <v>U18 Men</v>
      </c>
      <c r="E344" s="515" t="s">
        <v>149</v>
      </c>
      <c r="F344" s="480"/>
      <c r="G344" s="481" t="str">
        <f>VLOOKUP(($B345*10)+1,Results,$F$3,FALSE)</f>
        <v>Tom Stanton</v>
      </c>
      <c r="H344" s="482"/>
      <c r="I344" s="483" t="str">
        <f>VLOOKUP(($B345*10)+2,Results,$F$3,FALSE)</f>
        <v>Santiago Tomayo</v>
      </c>
      <c r="J344" s="482"/>
      <c r="K344" s="483" t="str">
        <f>VLOOKUP(($B345*10)+3,Results,$F$3,FALSE)</f>
        <v>Alex Payne</v>
      </c>
      <c r="L344" s="482"/>
      <c r="M344" s="483" t="str">
        <f>VLOOKUP(($B345*10)+4,Results,$F$3,FALSE)</f>
        <v/>
      </c>
      <c r="N344" s="482"/>
      <c r="O344" s="483" t="str">
        <f>VLOOKUP(($B345*10)+5,Results,$F$3,FALSE)</f>
        <v/>
      </c>
      <c r="P344" s="482"/>
      <c r="Q344" s="483" t="str">
        <f>VLOOKUP(($B345*10)+6,Results,$F$3,FALSE)</f>
        <v/>
      </c>
      <c r="R344" s="484"/>
      <c r="S344" s="485" t="str">
        <f>VLOOKUP(($B345*10)+7,Results,$F$3,FALSE)</f>
        <v/>
      </c>
      <c r="T344" s="482"/>
      <c r="U344" s="483" t="str">
        <f>VLOOKUP(($B345*10)+8,Results,$F$3,FALSE)</f>
        <v/>
      </c>
      <c r="V344" s="486"/>
      <c r="W344" s="599"/>
      <c r="X344" s="488"/>
      <c r="Y344" s="488"/>
      <c r="Z344" s="488"/>
      <c r="AA344" s="488"/>
      <c r="AB344" s="488"/>
      <c r="AC344" s="488"/>
      <c r="AD344" s="488"/>
    </row>
    <row r="345" spans="1:30" x14ac:dyDescent="0.3">
      <c r="A345" s="118" t="str">
        <f>B345&amp;"A"</f>
        <v>31A</v>
      </c>
      <c r="B345" s="24">
        <v>31</v>
      </c>
      <c r="C345" s="572">
        <f>VLOOKUP(B345,EventsOrder,2,FALSE)</f>
        <v>1.35</v>
      </c>
      <c r="D345" s="490"/>
      <c r="E345" s="11"/>
      <c r="F345" s="492"/>
      <c r="G345" s="493" t="str">
        <f>VLOOKUP(($B345*10)+1,Results,$G$3,FALSE)</f>
        <v>Strat</v>
      </c>
      <c r="H345" s="505">
        <f>VLOOKUP(($B345*10)+1,Results,$H$3,FALSE)</f>
        <v>51.8</v>
      </c>
      <c r="I345" s="495" t="str">
        <f>VLOOKUP(($B345*10)+2,Results,$G$3,FALSE)</f>
        <v>Worc</v>
      </c>
      <c r="J345" s="505">
        <f>VLOOKUP(($B345*10)+2,Results,$H$3,FALSE)</f>
        <v>52.9</v>
      </c>
      <c r="K345" s="495" t="str">
        <f>VLOOKUP(($B345*10)+3,Results,$G$3,FALSE)</f>
        <v>K&amp;S</v>
      </c>
      <c r="L345" s="505">
        <f>VLOOKUP(($B345*10)+3,Results,$H$3,FALSE)</f>
        <v>53.8</v>
      </c>
      <c r="M345" s="495">
        <f>VLOOKUP(($B345*10)+4,Results,$G$3,FALSE)</f>
        <v>0</v>
      </c>
      <c r="N345" s="505">
        <f>VLOOKUP(($B345*10)+4,Results,$H$3,FALSE)</f>
        <v>0</v>
      </c>
      <c r="O345" s="495">
        <f>VLOOKUP(($B345*10)+5,Results,$G$3,FALSE)</f>
        <v>0</v>
      </c>
      <c r="P345" s="505">
        <f>VLOOKUP(($B345*10)+5,Results,$H$3,FALSE)</f>
        <v>0</v>
      </c>
      <c r="Q345" s="495">
        <f>VLOOKUP(($B345*10)+6,Results,$G$3,FALSE)</f>
        <v>0</v>
      </c>
      <c r="R345" s="505">
        <f>VLOOKUP(($B345*10)+6,Results,$H$3,FALSE)</f>
        <v>0</v>
      </c>
      <c r="S345" s="496">
        <f>VLOOKUP(($B345*10)+7,Results,$G$3,FALSE)</f>
        <v>0</v>
      </c>
      <c r="T345" s="505">
        <f>VLOOKUP(($B345*10)+7,Results,$H$3,FALSE)</f>
        <v>0</v>
      </c>
      <c r="U345" s="495">
        <f>VLOOKUP(($B345*10)+8,Results,$G$3,FALSE)</f>
        <v>0</v>
      </c>
      <c r="V345" s="601">
        <f>VLOOKUP(($B345*10)+8,Results,$H$3,FALSE)</f>
        <v>0</v>
      </c>
      <c r="W345" s="600">
        <f>VLOOKUP(($B345*10)+1,Results,$I$3,FALSE)</f>
        <v>0</v>
      </c>
      <c r="X345" s="499">
        <f>VLOOKUP(($B345*10)+2,Results,$I$3,FALSE)</f>
        <v>6</v>
      </c>
      <c r="Y345" s="499">
        <f>VLOOKUP(($B345*10)+3,Results,$I$3,FALSE)</f>
        <v>0</v>
      </c>
      <c r="Z345" s="499">
        <f>VLOOKUP(($B345*10)+4,Results,$I$3,FALSE)</f>
        <v>0</v>
      </c>
      <c r="AA345" s="499">
        <f>VLOOKUP(($B345*10)+5,Results,$I$3,FALSE)</f>
        <v>0</v>
      </c>
      <c r="AB345" s="499">
        <f>VLOOKUP(($B345*10)+6,Results,$I$3,FALSE)</f>
        <v>8</v>
      </c>
      <c r="AC345" s="499">
        <f>VLOOKUP(($B345*10)+7,Results,$I$3,FALSE)</f>
        <v>0</v>
      </c>
      <c r="AD345" s="499">
        <f>VLOOKUP(($B345*10)+8,Results,$I$3,FALSE)</f>
        <v>7</v>
      </c>
    </row>
    <row r="346" spans="1:30" x14ac:dyDescent="0.3">
      <c r="A346" s="118" t="str">
        <f>B345&amp;"B"</f>
        <v>31B</v>
      </c>
      <c r="B346" s="506"/>
      <c r="C346" s="572"/>
      <c r="D346" s="479" t="str">
        <f>VLOOKUP(B345,EventsOrder,3,FALSE)</f>
        <v>400m (U18/U20)</v>
      </c>
      <c r="E346" s="515" t="s">
        <v>94</v>
      </c>
      <c r="F346" s="529"/>
      <c r="G346" s="547" t="str">
        <f>VLOOKUP(($B345*10)+1,Results,$F$4,FALSE)</f>
        <v>Toby Thomas</v>
      </c>
      <c r="H346" s="517"/>
      <c r="I346" s="548" t="str">
        <f>VLOOKUP(($B345*10)+2,Results,$F$4,FALSE)</f>
        <v/>
      </c>
      <c r="J346" s="517"/>
      <c r="K346" s="548" t="str">
        <f>VLOOKUP(($B345*10)+3,Results,$F$4,FALSE)</f>
        <v/>
      </c>
      <c r="L346" s="517"/>
      <c r="M346" s="548" t="str">
        <f>VLOOKUP(($B345*10)+4,Results,$F$4,FALSE)</f>
        <v/>
      </c>
      <c r="N346" s="517"/>
      <c r="O346" s="548" t="str">
        <f>VLOOKUP(($B345*10)+5,Results,$F$4,FALSE)</f>
        <v/>
      </c>
      <c r="P346" s="517"/>
      <c r="Q346" s="548" t="str">
        <f>VLOOKUP(($B345*10)+6,Results,$F$4,FALSE)</f>
        <v/>
      </c>
      <c r="R346" s="549"/>
      <c r="S346" s="575" t="str">
        <f>VLOOKUP(($B345*10)+7,Results,$F$4,FALSE)</f>
        <v/>
      </c>
      <c r="T346" s="517"/>
      <c r="U346" s="548" t="str">
        <f>VLOOKUP(($B345*10)+8,Results,$F$4,FALSE)</f>
        <v/>
      </c>
      <c r="V346" s="519"/>
      <c r="W346" s="599"/>
      <c r="X346" s="488"/>
      <c r="Y346" s="488"/>
      <c r="Z346" s="488"/>
      <c r="AA346" s="488"/>
      <c r="AB346" s="488"/>
      <c r="AC346" s="488"/>
      <c r="AD346" s="488"/>
    </row>
    <row r="347" spans="1:30" ht="15" thickBot="1" x14ac:dyDescent="0.35">
      <c r="A347" s="118" t="str">
        <f>B345&amp;"B"</f>
        <v>31B</v>
      </c>
      <c r="B347" s="506"/>
      <c r="C347" s="576"/>
      <c r="D347" s="502"/>
      <c r="E347" s="523"/>
      <c r="F347" s="503"/>
      <c r="G347" s="554" t="str">
        <f>VLOOKUP(($B345*10)+1,Results,$G$4,FALSE)</f>
        <v>Strat</v>
      </c>
      <c r="H347" s="505">
        <f>VLOOKUP(($B345*10)+1,Results,$H$4,FALSE)</f>
        <v>58.4</v>
      </c>
      <c r="I347" s="556">
        <f>VLOOKUP(($B345*10)+2,Results,$G$4,FALSE)</f>
        <v>0</v>
      </c>
      <c r="J347" s="505">
        <f>VLOOKUP(($B345*10)+2,Results,$H$4,FALSE)</f>
        <v>0</v>
      </c>
      <c r="K347" s="556">
        <f>VLOOKUP(($B345*10)+3,Results,$G$4,FALSE)</f>
        <v>0</v>
      </c>
      <c r="L347" s="505">
        <f>VLOOKUP(($B345*10)+3,Results,$H$4,FALSE)</f>
        <v>0</v>
      </c>
      <c r="M347" s="556">
        <f>VLOOKUP(($B345*10)+4,Results,$G$4,FALSE)</f>
        <v>0</v>
      </c>
      <c r="N347" s="505">
        <f>VLOOKUP(($B345*10)+4,Results,$H$4,FALSE)</f>
        <v>0</v>
      </c>
      <c r="O347" s="556">
        <f>VLOOKUP(($B345*10)+5,Results,$G$4,FALSE)</f>
        <v>0</v>
      </c>
      <c r="P347" s="505">
        <f>VLOOKUP(($B345*10)+5,Results,$H$4,FALSE)</f>
        <v>0</v>
      </c>
      <c r="Q347" s="556">
        <f>VLOOKUP(($B345*10)+6,Results,$G$4,FALSE)</f>
        <v>0</v>
      </c>
      <c r="R347" s="505">
        <f>VLOOKUP(($B345*10)+6,Results,$H$4,FALSE)</f>
        <v>0</v>
      </c>
      <c r="S347" s="556">
        <f>VLOOKUP(($B345*10)+7,Results,$G$4,FALSE)</f>
        <v>0</v>
      </c>
      <c r="T347" s="505">
        <f>VLOOKUP(($B345*10)+7,Results,$H$4,FALSE)</f>
        <v>0</v>
      </c>
      <c r="U347" s="556">
        <f>VLOOKUP(($B345*10)+8,Results,$G$4,FALSE)</f>
        <v>0</v>
      </c>
      <c r="V347" s="601">
        <f>VLOOKUP(($B345*10)+8,Results,$H$4,FALSE)</f>
        <v>0</v>
      </c>
      <c r="W347" s="600">
        <f>VLOOKUP(($B345*10)+1,Results,$I$4,FALSE)</f>
        <v>0</v>
      </c>
      <c r="X347" s="499">
        <f>VLOOKUP(($B345*10)+2,Results,$I$4,FALSE)</f>
        <v>0</v>
      </c>
      <c r="Y347" s="499">
        <f>VLOOKUP(($B345*10)+3,Results,$I$4,FALSE)</f>
        <v>0</v>
      </c>
      <c r="Z347" s="499">
        <f>VLOOKUP(($B345*10)+4,Results,$I$4,FALSE)</f>
        <v>0</v>
      </c>
      <c r="AA347" s="499">
        <f>VLOOKUP(($B345*10)+5,Results,$I$4,FALSE)</f>
        <v>0</v>
      </c>
      <c r="AB347" s="499">
        <f>VLOOKUP(($B345*10)+6,Results,$I$4,FALSE)</f>
        <v>8</v>
      </c>
      <c r="AC347" s="499">
        <f>VLOOKUP(($B345*10)+7,Results,$I$4,FALSE)</f>
        <v>0</v>
      </c>
      <c r="AD347" s="499">
        <f>VLOOKUP(($B345*10)+8,Results,$I$4,FALSE)</f>
        <v>0</v>
      </c>
    </row>
    <row r="348" spans="1:30" x14ac:dyDescent="0.3">
      <c r="A348" s="118" t="str">
        <f>B349&amp;"A"</f>
        <v>46A</v>
      </c>
      <c r="B348" s="506"/>
      <c r="C348" s="571"/>
      <c r="D348" s="479" t="str">
        <f>VLOOKUP(B349,EventsOrder,4,FALSE)</f>
        <v>U18 Men</v>
      </c>
      <c r="E348" s="515" t="s">
        <v>149</v>
      </c>
      <c r="F348" s="480"/>
      <c r="G348" s="481" t="str">
        <f>VLOOKUP(($B349*10)+1,Results,$F$3,FALSE)</f>
        <v>Noah Latusek</v>
      </c>
      <c r="H348" s="482"/>
      <c r="I348" s="483" t="str">
        <f>VLOOKUP(($B349*10)+2,Results,$F$3,FALSE)</f>
        <v>K'Shein Radcliffe</v>
      </c>
      <c r="J348" s="482"/>
      <c r="K348" s="483" t="str">
        <f>VLOOKUP(($B349*10)+3,Results,$F$3,FALSE)</f>
        <v>Miguel Daley</v>
      </c>
      <c r="L348" s="482"/>
      <c r="M348" s="483" t="str">
        <f>VLOOKUP(($B349*10)+4,Results,$F$3,FALSE)</f>
        <v>Georgios Ammari</v>
      </c>
      <c r="N348" s="482"/>
      <c r="O348" s="483" t="str">
        <f>VLOOKUP(($B349*10)+5,Results,$F$3,FALSE)</f>
        <v>George Wright</v>
      </c>
      <c r="P348" s="482"/>
      <c r="Q348" s="483" t="str">
        <f>VLOOKUP(($B349*10)+6,Results,$F$3,FALSE)</f>
        <v/>
      </c>
      <c r="R348" s="484"/>
      <c r="S348" s="485" t="str">
        <f>VLOOKUP(($B349*10)+7,Results,$F$3,FALSE)</f>
        <v/>
      </c>
      <c r="T348" s="482"/>
      <c r="U348" s="483" t="str">
        <f>VLOOKUP(($B349*10)+8,Results,$F$3,FALSE)</f>
        <v/>
      </c>
      <c r="V348" s="486"/>
      <c r="W348" s="599"/>
      <c r="X348" s="488"/>
      <c r="Y348" s="488"/>
      <c r="Z348" s="488"/>
      <c r="AA348" s="488"/>
      <c r="AB348" s="488"/>
      <c r="AC348" s="488"/>
      <c r="AD348" s="488"/>
    </row>
    <row r="349" spans="1:30" x14ac:dyDescent="0.3">
      <c r="A349" s="118" t="str">
        <f>B349&amp;"A"</f>
        <v>46A</v>
      </c>
      <c r="B349" s="24">
        <v>46</v>
      </c>
      <c r="C349" s="572">
        <f>VLOOKUP(B349,EventsOrder,2,FALSE)</f>
        <v>2.4500000000000002</v>
      </c>
      <c r="D349" s="490"/>
      <c r="E349" s="11"/>
      <c r="F349" s="492"/>
      <c r="G349" s="493" t="str">
        <f>VLOOKUP(($B349*10)+1,Results,$G$3,FALSE)</f>
        <v>Sol</v>
      </c>
      <c r="H349" s="505">
        <f>VLOOKUP(($B349*10)+1,Results,$H$3,FALSE)</f>
        <v>11.2</v>
      </c>
      <c r="I349" s="495" t="str">
        <f>VLOOKUP(($B349*10)+2,Results,$G$3,FALSE)</f>
        <v>Royal</v>
      </c>
      <c r="J349" s="505">
        <f>VLOOKUP(($B349*10)+2,Results,$H$3,FALSE)</f>
        <v>11.9</v>
      </c>
      <c r="K349" s="495" t="str">
        <f>VLOOKUP(($B349*10)+3,Results,$G$3,FALSE)</f>
        <v>BRAT</v>
      </c>
      <c r="L349" s="505">
        <f>VLOOKUP(($B349*10)+3,Results,$H$3,FALSE)</f>
        <v>11.9</v>
      </c>
      <c r="M349" s="495" t="str">
        <f>VLOOKUP(($B349*10)+4,Results,$G$3,FALSE)</f>
        <v>Rugby</v>
      </c>
      <c r="N349" s="505">
        <f>VLOOKUP(($B349*10)+4,Results,$H$3,FALSE)</f>
        <v>12.1</v>
      </c>
      <c r="O349" s="495" t="str">
        <f>VLOOKUP(($B349*10)+5,Results,$G$3,FALSE)</f>
        <v>Strat</v>
      </c>
      <c r="P349" s="505">
        <f>VLOOKUP(($B349*10)+5,Results,$H$3,FALSE)</f>
        <v>12.2</v>
      </c>
      <c r="Q349" s="495">
        <f>VLOOKUP(($B349*10)+6,Results,$G$3,FALSE)</f>
        <v>0</v>
      </c>
      <c r="R349" s="505">
        <f>VLOOKUP(($B349*10)+6,Results,$H$3,FALSE)</f>
        <v>0</v>
      </c>
      <c r="S349" s="496">
        <f>VLOOKUP(($B349*10)+7,Results,$G$3,FALSE)</f>
        <v>0</v>
      </c>
      <c r="T349" s="505">
        <f>VLOOKUP(($B349*10)+7,Results,$H$3,FALSE)</f>
        <v>0</v>
      </c>
      <c r="U349" s="495">
        <f>VLOOKUP(($B349*10)+8,Results,$G$3,FALSE)</f>
        <v>0</v>
      </c>
      <c r="V349" s="601">
        <f>VLOOKUP(($B349*10)+8,Results,$H$3,FALSE)</f>
        <v>0</v>
      </c>
      <c r="W349" s="600">
        <f>VLOOKUP(($B349*10)+1,Results,$I$3,FALSE)</f>
        <v>6</v>
      </c>
      <c r="X349" s="499">
        <f>VLOOKUP(($B349*10)+2,Results,$I$3,FALSE)</f>
        <v>0</v>
      </c>
      <c r="Y349" s="499">
        <f>VLOOKUP(($B349*10)+3,Results,$I$3,FALSE)</f>
        <v>7</v>
      </c>
      <c r="Z349" s="499">
        <f>VLOOKUP(($B349*10)+4,Results,$I$3,FALSE)</f>
        <v>5</v>
      </c>
      <c r="AA349" s="499">
        <f>VLOOKUP(($B349*10)+5,Results,$I$3,FALSE)</f>
        <v>8</v>
      </c>
      <c r="AB349" s="499">
        <f>VLOOKUP(($B349*10)+6,Results,$I$3,FALSE)</f>
        <v>4</v>
      </c>
      <c r="AC349" s="499">
        <f>VLOOKUP(($B349*10)+7,Results,$I$3,FALSE)</f>
        <v>0</v>
      </c>
      <c r="AD349" s="499">
        <f>VLOOKUP(($B349*10)+8,Results,$I$3,FALSE)</f>
        <v>0</v>
      </c>
    </row>
    <row r="350" spans="1:30" x14ac:dyDescent="0.3">
      <c r="A350" s="118" t="str">
        <f>B349&amp;"B"</f>
        <v>46B</v>
      </c>
      <c r="B350" s="506"/>
      <c r="C350" s="572"/>
      <c r="D350" s="479" t="str">
        <f>VLOOKUP(B349,EventsOrder,3,FALSE)</f>
        <v>100m (U18/U20)</v>
      </c>
      <c r="E350" s="515" t="s">
        <v>94</v>
      </c>
      <c r="F350" s="529"/>
      <c r="G350" s="547" t="str">
        <f>VLOOKUP(($B349*10)+1,Results,$F$4,FALSE)</f>
        <v>Ben Hilton</v>
      </c>
      <c r="H350" s="517"/>
      <c r="I350" s="548" t="str">
        <f>VLOOKUP(($B349*10)+2,Results,$F$4,FALSE)</f>
        <v>Jamie Millichamp</v>
      </c>
      <c r="J350" s="517"/>
      <c r="K350" s="548" t="str">
        <f>VLOOKUP(($B349*10)+3,Results,$F$4,FALSE)</f>
        <v>Saleh Beshir</v>
      </c>
      <c r="L350" s="517"/>
      <c r="M350" s="548" t="str">
        <f>VLOOKUP(($B349*10)+4,Results,$F$4,FALSE)</f>
        <v>Ricardo Campos</v>
      </c>
      <c r="N350" s="517"/>
      <c r="O350" s="548" t="str">
        <f>VLOOKUP(($B349*10)+5,Results,$F$4,FALSE)</f>
        <v/>
      </c>
      <c r="P350" s="517"/>
      <c r="Q350" s="548" t="str">
        <f>VLOOKUP(($B349*10)+6,Results,$F$4,FALSE)</f>
        <v/>
      </c>
      <c r="R350" s="549"/>
      <c r="S350" s="575" t="str">
        <f>VLOOKUP(($B349*10)+7,Results,$F$4,FALSE)</f>
        <v/>
      </c>
      <c r="T350" s="517"/>
      <c r="U350" s="548" t="str">
        <f>VLOOKUP(($B349*10)+8,Results,$F$4,FALSE)</f>
        <v/>
      </c>
      <c r="V350" s="519"/>
      <c r="W350" s="599"/>
      <c r="X350" s="488"/>
      <c r="Y350" s="488"/>
      <c r="Z350" s="488"/>
      <c r="AA350" s="488"/>
      <c r="AB350" s="488"/>
      <c r="AC350" s="488"/>
      <c r="AD350" s="488"/>
    </row>
    <row r="351" spans="1:30" ht="15" thickBot="1" x14ac:dyDescent="0.35">
      <c r="A351" s="118" t="str">
        <f>B349&amp;"B"</f>
        <v>46B</v>
      </c>
      <c r="B351" s="506"/>
      <c r="C351" s="576"/>
      <c r="D351" s="502"/>
      <c r="E351" s="523"/>
      <c r="F351" s="503"/>
      <c r="G351" s="554" t="str">
        <f>VLOOKUP(($B349*10)+1,Results,$G$4,FALSE)</f>
        <v>Sol</v>
      </c>
      <c r="H351" s="505">
        <f>VLOOKUP(($B349*10)+1,Results,$H$4,FALSE)</f>
        <v>11.7</v>
      </c>
      <c r="I351" s="556" t="str">
        <f>VLOOKUP(($B349*10)+2,Results,$G$4,FALSE)</f>
        <v>Royal</v>
      </c>
      <c r="J351" s="505">
        <f>VLOOKUP(($B349*10)+2,Results,$H$4,FALSE)</f>
        <v>12.3</v>
      </c>
      <c r="K351" s="556" t="str">
        <f>VLOOKUP(($B349*10)+3,Results,$G$4,FALSE)</f>
        <v>BRAT</v>
      </c>
      <c r="L351" s="505">
        <f>VLOOKUP(($B349*10)+3,Results,$H$4,FALSE)</f>
        <v>12.7</v>
      </c>
      <c r="M351" s="556" t="str">
        <f>VLOOKUP(($B349*10)+4,Results,$G$4,FALSE)</f>
        <v>Rugby</v>
      </c>
      <c r="N351" s="505">
        <f>VLOOKUP(($B349*10)+4,Results,$H$4,FALSE)</f>
        <v>12.7</v>
      </c>
      <c r="O351" s="556">
        <f>VLOOKUP(($B349*10)+5,Results,$G$4,FALSE)</f>
        <v>0</v>
      </c>
      <c r="P351" s="505">
        <f>VLOOKUP(($B349*10)+5,Results,$H$4,FALSE)</f>
        <v>0</v>
      </c>
      <c r="Q351" s="556">
        <f>VLOOKUP(($B349*10)+6,Results,$G$4,FALSE)</f>
        <v>0</v>
      </c>
      <c r="R351" s="505">
        <f>VLOOKUP(($B349*10)+6,Results,$H$4,FALSE)</f>
        <v>0</v>
      </c>
      <c r="S351" s="556">
        <f>VLOOKUP(($B349*10)+7,Results,$G$4,FALSE)</f>
        <v>0</v>
      </c>
      <c r="T351" s="505">
        <f>VLOOKUP(($B349*10)+7,Results,$H$4,FALSE)</f>
        <v>0</v>
      </c>
      <c r="U351" s="556">
        <f>VLOOKUP(($B349*10)+8,Results,$G$4,FALSE)</f>
        <v>0</v>
      </c>
      <c r="V351" s="601">
        <f>VLOOKUP(($B349*10)+8,Results,$H$4,FALSE)</f>
        <v>0</v>
      </c>
      <c r="W351" s="600">
        <f>VLOOKUP(($B349*10)+1,Results,$I$4,FALSE)</f>
        <v>6</v>
      </c>
      <c r="X351" s="499">
        <f>VLOOKUP(($B349*10)+2,Results,$I$4,FALSE)</f>
        <v>0</v>
      </c>
      <c r="Y351" s="499">
        <f>VLOOKUP(($B349*10)+3,Results,$I$4,FALSE)</f>
        <v>7</v>
      </c>
      <c r="Z351" s="499">
        <f>VLOOKUP(($B349*10)+4,Results,$I$4,FALSE)</f>
        <v>5</v>
      </c>
      <c r="AA351" s="499">
        <f>VLOOKUP(($B349*10)+5,Results,$I$4,FALSE)</f>
        <v>8</v>
      </c>
      <c r="AB351" s="499">
        <f>VLOOKUP(($B349*10)+6,Results,$I$4,FALSE)</f>
        <v>0</v>
      </c>
      <c r="AC351" s="499">
        <f>VLOOKUP(($B349*10)+7,Results,$I$4,FALSE)</f>
        <v>0</v>
      </c>
      <c r="AD351" s="499">
        <f>VLOOKUP(($B349*10)+8,Results,$I$4,FALSE)</f>
        <v>0</v>
      </c>
    </row>
    <row r="352" spans="1:30" x14ac:dyDescent="0.3">
      <c r="A352" s="118" t="str">
        <f>B353&amp;"A"</f>
        <v>61A</v>
      </c>
      <c r="B352" s="506"/>
      <c r="C352" s="571"/>
      <c r="D352" s="479" t="str">
        <f>VLOOKUP(B353,EventsOrder,4,FALSE)</f>
        <v>U18 Men</v>
      </c>
      <c r="E352" s="515" t="s">
        <v>149</v>
      </c>
      <c r="F352" s="480"/>
      <c r="G352" s="481" t="str">
        <f>VLOOKUP(($B353*10)+1,Results,$F$3,FALSE)</f>
        <v>Ted Freeman</v>
      </c>
      <c r="H352" s="482"/>
      <c r="I352" s="483" t="str">
        <f>VLOOKUP(($B353*10)+2,Results,$F$3,FALSE)</f>
        <v>Toby Thomas</v>
      </c>
      <c r="J352" s="482"/>
      <c r="K352" s="483" t="str">
        <f>VLOOKUP(($B353*10)+3,Results,$F$3,FALSE)</f>
        <v>Charlie Gercs</v>
      </c>
      <c r="L352" s="482"/>
      <c r="M352" s="483" t="str">
        <f>VLOOKUP(($B353*10)+4,Results,$F$3,FALSE)</f>
        <v/>
      </c>
      <c r="N352" s="482"/>
      <c r="O352" s="483" t="str">
        <f>VLOOKUP(($B353*10)+5,Results,$F$3,FALSE)</f>
        <v/>
      </c>
      <c r="P352" s="482"/>
      <c r="Q352" s="483" t="str">
        <f>VLOOKUP(($B353*10)+6,Results,$F$3,FALSE)</f>
        <v/>
      </c>
      <c r="R352" s="484"/>
      <c r="S352" s="485" t="str">
        <f>VLOOKUP(($B353*10)+7,Results,$F$3,FALSE)</f>
        <v/>
      </c>
      <c r="T352" s="482"/>
      <c r="U352" s="483" t="str">
        <f>VLOOKUP(($B353*10)+8,Results,$F$3,FALSE)</f>
        <v/>
      </c>
      <c r="V352" s="486"/>
      <c r="W352" s="599"/>
      <c r="X352" s="488"/>
      <c r="Y352" s="488"/>
      <c r="Z352" s="488"/>
      <c r="AA352" s="488"/>
      <c r="AB352" s="488"/>
      <c r="AC352" s="488"/>
      <c r="AD352" s="488"/>
    </row>
    <row r="353" spans="1:30" x14ac:dyDescent="0.3">
      <c r="A353" s="118" t="str">
        <f>B353&amp;"A"</f>
        <v>61A</v>
      </c>
      <c r="B353" s="24">
        <v>61</v>
      </c>
      <c r="C353" s="572">
        <f>VLOOKUP(B353,EventsOrder,2,FALSE)</f>
        <v>3.3</v>
      </c>
      <c r="D353" s="490"/>
      <c r="E353" s="11"/>
      <c r="F353" s="492"/>
      <c r="G353" s="493" t="str">
        <f>VLOOKUP(($B353*10)+1,Results,$G$3,FALSE)</f>
        <v>K&amp;S</v>
      </c>
      <c r="H353" s="573">
        <f>VLOOKUP(($B353*10)+1,Results,$H$3,FALSE)</f>
        <v>50.53</v>
      </c>
      <c r="I353" s="495" t="str">
        <f>VLOOKUP(($B353*10)+2,Results,$G$3,FALSE)</f>
        <v>Strat</v>
      </c>
      <c r="J353" s="573">
        <f>VLOOKUP(($B353*10)+2,Results,$H$3,FALSE)</f>
        <v>41.03</v>
      </c>
      <c r="K353" s="495" t="str">
        <f>VLOOKUP(($B353*10)+3,Results,$G$3,FALSE)</f>
        <v>Rugby</v>
      </c>
      <c r="L353" s="573">
        <f>VLOOKUP(($B353*10)+3,Results,$H$3,FALSE)</f>
        <v>37.18</v>
      </c>
      <c r="M353" s="495">
        <f>VLOOKUP(($B353*10)+4,Results,$G$3,FALSE)</f>
        <v>0</v>
      </c>
      <c r="N353" s="573">
        <f>VLOOKUP(($B353*10)+4,Results,$H$3,FALSE)</f>
        <v>0</v>
      </c>
      <c r="O353" s="495">
        <f>VLOOKUP(($B353*10)+5,Results,$G$3,FALSE)</f>
        <v>0</v>
      </c>
      <c r="P353" s="573">
        <f>VLOOKUP(($B353*10)+5,Results,$H$3,FALSE)</f>
        <v>0</v>
      </c>
      <c r="Q353" s="495">
        <f>VLOOKUP(($B353*10)+6,Results,$G$3,FALSE)</f>
        <v>0</v>
      </c>
      <c r="R353" s="574">
        <f>VLOOKUP(($B353*10)+6,Results,$H$3,FALSE)</f>
        <v>0</v>
      </c>
      <c r="S353" s="496">
        <f>VLOOKUP(($B353*10)+7,Results,$G$3,FALSE)</f>
        <v>0</v>
      </c>
      <c r="T353" s="573">
        <f>VLOOKUP(($B353*10)+7,Results,$H$3,FALSE)</f>
        <v>0</v>
      </c>
      <c r="U353" s="495">
        <f>VLOOKUP(($B353*10)+8,Results,$G$3,FALSE)</f>
        <v>0</v>
      </c>
      <c r="V353" s="528">
        <f>VLOOKUP(($B353*10)+8,Results,$H$3,FALSE)</f>
        <v>0</v>
      </c>
      <c r="W353" s="600">
        <f>VLOOKUP(($B353*10)+1,Results,$I$3,FALSE)</f>
        <v>0</v>
      </c>
      <c r="X353" s="499">
        <f>VLOOKUP(($B353*10)+2,Results,$I$3,FALSE)</f>
        <v>8</v>
      </c>
      <c r="Y353" s="499">
        <f>VLOOKUP(($B353*10)+3,Results,$I$3,FALSE)</f>
        <v>0</v>
      </c>
      <c r="Z353" s="499">
        <f>VLOOKUP(($B353*10)+4,Results,$I$3,FALSE)</f>
        <v>6</v>
      </c>
      <c r="AA353" s="499">
        <f>VLOOKUP(($B353*10)+5,Results,$I$3,FALSE)</f>
        <v>0</v>
      </c>
      <c r="AB353" s="499">
        <f>VLOOKUP(($B353*10)+6,Results,$I$3,FALSE)</f>
        <v>7</v>
      </c>
      <c r="AC353" s="499">
        <f>VLOOKUP(($B353*10)+7,Results,$I$3,FALSE)</f>
        <v>0</v>
      </c>
      <c r="AD353" s="499">
        <f>VLOOKUP(($B353*10)+8,Results,$I$3,FALSE)</f>
        <v>0</v>
      </c>
    </row>
    <row r="354" spans="1:30" x14ac:dyDescent="0.3">
      <c r="A354" s="118" t="str">
        <f>B353&amp;"B"</f>
        <v>61B</v>
      </c>
      <c r="B354" s="506"/>
      <c r="C354" s="572"/>
      <c r="D354" s="479" t="str">
        <f>VLOOKUP(B353,EventsOrder,3,FALSE)</f>
        <v>Javelin (U18)</v>
      </c>
      <c r="E354" s="515" t="s">
        <v>94</v>
      </c>
      <c r="F354" s="529"/>
      <c r="G354" s="547" t="str">
        <f>VLOOKUP(($B353*10)+1,Results,$F$4,FALSE)</f>
        <v>George Wright</v>
      </c>
      <c r="H354" s="517"/>
      <c r="I354" s="548" t="str">
        <f>VLOOKUP(($B353*10)+2,Results,$F$4,FALSE)</f>
        <v>Alex Payne</v>
      </c>
      <c r="J354" s="517"/>
      <c r="K354" s="548" t="str">
        <f>VLOOKUP(($B353*10)+3,Results,$F$4,FALSE)</f>
        <v/>
      </c>
      <c r="L354" s="517"/>
      <c r="M354" s="548" t="str">
        <f>VLOOKUP(($B353*10)+4,Results,$F$4,FALSE)</f>
        <v/>
      </c>
      <c r="N354" s="517"/>
      <c r="O354" s="548" t="str">
        <f>VLOOKUP(($B353*10)+5,Results,$F$4,FALSE)</f>
        <v/>
      </c>
      <c r="P354" s="517"/>
      <c r="Q354" s="548" t="str">
        <f>VLOOKUP(($B353*10)+6,Results,$F$4,FALSE)</f>
        <v/>
      </c>
      <c r="R354" s="549"/>
      <c r="S354" s="575" t="str">
        <f>VLOOKUP(($B353*10)+7,Results,$F$4,FALSE)</f>
        <v/>
      </c>
      <c r="T354" s="517"/>
      <c r="U354" s="548" t="str">
        <f>VLOOKUP(($B353*10)+8,Results,$F$4,FALSE)</f>
        <v/>
      </c>
      <c r="V354" s="519"/>
      <c r="W354" s="599"/>
      <c r="X354" s="488"/>
      <c r="Y354" s="488"/>
      <c r="Z354" s="488"/>
      <c r="AA354" s="488"/>
      <c r="AB354" s="488"/>
      <c r="AC354" s="488"/>
      <c r="AD354" s="488"/>
    </row>
    <row r="355" spans="1:30" ht="15" thickBot="1" x14ac:dyDescent="0.35">
      <c r="A355" s="118" t="str">
        <f>B353&amp;"B"</f>
        <v>61B</v>
      </c>
      <c r="B355" s="506"/>
      <c r="C355" s="576"/>
      <c r="D355" s="502"/>
      <c r="E355" s="523"/>
      <c r="F355" s="503"/>
      <c r="G355" s="554" t="str">
        <f>VLOOKUP(($B353*10)+1,Results,$G$4,FALSE)</f>
        <v>Strat</v>
      </c>
      <c r="H355" s="573">
        <f>VLOOKUP(($B353*10)+1,Results,$H$4,FALSE)</f>
        <v>23.18</v>
      </c>
      <c r="I355" s="495" t="str">
        <f>VLOOKUP(($B353*10)+2,Results,$G$4,FALSE)</f>
        <v>K&amp;S</v>
      </c>
      <c r="J355" s="573">
        <f>VLOOKUP(($B353*10)+2,Results,$H$4,FALSE)</f>
        <v>21.02</v>
      </c>
      <c r="K355" s="495">
        <f>VLOOKUP(($B353*10)+3,Results,$G$4,FALSE)</f>
        <v>0</v>
      </c>
      <c r="L355" s="573">
        <f>VLOOKUP(($B353*10)+3,Results,$H$4,FALSE)</f>
        <v>0</v>
      </c>
      <c r="M355" s="495">
        <f>VLOOKUP(($B353*10)+4,Results,$G$4,FALSE)</f>
        <v>0</v>
      </c>
      <c r="N355" s="573">
        <f>VLOOKUP(($B353*10)+4,Results,$H$4,FALSE)</f>
        <v>0</v>
      </c>
      <c r="O355" s="495">
        <f>VLOOKUP(($B353*10)+5,Results,$G$4,FALSE)</f>
        <v>0</v>
      </c>
      <c r="P355" s="573">
        <f>VLOOKUP(($B353*10)+5,Results,$H$4,FALSE)</f>
        <v>0</v>
      </c>
      <c r="Q355" s="495">
        <f>VLOOKUP(($B353*10)+6,Results,$G$4,FALSE)</f>
        <v>0</v>
      </c>
      <c r="R355" s="574">
        <f>VLOOKUP(($B353*10)+6,Results,$H$4,FALSE)</f>
        <v>0</v>
      </c>
      <c r="S355" s="496">
        <f>VLOOKUP(($B353*10)+7,Results,$G$4,FALSE)</f>
        <v>0</v>
      </c>
      <c r="T355" s="573">
        <f>VLOOKUP(($B353*10)+7,Results,$H$4,FALSE)</f>
        <v>0</v>
      </c>
      <c r="U355" s="495">
        <f>VLOOKUP(($B353*10)+8,Results,$G$4,FALSE)</f>
        <v>0</v>
      </c>
      <c r="V355" s="528">
        <f>VLOOKUP(($B353*10)+8,Results,$H$4,FALSE)</f>
        <v>0</v>
      </c>
      <c r="W355" s="600">
        <f>VLOOKUP(($B353*10)+1,Results,$I$4,FALSE)</f>
        <v>0</v>
      </c>
      <c r="X355" s="499">
        <f>VLOOKUP(($B353*10)+2,Results,$I$4,FALSE)</f>
        <v>7</v>
      </c>
      <c r="Y355" s="499">
        <f>VLOOKUP(($B353*10)+3,Results,$I$4,FALSE)</f>
        <v>0</v>
      </c>
      <c r="Z355" s="499">
        <f>VLOOKUP(($B353*10)+4,Results,$I$4,FALSE)</f>
        <v>0</v>
      </c>
      <c r="AA355" s="499">
        <f>VLOOKUP(($B353*10)+5,Results,$I$4,FALSE)</f>
        <v>0</v>
      </c>
      <c r="AB355" s="499">
        <f>VLOOKUP(($B353*10)+6,Results,$I$4,FALSE)</f>
        <v>8</v>
      </c>
      <c r="AC355" s="499">
        <f>VLOOKUP(($B353*10)+7,Results,$I$4,FALSE)</f>
        <v>0</v>
      </c>
      <c r="AD355" s="499">
        <f>VLOOKUP(($B353*10)+8,Results,$I$4,FALSE)</f>
        <v>0</v>
      </c>
    </row>
    <row r="356" spans="1:30" x14ac:dyDescent="0.3">
      <c r="A356" s="118" t="str">
        <f>B357&amp;"A"</f>
        <v>62A</v>
      </c>
      <c r="B356" s="506"/>
      <c r="C356" s="571"/>
      <c r="D356" s="479" t="str">
        <f>VLOOKUP(B357,EventsOrder,4,FALSE)</f>
        <v>U18 Men</v>
      </c>
      <c r="E356" s="515" t="s">
        <v>149</v>
      </c>
      <c r="F356" s="480"/>
      <c r="G356" s="481" t="str">
        <f>VLOOKUP(($B357*10)+1,Results,$F$3,FALSE)</f>
        <v>Tom Fisher</v>
      </c>
      <c r="H356" s="482"/>
      <c r="I356" s="483" t="str">
        <f>VLOOKUP(($B357*10)+2,Results,$F$3,FALSE)</f>
        <v xml:space="preserve">Evan Tomlinson </v>
      </c>
      <c r="J356" s="482"/>
      <c r="K356" s="483" t="str">
        <f>VLOOKUP(($B357*10)+3,Results,$F$3,FALSE)</f>
        <v>Leo  Dance</v>
      </c>
      <c r="L356" s="482"/>
      <c r="M356" s="483" t="str">
        <f>VLOOKUP(($B357*10)+4,Results,$F$3,FALSE)</f>
        <v>Oliver Ciszecki</v>
      </c>
      <c r="N356" s="482"/>
      <c r="O356" s="483" t="str">
        <f>VLOOKUP(($B357*10)+5,Results,$F$3,FALSE)</f>
        <v/>
      </c>
      <c r="P356" s="482"/>
      <c r="Q356" s="483" t="str">
        <f>VLOOKUP(($B357*10)+6,Results,$F$3,FALSE)</f>
        <v/>
      </c>
      <c r="R356" s="484"/>
      <c r="S356" s="485" t="str">
        <f>VLOOKUP(($B357*10)+7,Results,$F$3,FALSE)</f>
        <v/>
      </c>
      <c r="T356" s="482"/>
      <c r="U356" s="483" t="str">
        <f>VLOOKUP(($B357*10)+8,Results,$F$3,FALSE)</f>
        <v/>
      </c>
      <c r="V356" s="486"/>
      <c r="W356" s="599"/>
      <c r="X356" s="488"/>
      <c r="Y356" s="488"/>
      <c r="Z356" s="488"/>
      <c r="AA356" s="488"/>
      <c r="AB356" s="488"/>
      <c r="AC356" s="488"/>
      <c r="AD356" s="488"/>
    </row>
    <row r="357" spans="1:30" x14ac:dyDescent="0.3">
      <c r="A357" s="118" t="str">
        <f>B357&amp;"A"</f>
        <v>62A</v>
      </c>
      <c r="B357" s="24">
        <v>62</v>
      </c>
      <c r="C357" s="572">
        <f>VLOOKUP(B357,EventsOrder,2,FALSE)</f>
        <v>3.3</v>
      </c>
      <c r="D357" s="490"/>
      <c r="E357" s="11"/>
      <c r="F357" s="492"/>
      <c r="G357" s="493" t="str">
        <f>VLOOKUP(($B357*10)+1,Results,$G$3,FALSE)</f>
        <v>Strat</v>
      </c>
      <c r="H357" s="505" t="str">
        <f>VLOOKUP(($B357*10)+1,Results,$H$3,FALSE)</f>
        <v>4.09.2</v>
      </c>
      <c r="I357" s="495" t="str">
        <f>VLOOKUP(($B357*10)+2,Results,$G$3,FALSE)</f>
        <v>BRAT</v>
      </c>
      <c r="J357" s="505" t="str">
        <f>VLOOKUP(($B357*10)+2,Results,$H$3,FALSE)</f>
        <v>4.20.6</v>
      </c>
      <c r="K357" s="495" t="str">
        <f>VLOOKUP(($B357*10)+3,Results,$G$3,FALSE)</f>
        <v>Royal</v>
      </c>
      <c r="L357" s="505" t="str">
        <f>VLOOKUP(($B357*10)+3,Results,$H$3,FALSE)</f>
        <v>4.33.6</v>
      </c>
      <c r="M357" s="495" t="str">
        <f>VLOOKUP(($B357*10)+4,Results,$G$3,FALSE)</f>
        <v>Tam</v>
      </c>
      <c r="N357" s="505" t="str">
        <f>VLOOKUP(($B357*10)+4,Results,$H$3,FALSE)</f>
        <v>5.16.8</v>
      </c>
      <c r="O357" s="495">
        <f>VLOOKUP(($B357*10)+5,Results,$G$3,FALSE)</f>
        <v>0</v>
      </c>
      <c r="P357" s="505">
        <f>VLOOKUP(($B357*10)+5,Results,$H$3,FALSE)</f>
        <v>0</v>
      </c>
      <c r="Q357" s="495">
        <f>VLOOKUP(($B357*10)+6,Results,$G$3,FALSE)</f>
        <v>0</v>
      </c>
      <c r="R357" s="505">
        <f>VLOOKUP(($B357*10)+6,Results,$H$3,FALSE)</f>
        <v>0</v>
      </c>
      <c r="S357" s="496">
        <f>VLOOKUP(($B357*10)+7,Results,$G$3,FALSE)</f>
        <v>0</v>
      </c>
      <c r="T357" s="505">
        <f>VLOOKUP(($B357*10)+7,Results,$H$3,FALSE)</f>
        <v>0</v>
      </c>
      <c r="U357" s="495">
        <f>VLOOKUP(($B357*10)+8,Results,$G$3,FALSE)</f>
        <v>0</v>
      </c>
      <c r="V357" s="601">
        <f>VLOOKUP(($B357*10)+8,Results,$H$3,FALSE)</f>
        <v>0</v>
      </c>
      <c r="W357" s="600">
        <f>VLOOKUP(($B357*10)+1,Results,$I$3,FALSE)</f>
        <v>7</v>
      </c>
      <c r="X357" s="499">
        <f>VLOOKUP(($B357*10)+2,Results,$I$3,FALSE)</f>
        <v>0</v>
      </c>
      <c r="Y357" s="499">
        <f>VLOOKUP(($B357*10)+3,Results,$I$3,FALSE)</f>
        <v>6</v>
      </c>
      <c r="Z357" s="499">
        <f>VLOOKUP(($B357*10)+4,Results,$I$3,FALSE)</f>
        <v>0</v>
      </c>
      <c r="AA357" s="499">
        <f>VLOOKUP(($B357*10)+5,Results,$I$3,FALSE)</f>
        <v>0</v>
      </c>
      <c r="AB357" s="499">
        <f>VLOOKUP(($B357*10)+6,Results,$I$3,FALSE)</f>
        <v>8</v>
      </c>
      <c r="AC357" s="499">
        <f>VLOOKUP(($B357*10)+7,Results,$I$3,FALSE)</f>
        <v>5</v>
      </c>
      <c r="AD357" s="499">
        <f>VLOOKUP(($B357*10)+8,Results,$I$3,FALSE)</f>
        <v>0</v>
      </c>
    </row>
    <row r="358" spans="1:30" x14ac:dyDescent="0.3">
      <c r="A358" s="118" t="str">
        <f>B357&amp;"B"</f>
        <v>62B</v>
      </c>
      <c r="B358" s="506"/>
      <c r="C358" s="572"/>
      <c r="D358" s="479" t="str">
        <f>VLOOKUP(B357,EventsOrder,3,FALSE)</f>
        <v>1500m (U18/U20)</v>
      </c>
      <c r="E358" s="515" t="s">
        <v>94</v>
      </c>
      <c r="F358" s="529"/>
      <c r="G358" s="547" t="str">
        <f>VLOOKUP(($B357*10)+1,Results,$F$4,FALSE)</f>
        <v>Finn Sandland</v>
      </c>
      <c r="H358" s="517"/>
      <c r="I358" s="548" t="str">
        <f>VLOOKUP(($B357*10)+2,Results,$F$4,FALSE)</f>
        <v>Edward Jagger</v>
      </c>
      <c r="J358" s="517"/>
      <c r="K358" s="548" t="str">
        <f>VLOOKUP(($B357*10)+3,Results,$F$4,FALSE)</f>
        <v/>
      </c>
      <c r="L358" s="517"/>
      <c r="M358" s="548" t="str">
        <f>VLOOKUP(($B357*10)+4,Results,$F$4,FALSE)</f>
        <v/>
      </c>
      <c r="N358" s="517"/>
      <c r="O358" s="548" t="str">
        <f>VLOOKUP(($B357*10)+5,Results,$F$4,FALSE)</f>
        <v/>
      </c>
      <c r="P358" s="517"/>
      <c r="Q358" s="548" t="str">
        <f>VLOOKUP(($B357*10)+6,Results,$F$4,FALSE)</f>
        <v/>
      </c>
      <c r="R358" s="549"/>
      <c r="S358" s="575" t="str">
        <f>VLOOKUP(($B357*10)+7,Results,$F$4,FALSE)</f>
        <v/>
      </c>
      <c r="T358" s="517"/>
      <c r="U358" s="548" t="str">
        <f>VLOOKUP(($B357*10)+8,Results,$F$4,FALSE)</f>
        <v/>
      </c>
      <c r="V358" s="519"/>
      <c r="W358" s="599"/>
      <c r="X358" s="488"/>
      <c r="Y358" s="488"/>
      <c r="Z358" s="488"/>
      <c r="AA358" s="488"/>
      <c r="AB358" s="488"/>
      <c r="AC358" s="488"/>
      <c r="AD358" s="488"/>
    </row>
    <row r="359" spans="1:30" ht="15" thickBot="1" x14ac:dyDescent="0.35">
      <c r="A359" s="118" t="str">
        <f>B357&amp;"B"</f>
        <v>62B</v>
      </c>
      <c r="B359" s="506"/>
      <c r="C359" s="576"/>
      <c r="D359" s="502"/>
      <c r="E359" s="523"/>
      <c r="F359" s="503"/>
      <c r="G359" s="554" t="str">
        <f>VLOOKUP(($B357*10)+1,Results,$G$4,FALSE)</f>
        <v>Royal</v>
      </c>
      <c r="H359" s="505" t="str">
        <f>VLOOKUP(($B357*10)+1,Results,$H$4,FALSE)</f>
        <v>4.48.6</v>
      </c>
      <c r="I359" s="556" t="str">
        <f>VLOOKUP(($B357*10)+2,Results,$G$4,FALSE)</f>
        <v>BRAT</v>
      </c>
      <c r="J359" s="505" t="str">
        <f>VLOOKUP(($B357*10)+2,Results,$H$4,FALSE)</f>
        <v>4.49.5</v>
      </c>
      <c r="K359" s="556">
        <f>VLOOKUP(($B357*10)+3,Results,$G$4,FALSE)</f>
        <v>0</v>
      </c>
      <c r="L359" s="505">
        <f>VLOOKUP(($B357*10)+3,Results,$H$4,FALSE)</f>
        <v>0</v>
      </c>
      <c r="M359" s="556">
        <f>VLOOKUP(($B357*10)+4,Results,$G$4,FALSE)</f>
        <v>0</v>
      </c>
      <c r="N359" s="505">
        <f>VLOOKUP(($B357*10)+4,Results,$H$4,FALSE)</f>
        <v>0</v>
      </c>
      <c r="O359" s="556">
        <f>VLOOKUP(($B357*10)+5,Results,$G$4,FALSE)</f>
        <v>0</v>
      </c>
      <c r="P359" s="505">
        <f>VLOOKUP(($B357*10)+5,Results,$H$4,FALSE)</f>
        <v>0</v>
      </c>
      <c r="Q359" s="556">
        <f>VLOOKUP(($B357*10)+6,Results,$G$4,FALSE)</f>
        <v>0</v>
      </c>
      <c r="R359" s="505">
        <f>VLOOKUP(($B357*10)+6,Results,$H$4,FALSE)</f>
        <v>0</v>
      </c>
      <c r="S359" s="556">
        <f>VLOOKUP(($B357*10)+7,Results,$G$4,FALSE)</f>
        <v>0</v>
      </c>
      <c r="T359" s="505">
        <f>VLOOKUP(($B357*10)+7,Results,$H$4,FALSE)</f>
        <v>0</v>
      </c>
      <c r="U359" s="556">
        <f>VLOOKUP(($B357*10)+8,Results,$G$4,FALSE)</f>
        <v>0</v>
      </c>
      <c r="V359" s="601">
        <f>VLOOKUP(($B357*10)+8,Results,$H$4,FALSE)</f>
        <v>0</v>
      </c>
      <c r="W359" s="600">
        <f>VLOOKUP(($B357*10)+1,Results,$I$4,FALSE)</f>
        <v>7</v>
      </c>
      <c r="X359" s="499">
        <f>VLOOKUP(($B357*10)+2,Results,$I$4,FALSE)</f>
        <v>0</v>
      </c>
      <c r="Y359" s="499">
        <f>VLOOKUP(($B357*10)+3,Results,$I$4,FALSE)</f>
        <v>8</v>
      </c>
      <c r="Z359" s="499">
        <f>VLOOKUP(($B357*10)+4,Results,$I$4,FALSE)</f>
        <v>0</v>
      </c>
      <c r="AA359" s="499">
        <f>VLOOKUP(($B357*10)+5,Results,$I$4,FALSE)</f>
        <v>0</v>
      </c>
      <c r="AB359" s="499">
        <f>VLOOKUP(($B357*10)+6,Results,$I$4,FALSE)</f>
        <v>0</v>
      </c>
      <c r="AC359" s="499">
        <f>VLOOKUP(($B357*10)+7,Results,$I$4,FALSE)</f>
        <v>0</v>
      </c>
      <c r="AD359" s="499">
        <f>VLOOKUP(($B357*10)+8,Results,$I$4,FALSE)</f>
        <v>0</v>
      </c>
    </row>
    <row r="360" spans="1:30" x14ac:dyDescent="0.3">
      <c r="A360" s="118" t="str">
        <f>B361&amp;"A"</f>
        <v>69A</v>
      </c>
      <c r="B360" s="506"/>
      <c r="C360" s="571"/>
      <c r="D360" s="479" t="str">
        <f>VLOOKUP(B361,EventsOrder,4,FALSE)</f>
        <v>U18 Men</v>
      </c>
      <c r="E360" s="515" t="s">
        <v>149</v>
      </c>
      <c r="F360" s="480"/>
      <c r="G360" s="481" t="str">
        <f>VLOOKUP(($B361*10)+1,Results,$F$3,FALSE)</f>
        <v/>
      </c>
      <c r="H360" s="482"/>
      <c r="I360" s="483" t="str">
        <f>VLOOKUP(($B361*10)+2,Results,$F$3,FALSE)</f>
        <v/>
      </c>
      <c r="J360" s="482"/>
      <c r="K360" s="483" t="str">
        <f>VLOOKUP(($B361*10)+3,Results,$F$3,FALSE)</f>
        <v/>
      </c>
      <c r="L360" s="482"/>
      <c r="M360" s="483" t="str">
        <f>VLOOKUP(($B361*10)+4,Results,$F$3,FALSE)</f>
        <v/>
      </c>
      <c r="N360" s="482"/>
      <c r="O360" s="483" t="str">
        <f>VLOOKUP(($B361*10)+5,Results,$F$3,FALSE)</f>
        <v/>
      </c>
      <c r="P360" s="482"/>
      <c r="Q360" s="483" t="str">
        <f>VLOOKUP(($B361*10)+6,Results,$F$3,FALSE)</f>
        <v/>
      </c>
      <c r="R360" s="484"/>
      <c r="S360" s="485" t="str">
        <f>VLOOKUP(($B361*10)+7,Results,$F$3,FALSE)</f>
        <v/>
      </c>
      <c r="T360" s="482"/>
      <c r="U360" s="483" t="str">
        <f>VLOOKUP(($B361*10)+8,Results,$F$3,FALSE)</f>
        <v/>
      </c>
      <c r="V360" s="486"/>
      <c r="W360" s="599"/>
      <c r="X360" s="488"/>
      <c r="Y360" s="488"/>
      <c r="Z360" s="488"/>
      <c r="AA360" s="488"/>
      <c r="AB360" s="488"/>
      <c r="AC360" s="488"/>
      <c r="AD360" s="488"/>
    </row>
    <row r="361" spans="1:30" x14ac:dyDescent="0.3">
      <c r="A361" s="118" t="str">
        <f>B361&amp;"A"</f>
        <v>69A</v>
      </c>
      <c r="B361" s="24">
        <v>69</v>
      </c>
      <c r="C361" s="572">
        <f>VLOOKUP(B361,EventsOrder,2,FALSE)</f>
        <v>4.0999999999999996</v>
      </c>
      <c r="D361" s="490"/>
      <c r="E361" s="11"/>
      <c r="F361" s="492"/>
      <c r="G361" s="493">
        <f>VLOOKUP(($B361*10)+1,Results,$G$3,FALSE)</f>
        <v>0</v>
      </c>
      <c r="H361" s="573">
        <f>VLOOKUP(($B361*10)+1,Results,$H$3,FALSE)</f>
        <v>0</v>
      </c>
      <c r="I361" s="495">
        <f>VLOOKUP(($B361*10)+2,Results,$G$3,FALSE)</f>
        <v>0</v>
      </c>
      <c r="J361" s="573">
        <f>VLOOKUP(($B361*10)+2,Results,$H$3,FALSE)</f>
        <v>0</v>
      </c>
      <c r="K361" s="495">
        <f>VLOOKUP(($B361*10)+3,Results,$G$3,FALSE)</f>
        <v>0</v>
      </c>
      <c r="L361" s="573">
        <f>VLOOKUP(($B361*10)+3,Results,$H$3,FALSE)</f>
        <v>0</v>
      </c>
      <c r="M361" s="495">
        <f>VLOOKUP(($B361*10)+4,Results,$G$3,FALSE)</f>
        <v>0</v>
      </c>
      <c r="N361" s="573">
        <f>VLOOKUP(($B361*10)+4,Results,$H$3,FALSE)</f>
        <v>0</v>
      </c>
      <c r="O361" s="495">
        <f>VLOOKUP(($B361*10)+5,Results,$G$3,FALSE)</f>
        <v>0</v>
      </c>
      <c r="P361" s="573">
        <f>VLOOKUP(($B361*10)+5,Results,$H$3,FALSE)</f>
        <v>0</v>
      </c>
      <c r="Q361" s="495">
        <f>VLOOKUP(($B361*10)+6,Results,$G$3,FALSE)</f>
        <v>0</v>
      </c>
      <c r="R361" s="574">
        <f>VLOOKUP(($B361*10)+6,Results,$H$3,FALSE)</f>
        <v>0</v>
      </c>
      <c r="S361" s="496">
        <f>VLOOKUP(($B361*10)+7,Results,$G$3,FALSE)</f>
        <v>0</v>
      </c>
      <c r="T361" s="573">
        <f>VLOOKUP(($B361*10)+7,Results,$H$3,FALSE)</f>
        <v>0</v>
      </c>
      <c r="U361" s="495">
        <f>VLOOKUP(($B361*10)+8,Results,$G$3,FALSE)</f>
        <v>0</v>
      </c>
      <c r="V361" s="528">
        <f>VLOOKUP(($B361*10)+8,Results,$H$3,FALSE)</f>
        <v>0</v>
      </c>
      <c r="W361" s="600">
        <f>VLOOKUP(($B361*10)+1,Results,$I$3,FALSE)</f>
        <v>0</v>
      </c>
      <c r="X361" s="499">
        <f>VLOOKUP(($B361*10)+2,Results,$I$3,FALSE)</f>
        <v>0</v>
      </c>
      <c r="Y361" s="499">
        <f>VLOOKUP(($B361*10)+3,Results,$I$3,FALSE)</f>
        <v>0</v>
      </c>
      <c r="Z361" s="499">
        <f>VLOOKUP(($B361*10)+4,Results,$I$3,FALSE)</f>
        <v>0</v>
      </c>
      <c r="AA361" s="499">
        <f>VLOOKUP(($B361*10)+5,Results,$I$3,FALSE)</f>
        <v>0</v>
      </c>
      <c r="AB361" s="499">
        <f>VLOOKUP(($B361*10)+6,Results,$I$3,FALSE)</f>
        <v>0</v>
      </c>
      <c r="AC361" s="499">
        <f>VLOOKUP(($B361*10)+7,Results,$I$3,FALSE)</f>
        <v>0</v>
      </c>
      <c r="AD361" s="499">
        <f>VLOOKUP(($B361*10)+8,Results,$I$3,FALSE)</f>
        <v>0</v>
      </c>
    </row>
    <row r="362" spans="1:30" x14ac:dyDescent="0.3">
      <c r="A362" s="118" t="str">
        <f>B361&amp;"B"</f>
        <v>69B</v>
      </c>
      <c r="B362" s="506"/>
      <c r="C362" s="572"/>
      <c r="D362" s="479" t="str">
        <f>VLOOKUP(B361,EventsOrder,3,FALSE)</f>
        <v>High Jump (U18/U20)</v>
      </c>
      <c r="E362" s="515" t="s">
        <v>94</v>
      </c>
      <c r="F362" s="529"/>
      <c r="G362" s="547" t="str">
        <f>VLOOKUP(($B361*10)+1,Results,$F$4,FALSE)</f>
        <v/>
      </c>
      <c r="H362" s="517"/>
      <c r="I362" s="548" t="str">
        <f>VLOOKUP(($B361*10)+2,Results,$F$4,FALSE)</f>
        <v/>
      </c>
      <c r="J362" s="517"/>
      <c r="K362" s="548" t="str">
        <f>VLOOKUP(($B361*10)+3,Results,$F$4,FALSE)</f>
        <v/>
      </c>
      <c r="L362" s="517"/>
      <c r="M362" s="548" t="str">
        <f>VLOOKUP(($B361*10)+4,Results,$F$4,FALSE)</f>
        <v/>
      </c>
      <c r="N362" s="517"/>
      <c r="O362" s="548" t="str">
        <f>VLOOKUP(($B361*10)+5,Results,$F$4,FALSE)</f>
        <v/>
      </c>
      <c r="P362" s="517"/>
      <c r="Q362" s="548" t="str">
        <f>VLOOKUP(($B361*10)+6,Results,$F$4,FALSE)</f>
        <v/>
      </c>
      <c r="R362" s="549"/>
      <c r="S362" s="575" t="str">
        <f>VLOOKUP(($B361*10)+7,Results,$F$4,FALSE)</f>
        <v/>
      </c>
      <c r="T362" s="517"/>
      <c r="U362" s="548" t="str">
        <f>VLOOKUP(($B361*10)+8,Results,$F$4,FALSE)</f>
        <v/>
      </c>
      <c r="V362" s="519"/>
      <c r="W362" s="599"/>
      <c r="X362" s="488"/>
      <c r="Y362" s="488"/>
      <c r="Z362" s="488"/>
      <c r="AA362" s="488"/>
      <c r="AB362" s="488"/>
      <c r="AC362" s="488"/>
      <c r="AD362" s="488"/>
    </row>
    <row r="363" spans="1:30" ht="15" thickBot="1" x14ac:dyDescent="0.35">
      <c r="A363" s="118" t="str">
        <f>B361&amp;"B"</f>
        <v>69B</v>
      </c>
      <c r="B363" s="506"/>
      <c r="C363" s="576"/>
      <c r="D363" s="502"/>
      <c r="E363" s="523"/>
      <c r="F363" s="503"/>
      <c r="G363" s="554">
        <f>VLOOKUP(($B361*10)+1,Results,$G$4,FALSE)</f>
        <v>0</v>
      </c>
      <c r="H363" s="573">
        <f>VLOOKUP(($B361*10)+1,Results,$H$4,FALSE)</f>
        <v>0</v>
      </c>
      <c r="I363" s="495">
        <f>VLOOKUP(($B361*10)+2,Results,$G$4,FALSE)</f>
        <v>0</v>
      </c>
      <c r="J363" s="573">
        <f>VLOOKUP(($B361*10)+2,Results,$H$4,FALSE)</f>
        <v>0</v>
      </c>
      <c r="K363" s="495">
        <f>VLOOKUP(($B361*10)+3,Results,$G$4,FALSE)</f>
        <v>0</v>
      </c>
      <c r="L363" s="573">
        <f>VLOOKUP(($B361*10)+3,Results,$H$4,FALSE)</f>
        <v>0</v>
      </c>
      <c r="M363" s="495">
        <f>VLOOKUP(($B361*10)+4,Results,$G$4,FALSE)</f>
        <v>0</v>
      </c>
      <c r="N363" s="573">
        <f>VLOOKUP(($B361*10)+4,Results,$H$4,FALSE)</f>
        <v>0</v>
      </c>
      <c r="O363" s="495">
        <f>VLOOKUP(($B361*10)+5,Results,$G$4,FALSE)</f>
        <v>0</v>
      </c>
      <c r="P363" s="573">
        <f>VLOOKUP(($B361*10)+5,Results,$H$4,FALSE)</f>
        <v>0</v>
      </c>
      <c r="Q363" s="495">
        <f>VLOOKUP(($B361*10)+6,Results,$G$4,FALSE)</f>
        <v>0</v>
      </c>
      <c r="R363" s="574">
        <f>VLOOKUP(($B361*10)+6,Results,$H$4,FALSE)</f>
        <v>0</v>
      </c>
      <c r="S363" s="496">
        <f>VLOOKUP(($B361*10)+7,Results,$G$4,FALSE)</f>
        <v>0</v>
      </c>
      <c r="T363" s="573">
        <f>VLOOKUP(($B361*10)+7,Results,$H$4,FALSE)</f>
        <v>0</v>
      </c>
      <c r="U363" s="495">
        <f>VLOOKUP(($B361*10)+8,Results,$G$4,FALSE)</f>
        <v>0</v>
      </c>
      <c r="V363" s="528">
        <f>VLOOKUP(($B361*10)+8,Results,$H$4,FALSE)</f>
        <v>0</v>
      </c>
      <c r="W363" s="600">
        <f>VLOOKUP(($B361*10)+1,Results,$I$4,FALSE)</f>
        <v>0</v>
      </c>
      <c r="X363" s="499">
        <f>VLOOKUP(($B361*10)+2,Results,$I$4,FALSE)</f>
        <v>0</v>
      </c>
      <c r="Y363" s="499">
        <f>VLOOKUP(($B361*10)+3,Results,$I$4,FALSE)</f>
        <v>0</v>
      </c>
      <c r="Z363" s="499">
        <f>VLOOKUP(($B361*10)+4,Results,$I$4,FALSE)</f>
        <v>0</v>
      </c>
      <c r="AA363" s="499">
        <f>VLOOKUP(($B361*10)+5,Results,$I$4,FALSE)</f>
        <v>0</v>
      </c>
      <c r="AB363" s="499">
        <f>VLOOKUP(($B361*10)+6,Results,$I$4,FALSE)</f>
        <v>0</v>
      </c>
      <c r="AC363" s="499">
        <f>VLOOKUP(($B361*10)+7,Results,$I$4,FALSE)</f>
        <v>0</v>
      </c>
      <c r="AD363" s="499">
        <f>VLOOKUP(($B361*10)+8,Results,$I$4,FALSE)</f>
        <v>0</v>
      </c>
    </row>
    <row r="364" spans="1:30" x14ac:dyDescent="0.3">
      <c r="A364" s="118" t="str">
        <f>B365&amp;"A"</f>
        <v>76A</v>
      </c>
      <c r="B364" s="506"/>
      <c r="C364" s="571"/>
      <c r="D364" s="479" t="str">
        <f>VLOOKUP(B365,EventsOrder,4,FALSE)</f>
        <v>U18 Men</v>
      </c>
      <c r="E364" s="515" t="s">
        <v>149</v>
      </c>
      <c r="F364" s="480"/>
      <c r="G364" s="481" t="str">
        <f>VLOOKUP(($B365*10)+1,Results,$F$3,FALSE)</f>
        <v>Max Roberts</v>
      </c>
      <c r="H364" s="482"/>
      <c r="I364" s="483" t="str">
        <f>VLOOKUP(($B365*10)+2,Results,$F$3,FALSE)</f>
        <v>Noah Latusek</v>
      </c>
      <c r="J364" s="482"/>
      <c r="K364" s="483" t="str">
        <f>VLOOKUP(($B365*10)+3,Results,$F$3,FALSE)</f>
        <v>Tom Stanton</v>
      </c>
      <c r="L364" s="482"/>
      <c r="M364" s="483" t="str">
        <f>VLOOKUP(($B365*10)+4,Results,$F$3,FALSE)</f>
        <v>Miguel Daley</v>
      </c>
      <c r="N364" s="482"/>
      <c r="O364" s="483" t="str">
        <f>VLOOKUP(($B365*10)+5,Results,$F$3,FALSE)</f>
        <v>K'Shein Radcliffe</v>
      </c>
      <c r="P364" s="482"/>
      <c r="Q364" s="483" t="str">
        <f>VLOOKUP(($B365*10)+6,Results,$F$3,FALSE)</f>
        <v/>
      </c>
      <c r="R364" s="484"/>
      <c r="S364" s="485" t="str">
        <f>VLOOKUP(($B365*10)+7,Results,$F$3,FALSE)</f>
        <v/>
      </c>
      <c r="T364" s="482"/>
      <c r="U364" s="483" t="str">
        <f>VLOOKUP(($B365*10)+8,Results,$F$3,FALSE)</f>
        <v/>
      </c>
      <c r="V364" s="486"/>
      <c r="W364" s="599"/>
      <c r="X364" s="488"/>
      <c r="Y364" s="488"/>
      <c r="Z364" s="488"/>
      <c r="AA364" s="488"/>
      <c r="AB364" s="488"/>
      <c r="AC364" s="488"/>
      <c r="AD364" s="488"/>
    </row>
    <row r="365" spans="1:30" x14ac:dyDescent="0.3">
      <c r="A365" s="118" t="str">
        <f>B365&amp;"A"</f>
        <v>76A</v>
      </c>
      <c r="B365" s="24">
        <v>76</v>
      </c>
      <c r="C365" s="572">
        <f>VLOOKUP(B365,EventsOrder,2,FALSE)</f>
        <v>4.3</v>
      </c>
      <c r="D365" s="490"/>
      <c r="E365" s="11"/>
      <c r="F365" s="492"/>
      <c r="G365" s="493" t="str">
        <f>VLOOKUP(($B365*10)+1,Results,$G$3,FALSE)</f>
        <v>Rugby</v>
      </c>
      <c r="H365" s="494">
        <f>VLOOKUP(($B365*10)+1,Results,$H$3,FALSE)</f>
        <v>23.2</v>
      </c>
      <c r="I365" s="495" t="str">
        <f>VLOOKUP(($B365*10)+2,Results,$G$3,FALSE)</f>
        <v>Sol</v>
      </c>
      <c r="J365" s="494">
        <f>VLOOKUP(($B365*10)+2,Results,$H$3,FALSE)</f>
        <v>23.2</v>
      </c>
      <c r="K365" s="495" t="str">
        <f>VLOOKUP(($B365*10)+3,Results,$G$3,FALSE)</f>
        <v>Strat</v>
      </c>
      <c r="L365" s="494">
        <f>VLOOKUP(($B365*10)+3,Results,$H$3,FALSE)</f>
        <v>23.6</v>
      </c>
      <c r="M365" s="495" t="str">
        <f>VLOOKUP(($B365*10)+4,Results,$G$3,FALSE)</f>
        <v>BRAT</v>
      </c>
      <c r="N365" s="494">
        <f>VLOOKUP(($B365*10)+4,Results,$H$3,FALSE)</f>
        <v>25.2</v>
      </c>
      <c r="O365" s="495" t="str">
        <f>VLOOKUP(($B365*10)+5,Results,$G$3,FALSE)</f>
        <v>Royal</v>
      </c>
      <c r="P365" s="494">
        <f>VLOOKUP(($B365*10)+5,Results,$H$3,FALSE)</f>
        <v>25.4</v>
      </c>
      <c r="Q365" s="495">
        <f>VLOOKUP(($B365*10)+6,Results,$G$3,FALSE)</f>
        <v>0</v>
      </c>
      <c r="R365" s="495">
        <f>VLOOKUP(($B365*10)+6,Results,$H$3,FALSE)</f>
        <v>0</v>
      </c>
      <c r="S365" s="496">
        <f>VLOOKUP(($B365*10)+7,Results,$G$3,FALSE)</f>
        <v>0</v>
      </c>
      <c r="T365" s="494">
        <f>VLOOKUP(($B365*10)+7,Results,$H$3,FALSE)</f>
        <v>0</v>
      </c>
      <c r="U365" s="495">
        <f>VLOOKUP(($B365*10)+8,Results,$G$3,FALSE)</f>
        <v>0</v>
      </c>
      <c r="V365" s="497">
        <f>VLOOKUP(($B365*10)+8,Results,$H$3,FALSE)</f>
        <v>0</v>
      </c>
      <c r="W365" s="600">
        <f>VLOOKUP(($B365*10)+1,Results,$I$3,FALSE)</f>
        <v>5</v>
      </c>
      <c r="X365" s="499">
        <f>VLOOKUP(($B365*10)+2,Results,$I$3,FALSE)</f>
        <v>0</v>
      </c>
      <c r="Y365" s="499">
        <f>VLOOKUP(($B365*10)+3,Results,$I$3,FALSE)</f>
        <v>4</v>
      </c>
      <c r="Z365" s="499">
        <f>VLOOKUP(($B365*10)+4,Results,$I$3,FALSE)</f>
        <v>8</v>
      </c>
      <c r="AA365" s="499">
        <f>VLOOKUP(($B365*10)+5,Results,$I$3,FALSE)</f>
        <v>7</v>
      </c>
      <c r="AB365" s="499">
        <f>VLOOKUP(($B365*10)+6,Results,$I$3,FALSE)</f>
        <v>6</v>
      </c>
      <c r="AC365" s="499">
        <f>VLOOKUP(($B365*10)+7,Results,$I$3,FALSE)</f>
        <v>0</v>
      </c>
      <c r="AD365" s="499">
        <f>VLOOKUP(($B365*10)+8,Results,$I$3,FALSE)</f>
        <v>0</v>
      </c>
    </row>
    <row r="366" spans="1:30" x14ac:dyDescent="0.3">
      <c r="A366" s="118" t="str">
        <f>B365&amp;"B"</f>
        <v>76B</v>
      </c>
      <c r="B366" s="506"/>
      <c r="C366" s="572"/>
      <c r="D366" s="479" t="str">
        <f>VLOOKUP(B365,EventsOrder,3,FALSE)</f>
        <v>200m (U18/U20)</v>
      </c>
      <c r="E366" s="515" t="s">
        <v>94</v>
      </c>
      <c r="F366" s="529"/>
      <c r="G366" s="547" t="str">
        <f>VLOOKUP(($B365*10)+1,Results,$F$4,FALSE)</f>
        <v>Ben Hilton</v>
      </c>
      <c r="H366" s="517"/>
      <c r="I366" s="548" t="str">
        <f>VLOOKUP(($B365*10)+2,Results,$F$4,FALSE)</f>
        <v>Isaiah Dominique</v>
      </c>
      <c r="J366" s="517"/>
      <c r="K366" s="548" t="str">
        <f>VLOOKUP(($B365*10)+3,Results,$F$4,FALSE)</f>
        <v>Ted Freeman</v>
      </c>
      <c r="L366" s="517"/>
      <c r="M366" s="548" t="str">
        <f>VLOOKUP(($B365*10)+4,Results,$F$4,FALSE)</f>
        <v/>
      </c>
      <c r="N366" s="517"/>
      <c r="O366" s="548" t="str">
        <f>VLOOKUP(($B365*10)+5,Results,$F$4,FALSE)</f>
        <v/>
      </c>
      <c r="P366" s="517"/>
      <c r="Q366" s="548" t="str">
        <f>VLOOKUP(($B365*10)+6,Results,$F$4,FALSE)</f>
        <v/>
      </c>
      <c r="R366" s="549"/>
      <c r="S366" s="575" t="str">
        <f>VLOOKUP(($B365*10)+7,Results,$F$4,FALSE)</f>
        <v/>
      </c>
      <c r="T366" s="517"/>
      <c r="U366" s="548" t="str">
        <f>VLOOKUP(($B365*10)+8,Results,$F$4,FALSE)</f>
        <v/>
      </c>
      <c r="V366" s="519"/>
      <c r="W366" s="599"/>
      <c r="X366" s="488"/>
      <c r="Y366" s="488"/>
      <c r="Z366" s="488"/>
      <c r="AA366" s="488"/>
      <c r="AB366" s="488"/>
      <c r="AC366" s="488"/>
      <c r="AD366" s="488"/>
    </row>
    <row r="367" spans="1:30" ht="15" thickBot="1" x14ac:dyDescent="0.35">
      <c r="A367" s="118" t="str">
        <f>B365&amp;"B"</f>
        <v>76B</v>
      </c>
      <c r="B367" s="530"/>
      <c r="C367" s="576"/>
      <c r="D367" s="502"/>
      <c r="E367" s="523"/>
      <c r="F367" s="503"/>
      <c r="G367" s="554" t="str">
        <f>VLOOKUP(($B365*10)+1,Results,$G$4,FALSE)</f>
        <v>Sol</v>
      </c>
      <c r="H367" s="577">
        <f>VLOOKUP(($B365*10)+1,Results,$H$4,FALSE)</f>
        <v>23.8</v>
      </c>
      <c r="I367" s="556" t="str">
        <f>VLOOKUP(($B365*10)+2,Results,$G$4,FALSE)</f>
        <v>Royal</v>
      </c>
      <c r="J367" s="577">
        <f>VLOOKUP(($B365*10)+2,Results,$H$4,FALSE)</f>
        <v>24.7</v>
      </c>
      <c r="K367" s="556" t="str">
        <f>VLOOKUP(($B365*10)+3,Results,$G$4,FALSE)</f>
        <v>K&amp;S</v>
      </c>
      <c r="L367" s="577">
        <f>VLOOKUP(($B365*10)+3,Results,$H$4,FALSE)</f>
        <v>24.8</v>
      </c>
      <c r="M367" s="556">
        <f>VLOOKUP(($B365*10)+4,Results,$G$4,FALSE)</f>
        <v>0</v>
      </c>
      <c r="N367" s="577">
        <f>VLOOKUP(($B365*10)+4,Results,$H$4,FALSE)</f>
        <v>0</v>
      </c>
      <c r="O367" s="556">
        <f>VLOOKUP(($B365*10)+5,Results,$G$4,FALSE)</f>
        <v>0</v>
      </c>
      <c r="P367" s="577">
        <f>VLOOKUP(($B365*10)+5,Results,$H$4,FALSE)</f>
        <v>0</v>
      </c>
      <c r="Q367" s="556">
        <f>VLOOKUP(($B365*10)+6,Results,$G$4,FALSE)</f>
        <v>0</v>
      </c>
      <c r="R367" s="577">
        <f>VLOOKUP(($B365*10)+6,Results,$H$4,FALSE)</f>
        <v>0</v>
      </c>
      <c r="S367" s="556">
        <f>VLOOKUP(($B365*10)+7,Results,$G$4,FALSE)</f>
        <v>0</v>
      </c>
      <c r="T367" s="577">
        <f>VLOOKUP(($B365*10)+7,Results,$H$4,FALSE)</f>
        <v>0</v>
      </c>
      <c r="U367" s="556">
        <f>VLOOKUP(($B365*10)+8,Results,$G$4,FALSE)</f>
        <v>0</v>
      </c>
      <c r="V367" s="578">
        <f>VLOOKUP(($B365*10)+8,Results,$H$4,FALSE)</f>
        <v>0</v>
      </c>
      <c r="W367" s="600">
        <f>VLOOKUP(($B365*10)+1,Results,$I$4,FALSE)</f>
        <v>0</v>
      </c>
      <c r="X367" s="499">
        <f>VLOOKUP(($B365*10)+2,Results,$I$4,FALSE)</f>
        <v>6</v>
      </c>
      <c r="Y367" s="499">
        <f>VLOOKUP(($B365*10)+3,Results,$I$4,FALSE)</f>
        <v>7</v>
      </c>
      <c r="Z367" s="499">
        <f>VLOOKUP(($B365*10)+4,Results,$I$4,FALSE)</f>
        <v>0</v>
      </c>
      <c r="AA367" s="499">
        <f>VLOOKUP(($B365*10)+5,Results,$I$4,FALSE)</f>
        <v>8</v>
      </c>
      <c r="AB367" s="499">
        <f>VLOOKUP(($B365*10)+6,Results,$I$4,FALSE)</f>
        <v>0</v>
      </c>
      <c r="AC367" s="499">
        <f>VLOOKUP(($B365*10)+7,Results,$I$4,FALSE)</f>
        <v>0</v>
      </c>
      <c r="AD367" s="499">
        <f>VLOOKUP(($B365*10)+8,Results,$I$4,FALSE)</f>
        <v>0</v>
      </c>
    </row>
    <row r="368" spans="1:30" x14ac:dyDescent="0.3">
      <c r="A368" s="118" t="str">
        <f>B369&amp;"A"</f>
        <v>87A</v>
      </c>
      <c r="B368" s="506"/>
      <c r="C368" s="524"/>
      <c r="F368" s="480"/>
      <c r="G368" s="481" t="str">
        <f>VLOOKUP(($B369*10)+1,Results,$F$3,FALSE)</f>
        <v>Stratford</v>
      </c>
      <c r="H368" s="482"/>
      <c r="I368" s="483" t="str">
        <f>VLOOKUP(($B369*10)+2,Results,$F$3,FALSE)</f>
        <v/>
      </c>
      <c r="J368" s="484"/>
      <c r="K368" s="485" t="str">
        <f>VLOOKUP(($B369*10)+3,Results,$F$3,FALSE)</f>
        <v/>
      </c>
      <c r="L368" s="482"/>
      <c r="M368" s="483" t="str">
        <f>VLOOKUP(($B369*10)+4,Results,$F$3,FALSE)</f>
        <v/>
      </c>
      <c r="N368" s="482"/>
      <c r="O368" s="483" t="str">
        <f>VLOOKUP(($B369*10)+5,Results,$F$3,FALSE)</f>
        <v/>
      </c>
      <c r="P368" s="482"/>
      <c r="Q368" s="483" t="str">
        <f>VLOOKUP(($B369*10)+6,Results,$F$3,FALSE)</f>
        <v/>
      </c>
      <c r="R368" s="484"/>
      <c r="S368" s="485" t="str">
        <f>VLOOKUP(($B369*10)+7,Results,$F$3,FALSE)</f>
        <v/>
      </c>
      <c r="T368" s="482"/>
      <c r="U368" s="483" t="str">
        <f>VLOOKUP(($B369*10)+8,Results,$F$3,FALSE)</f>
        <v/>
      </c>
      <c r="V368" s="486"/>
      <c r="W368" s="599"/>
      <c r="X368" s="488"/>
      <c r="Y368" s="488"/>
      <c r="Z368" s="488"/>
      <c r="AA368" s="488"/>
      <c r="AB368" s="488"/>
      <c r="AC368" s="488"/>
      <c r="AD368" s="488"/>
    </row>
    <row r="369" spans="1:30" x14ac:dyDescent="0.3">
      <c r="A369" s="118" t="str">
        <f>B369&amp;"A"</f>
        <v>87A</v>
      </c>
      <c r="B369" s="24">
        <v>87</v>
      </c>
      <c r="C369" s="221">
        <f>VLOOKUP(B369,EventsOrder,2,FALSE)</f>
        <v>5.15</v>
      </c>
      <c r="D369" s="490" t="str">
        <f>VLOOKUP(B369,EventsOrder,4,FALSE)</f>
        <v>U18 Men</v>
      </c>
      <c r="E369" s="491"/>
      <c r="F369" s="492"/>
      <c r="G369" s="493" t="str">
        <f>VLOOKUP(($B369*10)+1,Results,$F$3-1,FALSE)</f>
        <v>D - Strat</v>
      </c>
      <c r="H369" s="505">
        <f>VLOOKUP(($B369*10)+1,Results,$H$3,FALSE)</f>
        <v>47.2</v>
      </c>
      <c r="I369" s="495" t="str">
        <f>VLOOKUP(($B369*10)+2,Results,$F$3-1,FALSE)</f>
        <v/>
      </c>
      <c r="J369" s="505">
        <f>VLOOKUP(($B369*10)+2,Results,$H$3,FALSE)</f>
        <v>0</v>
      </c>
      <c r="K369" s="495" t="str">
        <f>VLOOKUP(($B369*10)+3,Results,$F$3-1,FALSE)</f>
        <v/>
      </c>
      <c r="L369" s="505">
        <f>VLOOKUP(($B369*10)+3,Results,$H$3,FALSE)</f>
        <v>0</v>
      </c>
      <c r="M369" s="495" t="str">
        <f>VLOOKUP(($B369*10)+4,Results,$F$3-1,FALSE)</f>
        <v/>
      </c>
      <c r="N369" s="505">
        <f>VLOOKUP(($B369*10)+4,Results,$H$3,FALSE)</f>
        <v>0</v>
      </c>
      <c r="O369" s="495" t="str">
        <f>VLOOKUP(($B369*10)+5,Results,$F$3-1,FALSE)</f>
        <v/>
      </c>
      <c r="P369" s="505">
        <f>VLOOKUP(($B369*10)+5,Results,$H$3,FALSE)</f>
        <v>0</v>
      </c>
      <c r="Q369" s="495" t="str">
        <f>VLOOKUP(($B369*10)+6,Results,$F$3-1,FALSE)</f>
        <v/>
      </c>
      <c r="R369" s="505">
        <f>VLOOKUP(($B369*10)+6,Results,$H$3,FALSE)</f>
        <v>0</v>
      </c>
      <c r="S369" s="495" t="str">
        <f>VLOOKUP(($B369*10)+7,Results,$F$3-1,FALSE)</f>
        <v/>
      </c>
      <c r="T369" s="505">
        <f>VLOOKUP(($B369*10)+7,Results,$H$3,FALSE)</f>
        <v>0</v>
      </c>
      <c r="U369" s="495" t="str">
        <f>VLOOKUP(($B369*10)+8,Results,$F$3-1,FALSE)</f>
        <v/>
      </c>
      <c r="V369" s="601">
        <f>VLOOKUP(($B369*10)+8,Results,$H$3,FALSE)</f>
        <v>0</v>
      </c>
      <c r="W369" s="600">
        <f>VLOOKUP(($B369*10)+1,Results,$I$3,FALSE)</f>
        <v>0</v>
      </c>
      <c r="X369" s="499">
        <f>VLOOKUP(($B369*10)+2,Results,$I$3,FALSE)</f>
        <v>0</v>
      </c>
      <c r="Y369" s="499">
        <f>VLOOKUP(($B369*10)+3,Results,$I$3,FALSE)</f>
        <v>0</v>
      </c>
      <c r="Z369" s="499">
        <f>VLOOKUP(($B369*10)+4,Results,$I$3,FALSE)</f>
        <v>0</v>
      </c>
      <c r="AA369" s="499">
        <f>VLOOKUP(($B369*10)+5,Results,$I$3,FALSE)</f>
        <v>0</v>
      </c>
      <c r="AB369" s="499">
        <f>VLOOKUP(($B369*10)+6,Results,$I$3,FALSE)</f>
        <v>8</v>
      </c>
      <c r="AC369" s="499">
        <f>VLOOKUP(($B369*10)+7,Results,$I$3,FALSE)</f>
        <v>0</v>
      </c>
      <c r="AD369" s="499">
        <f>VLOOKUP(($B369*10)+8,Results,$I$3,FALSE)</f>
        <v>0</v>
      </c>
    </row>
    <row r="370" spans="1:30" x14ac:dyDescent="0.3">
      <c r="A370" s="118" t="str">
        <f>B369&amp;"B"</f>
        <v>87B</v>
      </c>
      <c r="B370" s="417"/>
      <c r="C370" s="550"/>
      <c r="D370" s="85"/>
      <c r="E370" s="56"/>
      <c r="F370" s="534">
        <v>1</v>
      </c>
      <c r="G370" s="608" t="str">
        <f>IF(LEN(G$369)&gt;1,HLOOKUP(G$369,Relays,$A513,FALSE),"")</f>
        <v>Carter McKenzie</v>
      </c>
      <c r="H370" s="558"/>
      <c r="I370" s="559" t="str">
        <f>IF(LEN(I$369)&gt;1,HLOOKUP(I$369,Relays,$A513,FALSE),"")</f>
        <v/>
      </c>
      <c r="J370" s="560"/>
      <c r="K370" s="559" t="str">
        <f>IF(LEN(K$369)&gt;1,HLOOKUP(K$369,Relays,$A513,FALSE),"")</f>
        <v/>
      </c>
      <c r="L370" s="560"/>
      <c r="M370" s="559" t="str">
        <f>IF(LEN(M$369)&gt;1,HLOOKUP(M$369,Relays,$A513,FALSE),"")</f>
        <v/>
      </c>
      <c r="N370" s="583"/>
      <c r="O370" s="559" t="str">
        <f>IF(LEN(O$369)&gt;1,HLOOKUP(O$369,Relays,$A513,FALSE),"")</f>
        <v/>
      </c>
      <c r="P370" s="561"/>
      <c r="Q370" s="559" t="str">
        <f>IF(LEN(Q$369)&gt;1,HLOOKUP(Q$369,Relays,$A513,FALSE),"")</f>
        <v/>
      </c>
      <c r="R370" s="561"/>
      <c r="S370" s="559" t="str">
        <f>IF(LEN(S$369)&gt;1,HLOOKUP(S$369,Relays,$A513,FALSE),"")</f>
        <v/>
      </c>
      <c r="T370" s="561"/>
      <c r="U370" s="559" t="str">
        <f>IF(LEN(U$369)&gt;1,HLOOKUP(U$369,Relays,$A513,FALSE),"")</f>
        <v/>
      </c>
      <c r="V370" s="584"/>
      <c r="W370" s="606"/>
      <c r="X370" s="512"/>
      <c r="Y370" s="512"/>
      <c r="Z370" s="512"/>
      <c r="AA370" s="512"/>
      <c r="AB370" s="512"/>
      <c r="AC370" s="512"/>
      <c r="AD370" s="512"/>
    </row>
    <row r="371" spans="1:30" x14ac:dyDescent="0.3">
      <c r="A371" s="118" t="str">
        <f>B369&amp;"B"</f>
        <v>87B</v>
      </c>
      <c r="B371" s="506"/>
      <c r="D371" s="479" t="str">
        <f>VLOOKUP(B369,EventsOrder,3,FALSE)</f>
        <v>4 x 100m (U18/U20)</v>
      </c>
      <c r="E371" s="56"/>
      <c r="F371" s="534">
        <v>2</v>
      </c>
      <c r="G371" s="609" t="str">
        <f>IF(LEN(G$369)&gt;1,HLOOKUP(G$369,Relays,$A514,FALSE),"")</f>
        <v>Zac Birch</v>
      </c>
      <c r="H371" s="562"/>
      <c r="I371" s="557" t="str">
        <f>IF(LEN(I$369)&gt;1,HLOOKUP(I$369,Relays,$A514,FALSE),"")</f>
        <v/>
      </c>
      <c r="J371" s="562"/>
      <c r="K371" s="557" t="str">
        <f>IF(LEN(K$369)&gt;1,HLOOKUP(K$369,Relays,$A514,FALSE),"")</f>
        <v/>
      </c>
      <c r="L371" s="562"/>
      <c r="M371" s="557" t="str">
        <f>IF(LEN(M$369)&gt;1,HLOOKUP(M$369,Relays,$A514,FALSE),"")</f>
        <v/>
      </c>
      <c r="N371" s="562"/>
      <c r="O371" s="557" t="str">
        <f>IF(LEN(O$369)&gt;1,HLOOKUP(O$369,Relays,$A514,FALSE),"")</f>
        <v/>
      </c>
      <c r="P371" s="562"/>
      <c r="Q371" s="557" t="str">
        <f>IF(LEN(Q$369)&gt;1,HLOOKUP(Q$369,Relays,$A514,FALSE),"")</f>
        <v/>
      </c>
      <c r="R371" s="562"/>
      <c r="S371" s="557" t="str">
        <f>IF(LEN(S$369)&gt;1,HLOOKUP(S$369,Relays,$A514,FALSE),"")</f>
        <v/>
      </c>
      <c r="T371" s="562"/>
      <c r="U371" s="557" t="str">
        <f>IF(LEN(U$369)&gt;1,HLOOKUP(U$369,Relays,$A514,FALSE),"")</f>
        <v/>
      </c>
      <c r="V371" s="586"/>
      <c r="W371" s="606"/>
      <c r="X371" s="512"/>
      <c r="Y371" s="512"/>
      <c r="Z371" s="512"/>
      <c r="AA371" s="512"/>
      <c r="AB371" s="512"/>
      <c r="AC371" s="512"/>
      <c r="AD371" s="512"/>
    </row>
    <row r="372" spans="1:30" x14ac:dyDescent="0.3">
      <c r="A372" s="118" t="str">
        <f>B369&amp;"R"</f>
        <v>87R</v>
      </c>
      <c r="B372" s="506"/>
      <c r="C372" s="550"/>
      <c r="E372" s="56"/>
      <c r="F372" s="534">
        <v>3</v>
      </c>
      <c r="G372" s="609" t="str">
        <f>IF(LEN(G$369)&gt;1,HLOOKUP(G$369,Relays,$A515,FALSE),"")</f>
        <v>Toby Hughes Webb</v>
      </c>
      <c r="H372" s="560"/>
      <c r="I372" s="557" t="str">
        <f>IF(LEN(I$369)&gt;1,HLOOKUP(I$369,Relays,$A515,FALSE),"")</f>
        <v/>
      </c>
      <c r="J372" s="560"/>
      <c r="K372" s="557" t="str">
        <f>IF(LEN(K$369)&gt;1,HLOOKUP(K$369,Relays,$A515,FALSE),"")</f>
        <v/>
      </c>
      <c r="L372" s="560"/>
      <c r="M372" s="557" t="str">
        <f>IF(LEN(M$369)&gt;1,HLOOKUP(M$369,Relays,$A515,FALSE),"")</f>
        <v/>
      </c>
      <c r="N372" s="560"/>
      <c r="O372" s="557" t="str">
        <f>IF(LEN(O$369)&gt;1,HLOOKUP(O$369,Relays,$A515,FALSE),"")</f>
        <v/>
      </c>
      <c r="P372" s="560"/>
      <c r="Q372" s="557" t="str">
        <f>IF(LEN(Q$369)&gt;1,HLOOKUP(Q$369,Relays,$A515,FALSE),"")</f>
        <v/>
      </c>
      <c r="R372" s="560"/>
      <c r="S372" s="557" t="str">
        <f>IF(LEN(S$369)&gt;1,HLOOKUP(S$369,Relays,$A515,FALSE),"")</f>
        <v/>
      </c>
      <c r="T372" s="560"/>
      <c r="U372" s="557" t="str">
        <f>IF(LEN(U$369)&gt;1,HLOOKUP(U$369,Relays,$A515,FALSE),"")</f>
        <v/>
      </c>
      <c r="V372" s="586"/>
      <c r="W372" s="606"/>
      <c r="X372" s="488"/>
      <c r="Y372" s="488"/>
      <c r="Z372" s="488"/>
      <c r="AA372" s="488"/>
      <c r="AB372" s="488"/>
      <c r="AC372" s="488"/>
      <c r="AD372" s="488"/>
    </row>
    <row r="373" spans="1:30" ht="15" thickBot="1" x14ac:dyDescent="0.35">
      <c r="A373" s="118" t="str">
        <f>B369&amp;"S"</f>
        <v>87S</v>
      </c>
      <c r="B373" s="506"/>
      <c r="C373" s="501"/>
      <c r="D373" s="502"/>
      <c r="E373" s="116"/>
      <c r="F373" s="563">
        <v>4</v>
      </c>
      <c r="G373" s="610" t="str">
        <f>IF(LEN(G$369)&gt;1,HLOOKUP(G$369,Relays,$A516,FALSE),"")</f>
        <v xml:space="preserve">Jasper Cooper </v>
      </c>
      <c r="H373" s="565"/>
      <c r="I373" s="564" t="str">
        <f>IF(LEN(I$369)&gt;1,HLOOKUP(I$369,Relays,$A516,FALSE),"")</f>
        <v/>
      </c>
      <c r="J373" s="565"/>
      <c r="K373" s="564" t="str">
        <f>IF(LEN(K$369)&gt;1,HLOOKUP(K$369,Relays,$A516,FALSE),"")</f>
        <v/>
      </c>
      <c r="L373" s="565"/>
      <c r="M373" s="564" t="str">
        <f>IF(LEN(M$369)&gt;1,HLOOKUP(M$369,Relays,$A516,FALSE),"")</f>
        <v/>
      </c>
      <c r="N373" s="565"/>
      <c r="O373" s="564" t="str">
        <f>IF(LEN(O$369)&gt;1,HLOOKUP(O$369,Relays,$A516,FALSE),"")</f>
        <v/>
      </c>
      <c r="P373" s="565"/>
      <c r="Q373" s="564" t="str">
        <f>IF(LEN(Q$369)&gt;1,HLOOKUP(Q$369,Relays,$A516,FALSE),"")</f>
        <v/>
      </c>
      <c r="R373" s="565"/>
      <c r="S373" s="564" t="str">
        <f>IF(LEN(S$369)&gt;1,HLOOKUP(S$369,Relays,$A516,FALSE),"")</f>
        <v/>
      </c>
      <c r="T373" s="565"/>
      <c r="U373" s="564" t="str">
        <f>IF(LEN(U$369)&gt;1,HLOOKUP(U$369,Relays,$A516,FALSE),"")</f>
        <v/>
      </c>
      <c r="V373" s="588"/>
      <c r="W373" s="607"/>
      <c r="X373" s="521"/>
      <c r="Y373" s="521"/>
      <c r="Z373" s="521"/>
      <c r="AA373" s="521"/>
      <c r="AB373" s="521"/>
      <c r="AC373" s="521"/>
      <c r="AD373" s="521"/>
    </row>
    <row r="374" spans="1:30" x14ac:dyDescent="0.3">
      <c r="B374" s="589"/>
      <c r="C374" s="535"/>
      <c r="D374" s="535"/>
      <c r="E374" s="566"/>
      <c r="F374" s="535"/>
      <c r="G374" s="85"/>
      <c r="H374" s="85"/>
      <c r="I374" s="85"/>
      <c r="J374" s="85"/>
      <c r="K374" s="85"/>
      <c r="L374" s="85"/>
      <c r="M374" s="85"/>
      <c r="N374" s="85"/>
      <c r="O374" s="85"/>
      <c r="P374" s="85"/>
      <c r="Q374" s="85"/>
      <c r="R374" s="85"/>
      <c r="S374" s="85"/>
      <c r="T374" s="85"/>
      <c r="U374" s="85" t="s">
        <v>297</v>
      </c>
      <c r="V374" s="85"/>
      <c r="W374" s="590">
        <f>Officials!C$20</f>
        <v>14</v>
      </c>
      <c r="X374" s="591">
        <f>Officials!D$20</f>
        <v>14</v>
      </c>
      <c r="Y374" s="591">
        <f>Officials!E$20</f>
        <v>12</v>
      </c>
      <c r="Z374" s="591">
        <f>Officials!F$20</f>
        <v>14</v>
      </c>
      <c r="AA374" s="591">
        <f>Officials!G$20</f>
        <v>14</v>
      </c>
      <c r="AB374" s="591">
        <f>Officials!H$20</f>
        <v>14</v>
      </c>
      <c r="AC374" s="591">
        <f>Officials!I$20</f>
        <v>14</v>
      </c>
      <c r="AD374" s="592">
        <f>Officials!J$20</f>
        <v>14</v>
      </c>
    </row>
    <row r="375" spans="1:30" ht="15" thickBot="1" x14ac:dyDescent="0.35">
      <c r="B375" s="534">
        <f>COUNTIF(B325:B374,"&gt;0")</f>
        <v>12</v>
      </c>
      <c r="C375" s="535"/>
      <c r="D375" s="535"/>
      <c r="E375" s="566"/>
      <c r="F375" s="535"/>
      <c r="G375" s="85"/>
      <c r="H375" s="85"/>
      <c r="I375" s="85"/>
      <c r="J375" s="85"/>
      <c r="K375" s="85"/>
      <c r="L375" s="85"/>
      <c r="M375" s="85"/>
      <c r="N375" s="85"/>
      <c r="O375" s="85"/>
      <c r="P375" s="85"/>
      <c r="Q375" s="85"/>
      <c r="R375" s="85"/>
      <c r="S375" s="85"/>
      <c r="T375" s="85"/>
      <c r="U375" s="85" t="s">
        <v>295</v>
      </c>
      <c r="V375" s="85"/>
      <c r="W375" s="593">
        <f t="shared" ref="W375:AD375" si="26">SUM(W324:W374)</f>
        <v>56</v>
      </c>
      <c r="X375" s="537">
        <f t="shared" si="26"/>
        <v>57</v>
      </c>
      <c r="Y375" s="537">
        <f t="shared" si="26"/>
        <v>51</v>
      </c>
      <c r="Z375" s="537">
        <f t="shared" si="26"/>
        <v>53</v>
      </c>
      <c r="AA375" s="537">
        <f t="shared" si="26"/>
        <v>53</v>
      </c>
      <c r="AB375" s="537">
        <f t="shared" si="26"/>
        <v>124</v>
      </c>
      <c r="AC375" s="537">
        <f t="shared" si="26"/>
        <v>30</v>
      </c>
      <c r="AD375" s="538">
        <f t="shared" si="26"/>
        <v>21</v>
      </c>
    </row>
    <row r="376" spans="1:30" ht="15.6" thickTop="1" thickBot="1" x14ac:dyDescent="0.35">
      <c r="B376" s="617"/>
      <c r="C376" s="535"/>
      <c r="D376" s="535"/>
      <c r="E376" s="566"/>
      <c r="F376" s="535"/>
      <c r="G376" s="85"/>
      <c r="H376" s="85"/>
      <c r="I376" s="85"/>
      <c r="J376" s="85"/>
      <c r="K376" s="85"/>
      <c r="L376" s="85"/>
      <c r="M376" s="85"/>
      <c r="N376" s="85"/>
      <c r="O376" s="85"/>
      <c r="P376" s="85"/>
      <c r="Q376" s="85"/>
      <c r="R376" s="85"/>
      <c r="S376" s="85"/>
      <c r="T376" s="85"/>
      <c r="U376" s="85" t="s">
        <v>27</v>
      </c>
      <c r="V376" s="535"/>
      <c r="W376" s="540">
        <f t="shared" ref="W376:AD376" si="27">RANK(W375,$W375:$AD375)</f>
        <v>3</v>
      </c>
      <c r="X376" s="541">
        <f t="shared" si="27"/>
        <v>2</v>
      </c>
      <c r="Y376" s="541">
        <f t="shared" si="27"/>
        <v>6</v>
      </c>
      <c r="Z376" s="541">
        <f t="shared" si="27"/>
        <v>4</v>
      </c>
      <c r="AA376" s="541">
        <f t="shared" si="27"/>
        <v>4</v>
      </c>
      <c r="AB376" s="541">
        <f t="shared" si="27"/>
        <v>1</v>
      </c>
      <c r="AC376" s="541">
        <f t="shared" si="27"/>
        <v>7</v>
      </c>
      <c r="AD376" s="542">
        <f t="shared" si="27"/>
        <v>8</v>
      </c>
    </row>
    <row r="377" spans="1:30" ht="15" thickBot="1" x14ac:dyDescent="0.35">
      <c r="B377" s="617"/>
      <c r="C377" s="535"/>
      <c r="D377" s="535"/>
      <c r="E377" s="566"/>
      <c r="F377" s="535"/>
      <c r="G377" s="85"/>
      <c r="H377" s="85"/>
      <c r="I377" s="85"/>
      <c r="J377" s="85"/>
      <c r="K377" s="85"/>
      <c r="L377" s="85"/>
      <c r="M377" s="85"/>
      <c r="N377" s="85"/>
      <c r="O377" s="85"/>
      <c r="P377" s="85"/>
      <c r="Q377" s="85"/>
      <c r="R377" s="85"/>
      <c r="S377" s="85"/>
      <c r="T377" s="85"/>
      <c r="U377" s="543"/>
      <c r="V377" s="535"/>
      <c r="W377" s="544"/>
      <c r="X377" s="544"/>
      <c r="Y377" s="544"/>
      <c r="Z377" s="544"/>
      <c r="AA377" s="544"/>
      <c r="AB377" s="544"/>
      <c r="AC377" s="544"/>
      <c r="AD377" s="544"/>
    </row>
    <row r="378" spans="1:30" ht="39.75" customHeight="1" x14ac:dyDescent="0.3">
      <c r="A378" s="424"/>
      <c r="B378" s="1415" t="s">
        <v>258</v>
      </c>
      <c r="C378" s="448"/>
      <c r="D378" s="468"/>
      <c r="E378" s="469"/>
      <c r="F378" s="467"/>
      <c r="G378" s="567"/>
      <c r="H378" s="567"/>
      <c r="I378" s="568"/>
      <c r="J378" s="567"/>
      <c r="K378" s="689" t="str">
        <f>K321</f>
        <v>Heart of England League Results</v>
      </c>
      <c r="L378" s="569"/>
      <c r="M378" s="568"/>
      <c r="N378" s="567"/>
      <c r="O378" s="567"/>
      <c r="P378" s="569"/>
      <c r="Q378" s="568"/>
      <c r="R378" s="569"/>
      <c r="S378" s="473"/>
      <c r="T378" s="569"/>
      <c r="U378" s="568"/>
      <c r="V378" s="569"/>
      <c r="W378" s="1411" t="str">
        <f>W$8</f>
        <v>BRAT</v>
      </c>
      <c r="X378" s="1411" t="str">
        <f t="shared" ref="X378:AD378" si="28">X$8</f>
        <v>Kidder &amp; Stourport</v>
      </c>
      <c r="Y378" s="1411" t="str">
        <f t="shared" si="28"/>
        <v>Royal Sutton</v>
      </c>
      <c r="Z378" s="1411" t="str">
        <f t="shared" si="28"/>
        <v>Rugby &amp; N'hampton</v>
      </c>
      <c r="AA378" s="1411" t="str">
        <f t="shared" si="28"/>
        <v>Solihull &amp; S.Heath</v>
      </c>
      <c r="AB378" s="1411" t="str">
        <f t="shared" si="28"/>
        <v>Stratford</v>
      </c>
      <c r="AC378" s="1411" t="str">
        <f t="shared" si="28"/>
        <v>Tamworth</v>
      </c>
      <c r="AD378" s="1411" t="str">
        <f t="shared" si="28"/>
        <v>Worcester</v>
      </c>
    </row>
    <row r="379" spans="1:30" ht="39.75" customHeight="1" thickBot="1" x14ac:dyDescent="0.35">
      <c r="A379" s="424"/>
      <c r="B379" s="1416"/>
      <c r="C379" s="455"/>
      <c r="D379" s="456" t="s">
        <v>64</v>
      </c>
      <c r="E379" s="457">
        <f>E322</f>
        <v>1</v>
      </c>
      <c r="F379" s="457"/>
      <c r="G379" s="56"/>
      <c r="H379" s="618" t="s">
        <v>486</v>
      </c>
      <c r="I379" s="459"/>
      <c r="J379" s="433"/>
      <c r="K379" s="460" t="s">
        <v>67</v>
      </c>
      <c r="L379" s="461" t="str">
        <f>L322</f>
        <v>Rugby &amp; N'hampton</v>
      </c>
      <c r="M379" s="459"/>
      <c r="N379" s="459"/>
      <c r="O379" s="459"/>
      <c r="P379" s="456"/>
      <c r="Q379" s="460" t="s">
        <v>66</v>
      </c>
      <c r="R379" s="463" t="str">
        <f>R322</f>
        <v>17th May 2026</v>
      </c>
      <c r="S379" s="459"/>
      <c r="T379" s="459"/>
      <c r="U379" s="459"/>
      <c r="V379" s="459"/>
      <c r="W379" s="1412"/>
      <c r="X379" s="1412"/>
      <c r="Y379" s="1412"/>
      <c r="Z379" s="1412"/>
      <c r="AA379" s="1412"/>
      <c r="AB379" s="1412"/>
      <c r="AC379" s="1412"/>
      <c r="AD379" s="1412"/>
    </row>
    <row r="380" spans="1:30" ht="15" thickBot="1" x14ac:dyDescent="0.35">
      <c r="B380" s="619"/>
      <c r="C380" s="611" t="s">
        <v>168</v>
      </c>
      <c r="D380" s="33" t="s">
        <v>165</v>
      </c>
      <c r="E380" s="476"/>
      <c r="F380" s="546"/>
      <c r="G380" s="1413" t="s">
        <v>286</v>
      </c>
      <c r="H380" s="1413"/>
      <c r="I380" s="1414" t="s">
        <v>287</v>
      </c>
      <c r="J380" s="1414"/>
      <c r="K380" s="1414" t="s">
        <v>288</v>
      </c>
      <c r="L380" s="1414"/>
      <c r="M380" s="1414" t="s">
        <v>289</v>
      </c>
      <c r="N380" s="1414"/>
      <c r="O380" s="1414" t="s">
        <v>290</v>
      </c>
      <c r="P380" s="1414"/>
      <c r="Q380" s="1414" t="s">
        <v>291</v>
      </c>
      <c r="R380" s="1414"/>
      <c r="S380" s="1414" t="s">
        <v>292</v>
      </c>
      <c r="T380" s="1414"/>
      <c r="U380" s="1414" t="s">
        <v>293</v>
      </c>
      <c r="V380" s="1414"/>
      <c r="W380" s="477" t="str">
        <f>W$10</f>
        <v>S</v>
      </c>
      <c r="X380" s="477" t="str">
        <f t="shared" ref="X380:AD380" si="29">X$10</f>
        <v>U</v>
      </c>
      <c r="Y380" s="477" t="str">
        <f t="shared" si="29"/>
        <v>G</v>
      </c>
      <c r="Z380" s="477" t="str">
        <f t="shared" si="29"/>
        <v>R</v>
      </c>
      <c r="AA380" s="477" t="str">
        <f t="shared" si="29"/>
        <v>M</v>
      </c>
      <c r="AB380" s="477" t="str">
        <f t="shared" si="29"/>
        <v>D</v>
      </c>
      <c r="AC380" s="477" t="str">
        <f t="shared" si="29"/>
        <v>F</v>
      </c>
      <c r="AD380" s="477" t="str">
        <f t="shared" si="29"/>
        <v>Y</v>
      </c>
    </row>
    <row r="381" spans="1:30" x14ac:dyDescent="0.3">
      <c r="A381" s="118" t="str">
        <f>B382&amp;"A"</f>
        <v>4A</v>
      </c>
      <c r="B381" s="506"/>
      <c r="C381" s="571"/>
      <c r="D381" s="479" t="str">
        <f>VLOOKUP(B382,EventsOrder,4,FALSE)</f>
        <v>U18 Female</v>
      </c>
      <c r="E381" s="515" t="s">
        <v>149</v>
      </c>
      <c r="F381" s="480"/>
      <c r="G381" s="481" t="str">
        <f>VLOOKUP(($B382*10)+1,Results,$F$3,FALSE)</f>
        <v>Marijke Tear-Verweij</v>
      </c>
      <c r="H381" s="482"/>
      <c r="I381" s="483" t="str">
        <f>VLOOKUP(($B382*10)+2,Results,$F$3,FALSE)</f>
        <v>Katie Straw</v>
      </c>
      <c r="J381" s="482"/>
      <c r="K381" s="483" t="str">
        <f>VLOOKUP(($B382*10)+3,Results,$F$3,FALSE)</f>
        <v/>
      </c>
      <c r="L381" s="482"/>
      <c r="M381" s="483" t="str">
        <f>VLOOKUP(($B382*10)+4,Results,$F$3,FALSE)</f>
        <v/>
      </c>
      <c r="N381" s="482"/>
      <c r="O381" s="483" t="str">
        <f>VLOOKUP(($B382*10)+5,Results,$F$3,FALSE)</f>
        <v/>
      </c>
      <c r="P381" s="482"/>
      <c r="Q381" s="483" t="str">
        <f>VLOOKUP(($B382*10)+6,Results,$F$3,FALSE)</f>
        <v/>
      </c>
      <c r="R381" s="484"/>
      <c r="S381" s="485" t="str">
        <f>VLOOKUP(($B382*10)+7,Results,$F$3,FALSE)</f>
        <v/>
      </c>
      <c r="T381" s="482"/>
      <c r="U381" s="483" t="str">
        <f>VLOOKUP(($B382*10)+8,Results,$F$3,FALSE)</f>
        <v/>
      </c>
      <c r="V381" s="486"/>
      <c r="W381" s="599"/>
      <c r="X381" s="488"/>
      <c r="Y381" s="488"/>
      <c r="Z381" s="488"/>
      <c r="AA381" s="488"/>
      <c r="AB381" s="488"/>
      <c r="AC381" s="488"/>
      <c r="AD381" s="488"/>
    </row>
    <row r="382" spans="1:30" x14ac:dyDescent="0.3">
      <c r="A382" s="118" t="str">
        <f>B382&amp;"A"</f>
        <v>4A</v>
      </c>
      <c r="B382" s="24">
        <v>4</v>
      </c>
      <c r="C382" s="572">
        <f>VLOOKUP(B382,EventsOrder,2,FALSE)</f>
        <v>11.2</v>
      </c>
      <c r="D382" s="490"/>
      <c r="E382" s="11"/>
      <c r="F382" s="492"/>
      <c r="G382" s="493" t="str">
        <f>VLOOKUP(($B382*10)+1,Results,$G$3,FALSE)</f>
        <v>Strat</v>
      </c>
      <c r="H382" s="494" t="str">
        <f>VLOOKUP(($B382*10)+1,Results,$H$3,FALSE)</f>
        <v>5.15.6</v>
      </c>
      <c r="I382" s="495" t="str">
        <f>VLOOKUP(($B382*10)+2,Results,$G$3,FALSE)</f>
        <v>Royal</v>
      </c>
      <c r="J382" s="494" t="str">
        <f>VLOOKUP(($B382*10)+2,Results,$H$3,FALSE)</f>
        <v>5.35.9</v>
      </c>
      <c r="K382" s="495">
        <f>VLOOKUP(($B382*10)+3,Results,$G$3,FALSE)</f>
        <v>0</v>
      </c>
      <c r="L382" s="494">
        <f>VLOOKUP(($B382*10)+3,Results,$H$3,FALSE)</f>
        <v>0</v>
      </c>
      <c r="M382" s="495">
        <f>VLOOKUP(($B382*10)+4,Results,$G$3,FALSE)</f>
        <v>0</v>
      </c>
      <c r="N382" s="494">
        <f>VLOOKUP(($B382*10)+4,Results,$H$3,FALSE)</f>
        <v>0</v>
      </c>
      <c r="O382" s="495">
        <f>VLOOKUP(($B382*10)+5,Results,$G$3,FALSE)</f>
        <v>0</v>
      </c>
      <c r="P382" s="494">
        <f>VLOOKUP(($B382*10)+5,Results,$H$3,FALSE)</f>
        <v>0</v>
      </c>
      <c r="Q382" s="495">
        <f>VLOOKUP(($B382*10)+6,Results,$G$3,FALSE)</f>
        <v>0</v>
      </c>
      <c r="R382" s="495">
        <f>VLOOKUP(($B382*10)+6,Results,$H$3,FALSE)</f>
        <v>0</v>
      </c>
      <c r="S382" s="496">
        <f>VLOOKUP(($B382*10)+7,Results,$G$3,FALSE)</f>
        <v>0</v>
      </c>
      <c r="T382" s="494">
        <f>VLOOKUP(($B382*10)+7,Results,$H$3,FALSE)</f>
        <v>0</v>
      </c>
      <c r="U382" s="495">
        <f>VLOOKUP(($B382*10)+8,Results,$G$3,FALSE)</f>
        <v>0</v>
      </c>
      <c r="V382" s="497">
        <f>VLOOKUP(($B382*10)+8,Results,$H$3,FALSE)</f>
        <v>0</v>
      </c>
      <c r="W382" s="600">
        <f>VLOOKUP(($B382*10)+1,Results,$I$3,FALSE)</f>
        <v>0</v>
      </c>
      <c r="X382" s="499">
        <f>VLOOKUP(($B382*10)+2,Results,$I$3,FALSE)</f>
        <v>0</v>
      </c>
      <c r="Y382" s="499">
        <f>VLOOKUP(($B382*10)+3,Results,$I$3,FALSE)</f>
        <v>7</v>
      </c>
      <c r="Z382" s="499">
        <f>VLOOKUP(($B382*10)+4,Results,$I$3,FALSE)</f>
        <v>0</v>
      </c>
      <c r="AA382" s="499">
        <f>VLOOKUP(($B382*10)+5,Results,$I$3,FALSE)</f>
        <v>0</v>
      </c>
      <c r="AB382" s="499">
        <f>VLOOKUP(($B382*10)+6,Results,$I$3,FALSE)</f>
        <v>8</v>
      </c>
      <c r="AC382" s="499">
        <f>VLOOKUP(($B382*10)+7,Results,$I$3,FALSE)</f>
        <v>0</v>
      </c>
      <c r="AD382" s="499">
        <f>VLOOKUP(($B382*10)+8,Results,$I$3,FALSE)</f>
        <v>0</v>
      </c>
    </row>
    <row r="383" spans="1:30" x14ac:dyDescent="0.3">
      <c r="A383" s="118" t="str">
        <f>B382&amp;"B"</f>
        <v>4B</v>
      </c>
      <c r="B383" s="506"/>
      <c r="C383" s="572"/>
      <c r="D383" s="479" t="str">
        <f>VLOOKUP(B382,EventsOrder,3,FALSE)</f>
        <v>1500m (U18/U20)</v>
      </c>
      <c r="E383" s="515" t="s">
        <v>94</v>
      </c>
      <c r="F383" s="529"/>
      <c r="G383" s="547" t="str">
        <f>VLOOKUP(($B382*10)+1,Results,$F$4,FALSE)</f>
        <v/>
      </c>
      <c r="H383" s="517"/>
      <c r="I383" s="548" t="str">
        <f>VLOOKUP(($B382*10)+2,Results,$F$4,FALSE)</f>
        <v/>
      </c>
      <c r="J383" s="517"/>
      <c r="K383" s="548" t="str">
        <f>VLOOKUP(($B382*10)+3,Results,$F$4,FALSE)</f>
        <v/>
      </c>
      <c r="L383" s="517"/>
      <c r="M383" s="548" t="str">
        <f>VLOOKUP(($B382*10)+4,Results,$F$4,FALSE)</f>
        <v/>
      </c>
      <c r="N383" s="517"/>
      <c r="O383" s="548" t="str">
        <f>VLOOKUP(($B382*10)+5,Results,$F$4,FALSE)</f>
        <v/>
      </c>
      <c r="P383" s="517"/>
      <c r="Q383" s="548" t="str">
        <f>VLOOKUP(($B382*10)+6,Results,$F$4,FALSE)</f>
        <v/>
      </c>
      <c r="R383" s="549"/>
      <c r="S383" s="575" t="str">
        <f>VLOOKUP(($B382*10)+7,Results,$F$4,FALSE)</f>
        <v/>
      </c>
      <c r="T383" s="517"/>
      <c r="U383" s="548" t="str">
        <f>VLOOKUP(($B382*10)+8,Results,$F$4,FALSE)</f>
        <v/>
      </c>
      <c r="V383" s="519"/>
      <c r="W383" s="599"/>
      <c r="X383" s="488"/>
      <c r="Y383" s="488"/>
      <c r="Z383" s="488"/>
      <c r="AA383" s="488"/>
      <c r="AB383" s="488"/>
      <c r="AC383" s="488"/>
      <c r="AD383" s="488"/>
    </row>
    <row r="384" spans="1:30" ht="15" thickBot="1" x14ac:dyDescent="0.35">
      <c r="A384" s="118" t="str">
        <f>B382&amp;"B"</f>
        <v>4B</v>
      </c>
      <c r="B384" s="506"/>
      <c r="C384" s="576"/>
      <c r="D384" s="502"/>
      <c r="E384" s="523"/>
      <c r="F384" s="503"/>
      <c r="G384" s="554">
        <f>VLOOKUP(($B382*10)+1,Results,$G$4,FALSE)</f>
        <v>0</v>
      </c>
      <c r="H384" s="577">
        <f>VLOOKUP(($B382*10)+1,Results,$H$4,FALSE)</f>
        <v>0</v>
      </c>
      <c r="I384" s="556">
        <f>VLOOKUP(($B382*10)+2,Results,$G$4,FALSE)</f>
        <v>0</v>
      </c>
      <c r="J384" s="577">
        <f>VLOOKUP(($B382*10)+2,Results,$H$4,FALSE)</f>
        <v>0</v>
      </c>
      <c r="K384" s="556">
        <f>VLOOKUP(($B382*10)+3,Results,$G$4,FALSE)</f>
        <v>0</v>
      </c>
      <c r="L384" s="577">
        <f>VLOOKUP(($B382*10)+3,Results,$H$4,FALSE)</f>
        <v>0</v>
      </c>
      <c r="M384" s="556">
        <f>VLOOKUP(($B382*10)+4,Results,$G$4,FALSE)</f>
        <v>0</v>
      </c>
      <c r="N384" s="577">
        <f>VLOOKUP(($B382*10)+4,Results,$H$4,FALSE)</f>
        <v>0</v>
      </c>
      <c r="O384" s="556">
        <f>VLOOKUP(($B382*10)+5,Results,$G$4,FALSE)</f>
        <v>0</v>
      </c>
      <c r="P384" s="577">
        <f>VLOOKUP(($B382*10)+5,Results,$H$4,FALSE)</f>
        <v>0</v>
      </c>
      <c r="Q384" s="556">
        <f>VLOOKUP(($B382*10)+6,Results,$G$4,FALSE)</f>
        <v>0</v>
      </c>
      <c r="R384" s="577">
        <f>VLOOKUP(($B382*10)+6,Results,$H$4,FALSE)</f>
        <v>0</v>
      </c>
      <c r="S384" s="556">
        <f>VLOOKUP(($B382*10)+7,Results,$G$4,FALSE)</f>
        <v>0</v>
      </c>
      <c r="T384" s="577">
        <f>VLOOKUP(($B382*10)+7,Results,$H$4,FALSE)</f>
        <v>0</v>
      </c>
      <c r="U384" s="556">
        <f>VLOOKUP(($B382*10)+8,Results,$G$4,FALSE)</f>
        <v>0</v>
      </c>
      <c r="V384" s="578">
        <f>VLOOKUP(($B382*10)+8,Results,$H$4,FALSE)</f>
        <v>0</v>
      </c>
      <c r="W384" s="600">
        <f>VLOOKUP(($B382*10)+1,Results,$I$4,FALSE)</f>
        <v>0</v>
      </c>
      <c r="X384" s="499">
        <f>VLOOKUP(($B382*10)+2,Results,$I$4,FALSE)</f>
        <v>0</v>
      </c>
      <c r="Y384" s="499">
        <f>VLOOKUP(($B382*10)+3,Results,$I$4,FALSE)</f>
        <v>0</v>
      </c>
      <c r="Z384" s="499">
        <f>VLOOKUP(($B382*10)+4,Results,$I$4,FALSE)</f>
        <v>0</v>
      </c>
      <c r="AA384" s="499">
        <f>VLOOKUP(($B382*10)+5,Results,$I$4,FALSE)</f>
        <v>0</v>
      </c>
      <c r="AB384" s="499">
        <f>VLOOKUP(($B382*10)+6,Results,$I$4,FALSE)</f>
        <v>0</v>
      </c>
      <c r="AC384" s="499">
        <f>VLOOKUP(($B382*10)+7,Results,$I$4,FALSE)</f>
        <v>0</v>
      </c>
      <c r="AD384" s="499">
        <f>VLOOKUP(($B382*10)+8,Results,$I$4,FALSE)</f>
        <v>0</v>
      </c>
    </row>
    <row r="385" spans="1:30" x14ac:dyDescent="0.3">
      <c r="A385" s="118" t="str">
        <f>B386&amp;"A"</f>
        <v>13A</v>
      </c>
      <c r="B385" s="506"/>
      <c r="C385" s="571"/>
      <c r="D385" s="479" t="str">
        <f>VLOOKUP(B386,EventsOrder,4,FALSE)</f>
        <v>U18 Female</v>
      </c>
      <c r="E385" s="515" t="s">
        <v>149</v>
      </c>
      <c r="F385" s="480"/>
      <c r="G385" s="481" t="str">
        <f>VLOOKUP(($B386*10)+1,Results,$F$3,FALSE)</f>
        <v>Grace O'Malley</v>
      </c>
      <c r="H385" s="482"/>
      <c r="I385" s="483" t="str">
        <f>VLOOKUP(($B386*10)+2,Results,$F$3,FALSE)</f>
        <v>Ebony Tennant</v>
      </c>
      <c r="J385" s="482"/>
      <c r="K385" s="483" t="str">
        <f>VLOOKUP(($B386*10)+3,Results,$F$3,FALSE)</f>
        <v>Katie Straw</v>
      </c>
      <c r="L385" s="482"/>
      <c r="M385" s="483" t="str">
        <f>VLOOKUP(($B386*10)+4,Results,$F$3,FALSE)</f>
        <v>Ella Smith</v>
      </c>
      <c r="N385" s="482"/>
      <c r="O385" s="483" t="str">
        <f>VLOOKUP(($B386*10)+5,Results,$F$3,FALSE)</f>
        <v/>
      </c>
      <c r="P385" s="482"/>
      <c r="Q385" s="483" t="str">
        <f>VLOOKUP(($B386*10)+6,Results,$F$3,FALSE)</f>
        <v/>
      </c>
      <c r="R385" s="484"/>
      <c r="S385" s="485" t="str">
        <f>VLOOKUP(($B386*10)+7,Results,$F$3,FALSE)</f>
        <v/>
      </c>
      <c r="T385" s="482"/>
      <c r="U385" s="483" t="str">
        <f>VLOOKUP(($B386*10)+8,Results,$F$3,FALSE)</f>
        <v/>
      </c>
      <c r="V385" s="486"/>
      <c r="W385" s="599"/>
      <c r="X385" s="488"/>
      <c r="Y385" s="488"/>
      <c r="Z385" s="488"/>
      <c r="AA385" s="488"/>
      <c r="AB385" s="488"/>
      <c r="AC385" s="488"/>
      <c r="AD385" s="488"/>
    </row>
    <row r="386" spans="1:30" x14ac:dyDescent="0.3">
      <c r="A386" s="118" t="str">
        <f>B386&amp;"A"</f>
        <v>13A</v>
      </c>
      <c r="B386" s="24">
        <v>13</v>
      </c>
      <c r="C386" s="572">
        <f>VLOOKUP(B386,EventsOrder,2,FALSE)</f>
        <v>12.15</v>
      </c>
      <c r="D386" s="490"/>
      <c r="E386" s="11"/>
      <c r="F386" s="492"/>
      <c r="G386" s="493" t="str">
        <f>VLOOKUP(($B386*10)+1,Results,$G$3,FALSE)</f>
        <v>Rugby</v>
      </c>
      <c r="H386" s="573">
        <f>VLOOKUP(($B386*10)+1,Results,$H$3,FALSE)</f>
        <v>29.19</v>
      </c>
      <c r="I386" s="495" t="str">
        <f>VLOOKUP(($B386*10)+2,Results,$G$3,FALSE)</f>
        <v>Sol</v>
      </c>
      <c r="J386" s="573">
        <f>VLOOKUP(($B386*10)+2,Results,$H$3,FALSE)</f>
        <v>28.24</v>
      </c>
      <c r="K386" s="495" t="str">
        <f>VLOOKUP(($B386*10)+3,Results,$G$3,FALSE)</f>
        <v>Royal</v>
      </c>
      <c r="L386" s="573">
        <f>VLOOKUP(($B386*10)+3,Results,$H$3,FALSE)</f>
        <v>24.95</v>
      </c>
      <c r="M386" s="495" t="str">
        <f>VLOOKUP(($B386*10)+4,Results,$G$3,FALSE)</f>
        <v>Strat</v>
      </c>
      <c r="N386" s="573">
        <f>VLOOKUP(($B386*10)+4,Results,$H$3,FALSE)</f>
        <v>12.59</v>
      </c>
      <c r="O386" s="495">
        <f>VLOOKUP(($B386*10)+5,Results,$G$3,FALSE)</f>
        <v>0</v>
      </c>
      <c r="P386" s="573">
        <f>VLOOKUP(($B386*10)+5,Results,$H$3,FALSE)</f>
        <v>0</v>
      </c>
      <c r="Q386" s="495">
        <f>VLOOKUP(($B386*10)+6,Results,$G$3,FALSE)</f>
        <v>0</v>
      </c>
      <c r="R386" s="574">
        <f>VLOOKUP(($B386*10)+6,Results,$H$3,FALSE)</f>
        <v>0</v>
      </c>
      <c r="S386" s="496">
        <f>VLOOKUP(($B386*10)+7,Results,$G$3,FALSE)</f>
        <v>0</v>
      </c>
      <c r="T386" s="573">
        <f>VLOOKUP(($B386*10)+7,Results,$H$3,FALSE)</f>
        <v>0</v>
      </c>
      <c r="U386" s="495">
        <f>VLOOKUP(($B386*10)+8,Results,$G$3,FALSE)</f>
        <v>0</v>
      </c>
      <c r="V386" s="528">
        <f>VLOOKUP(($B386*10)+8,Results,$H$3,FALSE)</f>
        <v>0</v>
      </c>
      <c r="W386" s="600">
        <f>VLOOKUP(($B386*10)+1,Results,$I$3,FALSE)</f>
        <v>0</v>
      </c>
      <c r="X386" s="499">
        <f>VLOOKUP(($B386*10)+2,Results,$I$3,FALSE)</f>
        <v>0</v>
      </c>
      <c r="Y386" s="499">
        <f>VLOOKUP(($B386*10)+3,Results,$I$3,FALSE)</f>
        <v>6</v>
      </c>
      <c r="Z386" s="499">
        <f>VLOOKUP(($B386*10)+4,Results,$I$3,FALSE)</f>
        <v>8</v>
      </c>
      <c r="AA386" s="499">
        <f>VLOOKUP(($B386*10)+5,Results,$I$3,FALSE)</f>
        <v>7</v>
      </c>
      <c r="AB386" s="499">
        <f>VLOOKUP(($B386*10)+6,Results,$I$3,FALSE)</f>
        <v>5</v>
      </c>
      <c r="AC386" s="499">
        <f>VLOOKUP(($B386*10)+7,Results,$I$3,FALSE)</f>
        <v>0</v>
      </c>
      <c r="AD386" s="499">
        <f>VLOOKUP(($B386*10)+8,Results,$I$3,FALSE)</f>
        <v>0</v>
      </c>
    </row>
    <row r="387" spans="1:30" x14ac:dyDescent="0.3">
      <c r="A387" s="118" t="str">
        <f>B386&amp;"B"</f>
        <v>13B</v>
      </c>
      <c r="B387" s="506"/>
      <c r="C387" s="572"/>
      <c r="D387" s="479" t="str">
        <f>VLOOKUP(B386,EventsOrder,3,FALSE)</f>
        <v>Javelin (U18)</v>
      </c>
      <c r="E387" s="515" t="s">
        <v>94</v>
      </c>
      <c r="F387" s="529"/>
      <c r="G387" s="547" t="str">
        <f>VLOOKUP(($B386*10)+1,Results,$F$4,FALSE)</f>
        <v>Emily Kendrick</v>
      </c>
      <c r="H387" s="517"/>
      <c r="I387" s="548" t="str">
        <f>VLOOKUP(($B386*10)+2,Results,$F$4,FALSE)</f>
        <v>Maia Collett</v>
      </c>
      <c r="J387" s="517"/>
      <c r="K387" s="548" t="str">
        <f>VLOOKUP(($B386*10)+3,Results,$F$4,FALSE)</f>
        <v/>
      </c>
      <c r="L387" s="517"/>
      <c r="M387" s="548" t="str">
        <f>VLOOKUP(($B386*10)+4,Results,$F$4,FALSE)</f>
        <v/>
      </c>
      <c r="N387" s="517"/>
      <c r="O387" s="548" t="str">
        <f>VLOOKUP(($B386*10)+5,Results,$F$4,FALSE)</f>
        <v/>
      </c>
      <c r="P387" s="517"/>
      <c r="Q387" s="548" t="str">
        <f>VLOOKUP(($B386*10)+6,Results,$F$4,FALSE)</f>
        <v/>
      </c>
      <c r="R387" s="549"/>
      <c r="S387" s="575" t="str">
        <f>VLOOKUP(($B386*10)+7,Results,$F$4,FALSE)</f>
        <v/>
      </c>
      <c r="T387" s="517"/>
      <c r="U387" s="548" t="str">
        <f>VLOOKUP(($B386*10)+8,Results,$F$4,FALSE)</f>
        <v/>
      </c>
      <c r="V387" s="519"/>
      <c r="W387" s="599"/>
      <c r="X387" s="488"/>
      <c r="Y387" s="488"/>
      <c r="Z387" s="488"/>
      <c r="AA387" s="488"/>
      <c r="AB387" s="488"/>
      <c r="AC387" s="488"/>
      <c r="AD387" s="488"/>
    </row>
    <row r="388" spans="1:30" ht="15" thickBot="1" x14ac:dyDescent="0.35">
      <c r="A388" s="118" t="str">
        <f>B386&amp;"B"</f>
        <v>13B</v>
      </c>
      <c r="B388" s="506"/>
      <c r="C388" s="576"/>
      <c r="D388" s="502"/>
      <c r="E388" s="523"/>
      <c r="F388" s="503"/>
      <c r="G388" s="554" t="str">
        <f>VLOOKUP(($B386*10)+1,Results,$G$4,FALSE)</f>
        <v>Rugby</v>
      </c>
      <c r="H388" s="573">
        <f>VLOOKUP(($B386*10)+1,Results,$H$4,FALSE)</f>
        <v>26.59</v>
      </c>
      <c r="I388" s="495" t="str">
        <f>VLOOKUP(($B386*10)+2,Results,$G$4,FALSE)</f>
        <v>Sol</v>
      </c>
      <c r="J388" s="573">
        <f>VLOOKUP(($B386*10)+2,Results,$H$4,FALSE)</f>
        <v>14.42</v>
      </c>
      <c r="K388" s="495">
        <f>VLOOKUP(($B386*10)+3,Results,$G$4,FALSE)</f>
        <v>0</v>
      </c>
      <c r="L388" s="573">
        <f>VLOOKUP(($B386*10)+3,Results,$H$4,FALSE)</f>
        <v>0</v>
      </c>
      <c r="M388" s="495">
        <f>VLOOKUP(($B386*10)+4,Results,$G$4,FALSE)</f>
        <v>0</v>
      </c>
      <c r="N388" s="573">
        <f>VLOOKUP(($B386*10)+4,Results,$H$4,FALSE)</f>
        <v>0</v>
      </c>
      <c r="O388" s="495">
        <f>VLOOKUP(($B386*10)+5,Results,$G$4,FALSE)</f>
        <v>0</v>
      </c>
      <c r="P388" s="573">
        <f>VLOOKUP(($B386*10)+5,Results,$H$4,FALSE)</f>
        <v>0</v>
      </c>
      <c r="Q388" s="495">
        <f>VLOOKUP(($B386*10)+6,Results,$G$4,FALSE)</f>
        <v>0</v>
      </c>
      <c r="R388" s="574">
        <f>VLOOKUP(($B386*10)+6,Results,$H$4,FALSE)</f>
        <v>0</v>
      </c>
      <c r="S388" s="496">
        <f>VLOOKUP(($B386*10)+7,Results,$G$4,FALSE)</f>
        <v>0</v>
      </c>
      <c r="T388" s="573">
        <f>VLOOKUP(($B386*10)+7,Results,$H$4,FALSE)</f>
        <v>0</v>
      </c>
      <c r="U388" s="495">
        <f>VLOOKUP(($B386*10)+8,Results,$G$4,FALSE)</f>
        <v>0</v>
      </c>
      <c r="V388" s="528">
        <f>VLOOKUP(($B386*10)+8,Results,$H$4,FALSE)</f>
        <v>0</v>
      </c>
      <c r="W388" s="600">
        <f>VLOOKUP(($B386*10)+1,Results,$I$4,FALSE)</f>
        <v>0</v>
      </c>
      <c r="X388" s="499">
        <f>VLOOKUP(($B386*10)+2,Results,$I$4,FALSE)</f>
        <v>0</v>
      </c>
      <c r="Y388" s="499">
        <f>VLOOKUP(($B386*10)+3,Results,$I$4,FALSE)</f>
        <v>0</v>
      </c>
      <c r="Z388" s="499">
        <f>VLOOKUP(($B386*10)+4,Results,$I$4,FALSE)</f>
        <v>8</v>
      </c>
      <c r="AA388" s="499">
        <f>VLOOKUP(($B386*10)+5,Results,$I$4,FALSE)</f>
        <v>7</v>
      </c>
      <c r="AB388" s="499">
        <f>VLOOKUP(($B386*10)+6,Results,$I$4,FALSE)</f>
        <v>0</v>
      </c>
      <c r="AC388" s="499">
        <f>VLOOKUP(($B386*10)+7,Results,$I$4,FALSE)</f>
        <v>0</v>
      </c>
      <c r="AD388" s="499">
        <f>VLOOKUP(($B386*10)+8,Results,$I$4,FALSE)</f>
        <v>0</v>
      </c>
    </row>
    <row r="389" spans="1:30" x14ac:dyDescent="0.3">
      <c r="A389" s="118" t="str">
        <f>B390&amp;"A"</f>
        <v>19A</v>
      </c>
      <c r="B389" s="506"/>
      <c r="C389" s="571"/>
      <c r="D389" s="479" t="str">
        <f>VLOOKUP(B390,EventsOrder,4,FALSE)</f>
        <v>U18 Female</v>
      </c>
      <c r="E389" s="515" t="s">
        <v>149</v>
      </c>
      <c r="F389" s="480"/>
      <c r="G389" s="481" t="str">
        <f>VLOOKUP(($B390*10)+1,Results,$F$3,FALSE)</f>
        <v>Darcie Nicholls</v>
      </c>
      <c r="H389" s="482"/>
      <c r="I389" s="483" t="str">
        <f>VLOOKUP(($B390*10)+2,Results,$F$3,FALSE)</f>
        <v>Emma Ross</v>
      </c>
      <c r="J389" s="482"/>
      <c r="K389" s="483" t="str">
        <f>VLOOKUP(($B390*10)+3,Results,$F$3,FALSE)</f>
        <v>Olivia Clarke</v>
      </c>
      <c r="L389" s="482"/>
      <c r="M389" s="483" t="str">
        <f>VLOOKUP(($B390*10)+4,Results,$F$3,FALSE)</f>
        <v>Sophie Godber</v>
      </c>
      <c r="N389" s="482"/>
      <c r="O389" s="483" t="str">
        <f>VLOOKUP(($B390*10)+5,Results,$F$3,FALSE)</f>
        <v/>
      </c>
      <c r="P389" s="482"/>
      <c r="Q389" s="483" t="str">
        <f>VLOOKUP(($B390*10)+6,Results,$F$3,FALSE)</f>
        <v/>
      </c>
      <c r="R389" s="484"/>
      <c r="S389" s="485" t="str">
        <f>VLOOKUP(($B390*10)+7,Results,$F$3,FALSE)</f>
        <v/>
      </c>
      <c r="T389" s="482"/>
      <c r="U389" s="483" t="str">
        <f>VLOOKUP(($B390*10)+8,Results,$F$3,FALSE)</f>
        <v/>
      </c>
      <c r="V389" s="486"/>
      <c r="W389" s="599"/>
      <c r="X389" s="488"/>
      <c r="Y389" s="488"/>
      <c r="Z389" s="488"/>
      <c r="AA389" s="488"/>
      <c r="AB389" s="488"/>
      <c r="AC389" s="488"/>
      <c r="AD389" s="488"/>
    </row>
    <row r="390" spans="1:30" x14ac:dyDescent="0.3">
      <c r="A390" s="118" t="str">
        <f>B390&amp;"A"</f>
        <v>19A</v>
      </c>
      <c r="B390" s="24">
        <v>19</v>
      </c>
      <c r="C390" s="572">
        <f>VLOOKUP(B390,EventsOrder,2,FALSE)</f>
        <v>12.3</v>
      </c>
      <c r="D390" s="490"/>
      <c r="E390" s="11"/>
      <c r="F390" s="492"/>
      <c r="G390" s="493" t="str">
        <f>VLOOKUP(($B390*10)+1,Results,$G$3,FALSE)</f>
        <v>Strat</v>
      </c>
      <c r="H390" s="505">
        <f>VLOOKUP(($B390*10)+1,Results,$H$3,FALSE)</f>
        <v>16.7</v>
      </c>
      <c r="I390" s="495" t="str">
        <f>VLOOKUP(($B390*10)+2,Results,$G$3,FALSE)</f>
        <v>K&amp;S</v>
      </c>
      <c r="J390" s="505">
        <f>VLOOKUP(($B390*10)+2,Results,$H$3,FALSE)</f>
        <v>17.2</v>
      </c>
      <c r="K390" s="495" t="str">
        <f>VLOOKUP(($B390*10)+3,Results,$G$3,FALSE)</f>
        <v>Rugby</v>
      </c>
      <c r="L390" s="505">
        <f>VLOOKUP(($B390*10)+3,Results,$H$3,FALSE)</f>
        <v>18.2</v>
      </c>
      <c r="M390" s="495" t="str">
        <f>VLOOKUP(($B390*10)+4,Results,$G$3,FALSE)</f>
        <v>Tam</v>
      </c>
      <c r="N390" s="505">
        <f>VLOOKUP(($B390*10)+4,Results,$H$3,FALSE)</f>
        <v>18.2</v>
      </c>
      <c r="O390" s="495">
        <f>VLOOKUP(($B390*10)+5,Results,$G$3,FALSE)</f>
        <v>0</v>
      </c>
      <c r="P390" s="505">
        <f>VLOOKUP(($B390*10)+5,Results,$H$3,FALSE)</f>
        <v>0</v>
      </c>
      <c r="Q390" s="495">
        <f>VLOOKUP(($B390*10)+6,Results,$G$3,FALSE)</f>
        <v>0</v>
      </c>
      <c r="R390" s="505">
        <f>VLOOKUP(($B390*10)+6,Results,$H$3,FALSE)</f>
        <v>0</v>
      </c>
      <c r="S390" s="496">
        <f>VLOOKUP(($B390*10)+7,Results,$G$3,FALSE)</f>
        <v>0</v>
      </c>
      <c r="T390" s="505">
        <f>VLOOKUP(($B390*10)+7,Results,$H$3,FALSE)</f>
        <v>0</v>
      </c>
      <c r="U390" s="495">
        <f>VLOOKUP(($B390*10)+8,Results,$G$3,FALSE)</f>
        <v>0</v>
      </c>
      <c r="V390" s="601">
        <f>VLOOKUP(($B390*10)+8,Results,$H$3,FALSE)</f>
        <v>0</v>
      </c>
      <c r="W390" s="600">
        <f>VLOOKUP(($B390*10)+1,Results,$I$3,FALSE)</f>
        <v>0</v>
      </c>
      <c r="X390" s="499">
        <f>VLOOKUP(($B390*10)+2,Results,$I$3,FALSE)</f>
        <v>7</v>
      </c>
      <c r="Y390" s="499">
        <f>VLOOKUP(($B390*10)+3,Results,$I$3,FALSE)</f>
        <v>0</v>
      </c>
      <c r="Z390" s="499">
        <f>VLOOKUP(($B390*10)+4,Results,$I$3,FALSE)</f>
        <v>6</v>
      </c>
      <c r="AA390" s="499">
        <f>VLOOKUP(($B390*10)+5,Results,$I$3,FALSE)</f>
        <v>0</v>
      </c>
      <c r="AB390" s="499">
        <f>VLOOKUP(($B390*10)+6,Results,$I$3,FALSE)</f>
        <v>8</v>
      </c>
      <c r="AC390" s="499">
        <f>VLOOKUP(($B390*10)+7,Results,$I$3,FALSE)</f>
        <v>5</v>
      </c>
      <c r="AD390" s="499">
        <f>VLOOKUP(($B390*10)+8,Results,$I$3,FALSE)</f>
        <v>0</v>
      </c>
    </row>
    <row r="391" spans="1:30" x14ac:dyDescent="0.3">
      <c r="A391" s="118" t="str">
        <f>B390&amp;"B"</f>
        <v>19B</v>
      </c>
      <c r="B391" s="506"/>
      <c r="C391" s="572"/>
      <c r="D391" s="479" t="str">
        <f>VLOOKUP(B390,EventsOrder,3,FALSE)</f>
        <v>100m hurdles (U18)</v>
      </c>
      <c r="E391" s="515" t="s">
        <v>94</v>
      </c>
      <c r="F391" s="529"/>
      <c r="G391" s="547" t="str">
        <f>VLOOKUP(($B390*10)+1,Results,$F$4,FALSE)</f>
        <v>Ava Sheppard</v>
      </c>
      <c r="H391" s="517"/>
      <c r="I391" s="548" t="str">
        <f>VLOOKUP(($B390*10)+2,Results,$F$4,FALSE)</f>
        <v/>
      </c>
      <c r="J391" s="517"/>
      <c r="K391" s="548" t="str">
        <f>VLOOKUP(($B390*10)+3,Results,$F$4,FALSE)</f>
        <v/>
      </c>
      <c r="L391" s="517"/>
      <c r="M391" s="548" t="str">
        <f>VLOOKUP(($B390*10)+4,Results,$F$4,FALSE)</f>
        <v/>
      </c>
      <c r="N391" s="517"/>
      <c r="O391" s="548" t="str">
        <f>VLOOKUP(($B390*10)+5,Results,$F$4,FALSE)</f>
        <v/>
      </c>
      <c r="P391" s="517"/>
      <c r="Q391" s="548" t="str">
        <f>VLOOKUP(($B390*10)+6,Results,$F$4,FALSE)</f>
        <v/>
      </c>
      <c r="R391" s="549"/>
      <c r="S391" s="575" t="str">
        <f>VLOOKUP(($B390*10)+7,Results,$F$4,FALSE)</f>
        <v/>
      </c>
      <c r="T391" s="517"/>
      <c r="U391" s="548" t="str">
        <f>VLOOKUP(($B390*10)+8,Results,$F$4,FALSE)</f>
        <v/>
      </c>
      <c r="V391" s="519"/>
      <c r="W391" s="599"/>
      <c r="X391" s="488"/>
      <c r="Y391" s="488"/>
      <c r="Z391" s="488"/>
      <c r="AA391" s="488"/>
      <c r="AB391" s="488"/>
      <c r="AC391" s="488"/>
      <c r="AD391" s="488"/>
    </row>
    <row r="392" spans="1:30" ht="15" thickBot="1" x14ac:dyDescent="0.35">
      <c r="A392" s="118" t="str">
        <f>B390&amp;"B"</f>
        <v>19B</v>
      </c>
      <c r="B392" s="506"/>
      <c r="C392" s="576"/>
      <c r="D392" s="502"/>
      <c r="E392" s="523"/>
      <c r="F392" s="503"/>
      <c r="G392" s="554" t="str">
        <f>VLOOKUP(($B390*10)+1,Results,$G$4,FALSE)</f>
        <v>Strat</v>
      </c>
      <c r="H392" s="505">
        <f>VLOOKUP(($B390*10)+1,Results,$H$4,FALSE)</f>
        <v>16.8</v>
      </c>
      <c r="I392" s="556">
        <f>VLOOKUP(($B390*10)+2,Results,$G$4,FALSE)</f>
        <v>0</v>
      </c>
      <c r="J392" s="505">
        <f>VLOOKUP(($B390*10)+2,Results,$H$4,FALSE)</f>
        <v>0</v>
      </c>
      <c r="K392" s="556">
        <f>VLOOKUP(($B390*10)+3,Results,$G$4,FALSE)</f>
        <v>0</v>
      </c>
      <c r="L392" s="505">
        <f>VLOOKUP(($B390*10)+3,Results,$H$4,FALSE)</f>
        <v>0</v>
      </c>
      <c r="M392" s="556">
        <f>VLOOKUP(($B390*10)+4,Results,$G$4,FALSE)</f>
        <v>0</v>
      </c>
      <c r="N392" s="505">
        <f>VLOOKUP(($B390*10)+4,Results,$H$4,FALSE)</f>
        <v>0</v>
      </c>
      <c r="O392" s="556">
        <f>VLOOKUP(($B390*10)+5,Results,$G$4,FALSE)</f>
        <v>0</v>
      </c>
      <c r="P392" s="505">
        <f>VLOOKUP(($B390*10)+5,Results,$H$4,FALSE)</f>
        <v>0</v>
      </c>
      <c r="Q392" s="556">
        <f>VLOOKUP(($B390*10)+6,Results,$G$4,FALSE)</f>
        <v>0</v>
      </c>
      <c r="R392" s="505">
        <f>VLOOKUP(($B390*10)+6,Results,$H$4,FALSE)</f>
        <v>0</v>
      </c>
      <c r="S392" s="556">
        <f>VLOOKUP(($B390*10)+7,Results,$G$4,FALSE)</f>
        <v>0</v>
      </c>
      <c r="T392" s="505">
        <f>VLOOKUP(($B390*10)+7,Results,$H$4,FALSE)</f>
        <v>0</v>
      </c>
      <c r="U392" s="556">
        <f>VLOOKUP(($B390*10)+8,Results,$G$4,FALSE)</f>
        <v>0</v>
      </c>
      <c r="V392" s="601">
        <f>VLOOKUP(($B390*10)+8,Results,$H$4,FALSE)</f>
        <v>0</v>
      </c>
      <c r="W392" s="600">
        <f>VLOOKUP(($B390*10)+1,Results,$I$4,FALSE)</f>
        <v>0</v>
      </c>
      <c r="X392" s="499">
        <f>VLOOKUP(($B390*10)+2,Results,$I$4,FALSE)</f>
        <v>0</v>
      </c>
      <c r="Y392" s="499">
        <f>VLOOKUP(($B390*10)+3,Results,$I$4,FALSE)</f>
        <v>0</v>
      </c>
      <c r="Z392" s="499">
        <f>VLOOKUP(($B390*10)+4,Results,$I$4,FALSE)</f>
        <v>0</v>
      </c>
      <c r="AA392" s="499">
        <f>VLOOKUP(($B390*10)+5,Results,$I$4,FALSE)</f>
        <v>0</v>
      </c>
      <c r="AB392" s="499">
        <f>VLOOKUP(($B390*10)+6,Results,$I$4,FALSE)</f>
        <v>8</v>
      </c>
      <c r="AC392" s="499">
        <f>VLOOKUP(($B390*10)+7,Results,$I$4,FALSE)</f>
        <v>0</v>
      </c>
      <c r="AD392" s="499">
        <f>VLOOKUP(($B390*10)+8,Results,$I$4,FALSE)</f>
        <v>0</v>
      </c>
    </row>
    <row r="393" spans="1:30" x14ac:dyDescent="0.3">
      <c r="A393" s="118" t="str">
        <f>B394&amp;"A"</f>
        <v>28A</v>
      </c>
      <c r="B393" s="506"/>
      <c r="C393" s="571"/>
      <c r="D393" s="479" t="str">
        <f>VLOOKUP(B394,EventsOrder,4,FALSE)</f>
        <v>U18 Female</v>
      </c>
      <c r="E393" s="515" t="s">
        <v>149</v>
      </c>
      <c r="F393" s="480"/>
      <c r="G393" s="481" t="str">
        <f>VLOOKUP(($B394*10)+1,Results,$F$3,FALSE)</f>
        <v>Ella Purves</v>
      </c>
      <c r="H393" s="482"/>
      <c r="I393" s="483" t="str">
        <f>VLOOKUP(($B394*10)+2,Results,$F$3,FALSE)</f>
        <v>Arriella Dalmedo</v>
      </c>
      <c r="J393" s="482"/>
      <c r="K393" s="483" t="str">
        <f>VLOOKUP(($B394*10)+3,Results,$F$3,FALSE)</f>
        <v/>
      </c>
      <c r="L393" s="482"/>
      <c r="M393" s="483" t="str">
        <f>VLOOKUP(($B394*10)+4,Results,$F$3,FALSE)</f>
        <v/>
      </c>
      <c r="N393" s="482"/>
      <c r="O393" s="483" t="str">
        <f>VLOOKUP(($B394*10)+5,Results,$F$3,FALSE)</f>
        <v/>
      </c>
      <c r="P393" s="482"/>
      <c r="Q393" s="483" t="str">
        <f>VLOOKUP(($B394*10)+6,Results,$F$3,FALSE)</f>
        <v/>
      </c>
      <c r="R393" s="484"/>
      <c r="S393" s="485" t="str">
        <f>VLOOKUP(($B394*10)+7,Results,$F$3,FALSE)</f>
        <v/>
      </c>
      <c r="T393" s="482"/>
      <c r="U393" s="483" t="str">
        <f>VLOOKUP(($B394*10)+8,Results,$F$3,FALSE)</f>
        <v/>
      </c>
      <c r="V393" s="486"/>
      <c r="W393" s="599"/>
      <c r="X393" s="488"/>
      <c r="Y393" s="488"/>
      <c r="Z393" s="488"/>
      <c r="AA393" s="488"/>
      <c r="AB393" s="488"/>
      <c r="AC393" s="488"/>
      <c r="AD393" s="488"/>
    </row>
    <row r="394" spans="1:30" x14ac:dyDescent="0.3">
      <c r="A394" s="118" t="str">
        <f>B394&amp;"A"</f>
        <v>28A</v>
      </c>
      <c r="B394" s="24">
        <v>28</v>
      </c>
      <c r="C394" s="572">
        <f>VLOOKUP(B394,EventsOrder,2,FALSE)</f>
        <v>1.2</v>
      </c>
      <c r="D394" s="490"/>
      <c r="E394" s="11"/>
      <c r="F394" s="492"/>
      <c r="G394" s="493" t="str">
        <f>VLOOKUP(($B394*10)+1,Results,$G$3,FALSE)</f>
        <v>Worc</v>
      </c>
      <c r="H394" s="494" t="str">
        <f>VLOOKUP(($B394*10)+1,Results,$H$3,FALSE)</f>
        <v>2.28.3</v>
      </c>
      <c r="I394" s="495" t="str">
        <f>VLOOKUP(($B394*10)+2,Results,$G$3,FALSE)</f>
        <v>BRAT</v>
      </c>
      <c r="J394" s="494" t="str">
        <f>VLOOKUP(($B394*10)+2,Results,$H$3,FALSE)</f>
        <v>2.38.6</v>
      </c>
      <c r="K394" s="495">
        <f>VLOOKUP(($B394*10)+3,Results,$G$3,FALSE)</f>
        <v>0</v>
      </c>
      <c r="L394" s="494">
        <f>VLOOKUP(($B394*10)+3,Results,$H$3,FALSE)</f>
        <v>0</v>
      </c>
      <c r="M394" s="495">
        <f>VLOOKUP(($B394*10)+4,Results,$G$3,FALSE)</f>
        <v>0</v>
      </c>
      <c r="N394" s="494">
        <f>VLOOKUP(($B394*10)+4,Results,$H$3,FALSE)</f>
        <v>0</v>
      </c>
      <c r="O394" s="495">
        <f>VLOOKUP(($B394*10)+5,Results,$G$3,FALSE)</f>
        <v>0</v>
      </c>
      <c r="P394" s="494">
        <f>VLOOKUP(($B394*10)+5,Results,$H$3,FALSE)</f>
        <v>0</v>
      </c>
      <c r="Q394" s="495">
        <f>VLOOKUP(($B394*10)+6,Results,$G$3,FALSE)</f>
        <v>0</v>
      </c>
      <c r="R394" s="495">
        <f>VLOOKUP(($B394*10)+6,Results,$H$3,FALSE)</f>
        <v>0</v>
      </c>
      <c r="S394" s="496">
        <f>VLOOKUP(($B394*10)+7,Results,$G$3,FALSE)</f>
        <v>0</v>
      </c>
      <c r="T394" s="494">
        <f>VLOOKUP(($B394*10)+7,Results,$H$3,FALSE)</f>
        <v>0</v>
      </c>
      <c r="U394" s="495">
        <f>VLOOKUP(($B394*10)+8,Results,$G$3,FALSE)</f>
        <v>0</v>
      </c>
      <c r="V394" s="497">
        <f>VLOOKUP(($B394*10)+8,Results,$H$3,FALSE)</f>
        <v>0</v>
      </c>
      <c r="W394" s="600">
        <f>VLOOKUP(($B394*10)+1,Results,$I$3,FALSE)</f>
        <v>7</v>
      </c>
      <c r="X394" s="499">
        <f>VLOOKUP(($B394*10)+2,Results,$I$3,FALSE)</f>
        <v>0</v>
      </c>
      <c r="Y394" s="499">
        <f>VLOOKUP(($B394*10)+3,Results,$I$3,FALSE)</f>
        <v>0</v>
      </c>
      <c r="Z394" s="499">
        <f>VLOOKUP(($B394*10)+4,Results,$I$3,FALSE)</f>
        <v>0</v>
      </c>
      <c r="AA394" s="499">
        <f>VLOOKUP(($B394*10)+5,Results,$I$3,FALSE)</f>
        <v>0</v>
      </c>
      <c r="AB394" s="499">
        <f>VLOOKUP(($B394*10)+6,Results,$I$3,FALSE)</f>
        <v>0</v>
      </c>
      <c r="AC394" s="499">
        <f>VLOOKUP(($B394*10)+7,Results,$I$3,FALSE)</f>
        <v>0</v>
      </c>
      <c r="AD394" s="499">
        <f>VLOOKUP(($B394*10)+8,Results,$I$3,FALSE)</f>
        <v>8</v>
      </c>
    </row>
    <row r="395" spans="1:30" x14ac:dyDescent="0.3">
      <c r="A395" s="118" t="str">
        <f>B394&amp;"B"</f>
        <v>28B</v>
      </c>
      <c r="B395" s="506"/>
      <c r="C395" s="572"/>
      <c r="D395" s="479" t="str">
        <f>VLOOKUP(B394,EventsOrder,3,FALSE)</f>
        <v>800m (U18/U20)</v>
      </c>
      <c r="E395" s="515" t="s">
        <v>94</v>
      </c>
      <c r="F395" s="529"/>
      <c r="G395" s="547" t="str">
        <f>VLOOKUP(($B394*10)+1,Results,$F$4,FALSE)</f>
        <v/>
      </c>
      <c r="H395" s="517"/>
      <c r="I395" s="548" t="str">
        <f>VLOOKUP(($B394*10)+2,Results,$F$4,FALSE)</f>
        <v/>
      </c>
      <c r="J395" s="517"/>
      <c r="K395" s="548" t="str">
        <f>VLOOKUP(($B394*10)+3,Results,$F$4,FALSE)</f>
        <v/>
      </c>
      <c r="L395" s="517"/>
      <c r="M395" s="548" t="str">
        <f>VLOOKUP(($B394*10)+4,Results,$F$4,FALSE)</f>
        <v/>
      </c>
      <c r="N395" s="517"/>
      <c r="O395" s="548" t="str">
        <f>VLOOKUP(($B394*10)+5,Results,$F$4,FALSE)</f>
        <v/>
      </c>
      <c r="P395" s="517"/>
      <c r="Q395" s="548" t="str">
        <f>VLOOKUP(($B394*10)+6,Results,$F$4,FALSE)</f>
        <v/>
      </c>
      <c r="R395" s="549"/>
      <c r="S395" s="575" t="str">
        <f>VLOOKUP(($B394*10)+7,Results,$F$4,FALSE)</f>
        <v/>
      </c>
      <c r="T395" s="517"/>
      <c r="U395" s="548" t="str">
        <f>VLOOKUP(($B394*10)+8,Results,$F$4,FALSE)</f>
        <v/>
      </c>
      <c r="V395" s="519"/>
      <c r="W395" s="599"/>
      <c r="X395" s="488"/>
      <c r="Y395" s="488"/>
      <c r="Z395" s="488"/>
      <c r="AA395" s="488"/>
      <c r="AB395" s="488"/>
      <c r="AC395" s="488"/>
      <c r="AD395" s="488"/>
    </row>
    <row r="396" spans="1:30" ht="15" thickBot="1" x14ac:dyDescent="0.35">
      <c r="A396" s="118" t="str">
        <f>B394&amp;"B"</f>
        <v>28B</v>
      </c>
      <c r="B396" s="506"/>
      <c r="C396" s="576"/>
      <c r="D396" s="502"/>
      <c r="E396" s="523"/>
      <c r="F396" s="503"/>
      <c r="G396" s="554">
        <f>VLOOKUP(($B394*10)+1,Results,$G$4,FALSE)</f>
        <v>0</v>
      </c>
      <c r="H396" s="577">
        <f>VLOOKUP(($B394*10)+1,Results,$H$4,FALSE)</f>
        <v>0</v>
      </c>
      <c r="I396" s="556">
        <f>VLOOKUP(($B394*10)+2,Results,$G$4,FALSE)</f>
        <v>0</v>
      </c>
      <c r="J396" s="577">
        <f>VLOOKUP(($B394*10)+2,Results,$H$4,FALSE)</f>
        <v>0</v>
      </c>
      <c r="K396" s="556">
        <f>VLOOKUP(($B394*10)+3,Results,$G$4,FALSE)</f>
        <v>0</v>
      </c>
      <c r="L396" s="577">
        <f>VLOOKUP(($B394*10)+3,Results,$H$4,FALSE)</f>
        <v>0</v>
      </c>
      <c r="M396" s="556">
        <f>VLOOKUP(($B394*10)+4,Results,$G$4,FALSE)</f>
        <v>0</v>
      </c>
      <c r="N396" s="577">
        <f>VLOOKUP(($B394*10)+4,Results,$H$4,FALSE)</f>
        <v>0</v>
      </c>
      <c r="O396" s="556">
        <f>VLOOKUP(($B394*10)+5,Results,$G$4,FALSE)</f>
        <v>0</v>
      </c>
      <c r="P396" s="577">
        <f>VLOOKUP(($B394*10)+5,Results,$H$4,FALSE)</f>
        <v>0</v>
      </c>
      <c r="Q396" s="556">
        <f>VLOOKUP(($B394*10)+6,Results,$G$4,FALSE)</f>
        <v>0</v>
      </c>
      <c r="R396" s="577">
        <f>VLOOKUP(($B394*10)+6,Results,$H$4,FALSE)</f>
        <v>0</v>
      </c>
      <c r="S396" s="556">
        <f>VLOOKUP(($B394*10)+7,Results,$G$4,FALSE)</f>
        <v>0</v>
      </c>
      <c r="T396" s="577">
        <f>VLOOKUP(($B394*10)+7,Results,$H$4,FALSE)</f>
        <v>0</v>
      </c>
      <c r="U396" s="556">
        <f>VLOOKUP(($B394*10)+8,Results,$G$4,FALSE)</f>
        <v>0</v>
      </c>
      <c r="V396" s="578">
        <f>VLOOKUP(($B394*10)+8,Results,$H$4,FALSE)</f>
        <v>0</v>
      </c>
      <c r="W396" s="600">
        <f>VLOOKUP(($B394*10)+1,Results,$I$4,FALSE)</f>
        <v>0</v>
      </c>
      <c r="X396" s="499">
        <f>VLOOKUP(($B394*10)+2,Results,$I$4,FALSE)</f>
        <v>0</v>
      </c>
      <c r="Y396" s="499">
        <f>VLOOKUP(($B394*10)+3,Results,$I$4,FALSE)</f>
        <v>0</v>
      </c>
      <c r="Z396" s="499">
        <f>VLOOKUP(($B394*10)+4,Results,$I$4,FALSE)</f>
        <v>0</v>
      </c>
      <c r="AA396" s="499">
        <f>VLOOKUP(($B394*10)+5,Results,$I$4,FALSE)</f>
        <v>0</v>
      </c>
      <c r="AB396" s="499">
        <f>VLOOKUP(($B394*10)+6,Results,$I$4,FALSE)</f>
        <v>0</v>
      </c>
      <c r="AC396" s="499">
        <f>VLOOKUP(($B394*10)+7,Results,$I$4,FALSE)</f>
        <v>0</v>
      </c>
      <c r="AD396" s="499">
        <f>VLOOKUP(($B394*10)+8,Results,$I$4,FALSE)</f>
        <v>0</v>
      </c>
    </row>
    <row r="397" spans="1:30" x14ac:dyDescent="0.3">
      <c r="A397" s="118" t="str">
        <f>B398&amp;"A"</f>
        <v>33A</v>
      </c>
      <c r="B397" s="506"/>
      <c r="C397" s="571"/>
      <c r="D397" s="479" t="str">
        <f>VLOOKUP(B398,EventsOrder,4,FALSE)</f>
        <v>U18 Female</v>
      </c>
      <c r="E397" s="515" t="s">
        <v>149</v>
      </c>
      <c r="F397" s="612"/>
      <c r="G397" s="481" t="str">
        <f>VLOOKUP(($B398*10)+1,Results,$F$3,FALSE)</f>
        <v>Ella Smith</v>
      </c>
      <c r="H397" s="482"/>
      <c r="I397" s="483">
        <f>VLOOKUP(($B398*10)+2,Results,$F$3,FALSE)</f>
        <v>0</v>
      </c>
      <c r="J397" s="482"/>
      <c r="K397" s="483" t="str">
        <f>VLOOKUP(($B398*10)+3,Results,$F$3,FALSE)</f>
        <v>Arriella Dalmedo</v>
      </c>
      <c r="L397" s="482"/>
      <c r="M397" s="483" t="str">
        <f>VLOOKUP(($B398*10)+4,Results,$F$3,FALSE)</f>
        <v/>
      </c>
      <c r="N397" s="482"/>
      <c r="O397" s="483" t="str">
        <f>VLOOKUP(($B398*10)+5,Results,$F$3,FALSE)</f>
        <v/>
      </c>
      <c r="P397" s="482"/>
      <c r="Q397" s="483" t="str">
        <f>VLOOKUP(($B398*10)+6,Results,$F$3,FALSE)</f>
        <v/>
      </c>
      <c r="R397" s="484"/>
      <c r="S397" s="485" t="str">
        <f>VLOOKUP(($B398*10)+7,Results,$F$3,FALSE)</f>
        <v/>
      </c>
      <c r="T397" s="482"/>
      <c r="U397" s="483" t="str">
        <f>VLOOKUP(($B398*10)+8,Results,$F$3,FALSE)</f>
        <v/>
      </c>
      <c r="V397" s="486"/>
      <c r="W397" s="613"/>
      <c r="X397" s="613"/>
      <c r="Y397" s="613"/>
      <c r="Z397" s="613"/>
      <c r="AA397" s="613"/>
      <c r="AB397" s="613"/>
      <c r="AC397" s="613"/>
      <c r="AD397" s="613"/>
    </row>
    <row r="398" spans="1:30" x14ac:dyDescent="0.3">
      <c r="A398" s="118" t="str">
        <f>B398&amp;"A"</f>
        <v>33A</v>
      </c>
      <c r="B398" s="24">
        <v>33</v>
      </c>
      <c r="C398" s="572">
        <f>VLOOKUP(B398,EventsOrder,2,FALSE)</f>
        <v>1.3</v>
      </c>
      <c r="D398" s="490"/>
      <c r="E398" s="11"/>
      <c r="F398" s="492"/>
      <c r="G398" s="493" t="str">
        <f>VLOOKUP(($B398*10)+1,Results,$G$3,FALSE)</f>
        <v>Strat</v>
      </c>
      <c r="H398" s="573">
        <f>VLOOKUP(($B398*10)+1,Results,$H$3,FALSE)</f>
        <v>62.7</v>
      </c>
      <c r="I398" s="495" t="str">
        <f>VLOOKUP(($B398*10)+2,Results,$G$3,FALSE)</f>
        <v>Royal</v>
      </c>
      <c r="J398" s="573">
        <f>VLOOKUP(($B398*10)+2,Results,$H$3,FALSE)</f>
        <v>65.2</v>
      </c>
      <c r="K398" s="495" t="str">
        <f>VLOOKUP(($B398*10)+3,Results,$G$3,FALSE)</f>
        <v>BRAT</v>
      </c>
      <c r="L398" s="573">
        <f>VLOOKUP(($B398*10)+3,Results,$H$3,FALSE)</f>
        <v>72.5</v>
      </c>
      <c r="M398" s="495">
        <f>VLOOKUP(($B398*10)+4,Results,$G$3,FALSE)</f>
        <v>0</v>
      </c>
      <c r="N398" s="573">
        <f>VLOOKUP(($B398*10)+4,Results,$H$3,FALSE)</f>
        <v>0</v>
      </c>
      <c r="O398" s="495">
        <f>VLOOKUP(($B398*10)+5,Results,$G$3,FALSE)</f>
        <v>0</v>
      </c>
      <c r="P398" s="573">
        <f>VLOOKUP(($B398*10)+5,Results,$H$3,FALSE)</f>
        <v>0</v>
      </c>
      <c r="Q398" s="495">
        <f>VLOOKUP(($B398*10)+6,Results,$G$3,FALSE)</f>
        <v>0</v>
      </c>
      <c r="R398" s="574">
        <f>VLOOKUP(($B398*10)+6,Results,$H$3,FALSE)</f>
        <v>0</v>
      </c>
      <c r="S398" s="496">
        <f>VLOOKUP(($B398*10)+7,Results,$G$3,FALSE)</f>
        <v>0</v>
      </c>
      <c r="T398" s="573">
        <f>VLOOKUP(($B398*10)+7,Results,$H$3,FALSE)</f>
        <v>0</v>
      </c>
      <c r="U398" s="495">
        <f>VLOOKUP(($B398*10)+8,Results,$G$3,FALSE)</f>
        <v>0</v>
      </c>
      <c r="V398" s="528">
        <f>VLOOKUP(($B398*10)+8,Results,$H$3,FALSE)</f>
        <v>0</v>
      </c>
      <c r="W398" s="600">
        <f>VLOOKUP(($B398*10)+1,Results,$I$3,FALSE)</f>
        <v>6</v>
      </c>
      <c r="X398" s="499">
        <f>VLOOKUP(($B398*10)+2,Results,$I$3,FALSE)</f>
        <v>0</v>
      </c>
      <c r="Y398" s="499">
        <f>VLOOKUP(($B398*10)+3,Results,$I$3,FALSE)</f>
        <v>7</v>
      </c>
      <c r="Z398" s="499">
        <f>VLOOKUP(($B398*10)+4,Results,$I$3,FALSE)</f>
        <v>0</v>
      </c>
      <c r="AA398" s="499">
        <f>VLOOKUP(($B398*10)+5,Results,$I$3,FALSE)</f>
        <v>0</v>
      </c>
      <c r="AB398" s="499">
        <f>VLOOKUP(($B398*10)+6,Results,$I$3,FALSE)</f>
        <v>8</v>
      </c>
      <c r="AC398" s="499">
        <f>VLOOKUP(($B398*10)+7,Results,$I$3,FALSE)</f>
        <v>0</v>
      </c>
      <c r="AD398" s="499">
        <f>VLOOKUP(($B398*10)+8,Results,$I$3,FALSE)</f>
        <v>0</v>
      </c>
    </row>
    <row r="399" spans="1:30" x14ac:dyDescent="0.3">
      <c r="A399" s="118" t="str">
        <f>B398&amp;"B"</f>
        <v>33B</v>
      </c>
      <c r="B399" s="506"/>
      <c r="C399" s="572"/>
      <c r="D399" s="479" t="str">
        <f>VLOOKUP(B398,EventsOrder,3,FALSE)</f>
        <v>400m (U18/U20)</v>
      </c>
      <c r="E399" s="515" t="s">
        <v>94</v>
      </c>
      <c r="F399" s="612"/>
      <c r="G399" s="547" t="str">
        <f>VLOOKUP(($B398*10)+1,Results,$F$4,FALSE)</f>
        <v>Lennie Covey</v>
      </c>
      <c r="H399" s="517"/>
      <c r="I399" s="548" t="str">
        <f>VLOOKUP(($B398*10)+2,Results,$F$4,FALSE)</f>
        <v/>
      </c>
      <c r="J399" s="517"/>
      <c r="K399" s="548" t="str">
        <f>VLOOKUP(($B398*10)+3,Results,$F$4,FALSE)</f>
        <v/>
      </c>
      <c r="L399" s="517"/>
      <c r="M399" s="548" t="str">
        <f>VLOOKUP(($B398*10)+4,Results,$F$4,FALSE)</f>
        <v/>
      </c>
      <c r="N399" s="517"/>
      <c r="O399" s="548" t="str">
        <f>VLOOKUP(($B398*10)+5,Results,$F$4,FALSE)</f>
        <v/>
      </c>
      <c r="P399" s="517"/>
      <c r="Q399" s="548" t="str">
        <f>VLOOKUP(($B398*10)+6,Results,$F$4,FALSE)</f>
        <v/>
      </c>
      <c r="R399" s="549"/>
      <c r="S399" s="575" t="str">
        <f>VLOOKUP(($B398*10)+7,Results,$F$4,FALSE)</f>
        <v/>
      </c>
      <c r="T399" s="517"/>
      <c r="U399" s="548" t="str">
        <f>VLOOKUP(($B398*10)+8,Results,$F$4,FALSE)</f>
        <v/>
      </c>
      <c r="V399" s="519"/>
      <c r="W399" s="613"/>
      <c r="X399" s="613"/>
      <c r="Y399" s="613"/>
      <c r="Z399" s="613"/>
      <c r="AA399" s="613"/>
      <c r="AB399" s="613"/>
      <c r="AC399" s="613"/>
      <c r="AD399" s="613"/>
    </row>
    <row r="400" spans="1:30" ht="15" thickBot="1" x14ac:dyDescent="0.35">
      <c r="A400" s="118" t="str">
        <f>B398&amp;"B"</f>
        <v>33B</v>
      </c>
      <c r="B400" s="506"/>
      <c r="C400" s="576"/>
      <c r="D400" s="502"/>
      <c r="E400" s="523"/>
      <c r="F400" s="503"/>
      <c r="G400" s="554" t="str">
        <f>VLOOKUP(($B398*10)+1,Results,$G$4,FALSE)</f>
        <v>Royal</v>
      </c>
      <c r="H400" s="573">
        <f>VLOOKUP(($B398*10)+1,Results,$H$4,FALSE)</f>
        <v>69.2</v>
      </c>
      <c r="I400" s="495">
        <f>VLOOKUP(($B398*10)+2,Results,$G$4,FALSE)</f>
        <v>0</v>
      </c>
      <c r="J400" s="573">
        <f>VLOOKUP(($B398*10)+2,Results,$H$4,FALSE)</f>
        <v>0</v>
      </c>
      <c r="K400" s="495">
        <f>VLOOKUP(($B398*10)+3,Results,$G$4,FALSE)</f>
        <v>0</v>
      </c>
      <c r="L400" s="573">
        <f>VLOOKUP(($B398*10)+3,Results,$H$4,FALSE)</f>
        <v>0</v>
      </c>
      <c r="M400" s="495">
        <f>VLOOKUP(($B398*10)+4,Results,$G$4,FALSE)</f>
        <v>0</v>
      </c>
      <c r="N400" s="573">
        <f>VLOOKUP(($B398*10)+4,Results,$H$4,FALSE)</f>
        <v>0</v>
      </c>
      <c r="O400" s="495">
        <f>VLOOKUP(($B398*10)+5,Results,$G$4,FALSE)</f>
        <v>0</v>
      </c>
      <c r="P400" s="573">
        <f>VLOOKUP(($B398*10)+5,Results,$H$4,FALSE)</f>
        <v>0</v>
      </c>
      <c r="Q400" s="495">
        <f>VLOOKUP(($B398*10)+6,Results,$G$4,FALSE)</f>
        <v>0</v>
      </c>
      <c r="R400" s="574">
        <f>VLOOKUP(($B398*10)+6,Results,$H$4,FALSE)</f>
        <v>0</v>
      </c>
      <c r="S400" s="496">
        <f>VLOOKUP(($B398*10)+7,Results,$G$4,FALSE)</f>
        <v>0</v>
      </c>
      <c r="T400" s="573">
        <f>VLOOKUP(($B398*10)+7,Results,$H$4,FALSE)</f>
        <v>0</v>
      </c>
      <c r="U400" s="495">
        <f>VLOOKUP(($B398*10)+8,Results,$G$4,FALSE)</f>
        <v>0</v>
      </c>
      <c r="V400" s="528">
        <f>VLOOKUP(($B398*10)+8,Results,$H$4,FALSE)</f>
        <v>0</v>
      </c>
      <c r="W400" s="600">
        <f>VLOOKUP(($B398*10)+1,Results,$I$4,FALSE)</f>
        <v>0</v>
      </c>
      <c r="X400" s="499">
        <f>VLOOKUP(($B398*10)+2,Results,$I$4,FALSE)</f>
        <v>0</v>
      </c>
      <c r="Y400" s="499">
        <f>VLOOKUP(($B398*10)+3,Results,$I$4,FALSE)</f>
        <v>8</v>
      </c>
      <c r="Z400" s="499">
        <f>VLOOKUP(($B398*10)+4,Results,$I$4,FALSE)</f>
        <v>0</v>
      </c>
      <c r="AA400" s="499">
        <f>VLOOKUP(($B398*10)+5,Results,$I$4,FALSE)</f>
        <v>0</v>
      </c>
      <c r="AB400" s="499">
        <f>VLOOKUP(($B398*10)+6,Results,$I$4,FALSE)</f>
        <v>0</v>
      </c>
      <c r="AC400" s="499">
        <f>VLOOKUP(($B398*10)+7,Results,$I$4,FALSE)</f>
        <v>0</v>
      </c>
      <c r="AD400" s="499">
        <f>VLOOKUP(($B398*10)+8,Results,$I$4,FALSE)</f>
        <v>0</v>
      </c>
    </row>
    <row r="401" spans="1:30" x14ac:dyDescent="0.3">
      <c r="A401" s="118" t="str">
        <f>B402&amp;"A"</f>
        <v>35A</v>
      </c>
      <c r="B401" s="506"/>
      <c r="C401" s="571"/>
      <c r="D401" s="479" t="str">
        <f>VLOOKUP(B402,EventsOrder,4,FALSE)</f>
        <v>U18 Female</v>
      </c>
      <c r="E401" s="515" t="s">
        <v>149</v>
      </c>
      <c r="F401" s="480"/>
      <c r="G401" s="481" t="str">
        <f>VLOOKUP(($B402*10)+1,Results,$F$3,FALSE)</f>
        <v>Emma Ross</v>
      </c>
      <c r="H401" s="482"/>
      <c r="I401" s="483" t="str">
        <f>VLOOKUP(($B402*10)+2,Results,$F$3,FALSE)</f>
        <v>Grace O'Malley</v>
      </c>
      <c r="J401" s="482"/>
      <c r="K401" s="483" t="str">
        <f>VLOOKUP(($B402*10)+3,Results,$F$3,FALSE)</f>
        <v xml:space="preserve">Hephzibah Emmanuel Kokoh </v>
      </c>
      <c r="L401" s="482"/>
      <c r="M401" s="483" t="str">
        <f>VLOOKUP(($B402*10)+4,Results,$F$3,FALSE)</f>
        <v>Maia Collett</v>
      </c>
      <c r="N401" s="482"/>
      <c r="O401" s="483" t="str">
        <f>VLOOKUP(($B402*10)+5,Results,$F$3,FALSE)</f>
        <v>Sophie Godber</v>
      </c>
      <c r="P401" s="482"/>
      <c r="Q401" s="483" t="str">
        <f>VLOOKUP(($B402*10)+6,Results,$F$3,FALSE)</f>
        <v/>
      </c>
      <c r="R401" s="484"/>
      <c r="S401" s="485" t="str">
        <f>VLOOKUP(($B402*10)+7,Results,$F$3,FALSE)</f>
        <v/>
      </c>
      <c r="T401" s="482"/>
      <c r="U401" s="483" t="str">
        <f>VLOOKUP(($B402*10)+8,Results,$F$3,FALSE)</f>
        <v/>
      </c>
      <c r="V401" s="486"/>
      <c r="W401" s="599"/>
      <c r="X401" s="488"/>
      <c r="Y401" s="488"/>
      <c r="Z401" s="488"/>
      <c r="AA401" s="488"/>
      <c r="AB401" s="488"/>
      <c r="AC401" s="488"/>
      <c r="AD401" s="488"/>
    </row>
    <row r="402" spans="1:30" x14ac:dyDescent="0.3">
      <c r="A402" s="118" t="str">
        <f>B402&amp;"A"</f>
        <v>35A</v>
      </c>
      <c r="B402" s="24">
        <v>35</v>
      </c>
      <c r="C402" s="572">
        <f>VLOOKUP(B402,EventsOrder,2,FALSE)</f>
        <v>1.5</v>
      </c>
      <c r="D402" s="490"/>
      <c r="E402" s="11"/>
      <c r="F402" s="492"/>
      <c r="G402" s="493" t="str">
        <f>VLOOKUP(($B402*10)+1,Results,$G$3,FALSE)</f>
        <v>K&amp;S</v>
      </c>
      <c r="H402" s="505">
        <f>VLOOKUP(($B402*10)+1,Results,$H$3,FALSE)</f>
        <v>10.130000000000001</v>
      </c>
      <c r="I402" s="495" t="str">
        <f>VLOOKUP(($B402*10)+2,Results,$G$3,FALSE)</f>
        <v>Rugby</v>
      </c>
      <c r="J402" s="505">
        <f>VLOOKUP(($B402*10)+2,Results,$H$3,FALSE)</f>
        <v>9.33</v>
      </c>
      <c r="K402" s="495" t="str">
        <f>VLOOKUP(($B402*10)+3,Results,$G$3,FALSE)</f>
        <v>BRAT</v>
      </c>
      <c r="L402" s="505">
        <f>VLOOKUP(($B402*10)+3,Results,$H$3,FALSE)</f>
        <v>9.0500000000000007</v>
      </c>
      <c r="M402" s="495" t="str">
        <f>VLOOKUP(($B402*10)+4,Results,$G$3,FALSE)</f>
        <v>Sol</v>
      </c>
      <c r="N402" s="505">
        <f>VLOOKUP(($B402*10)+4,Results,$H$3,FALSE)</f>
        <v>6.94</v>
      </c>
      <c r="O402" s="495" t="str">
        <f>VLOOKUP(($B402*10)+5,Results,$G$3,FALSE)</f>
        <v>Tam</v>
      </c>
      <c r="P402" s="505">
        <f>VLOOKUP(($B402*10)+5,Results,$H$3,FALSE)</f>
        <v>5.92</v>
      </c>
      <c r="Q402" s="495">
        <f>VLOOKUP(($B402*10)+6,Results,$G$3,FALSE)</f>
        <v>0</v>
      </c>
      <c r="R402" s="505">
        <f>VLOOKUP(($B402*10)+6,Results,$H$3,FALSE)</f>
        <v>0</v>
      </c>
      <c r="S402" s="496">
        <f>VLOOKUP(($B402*10)+7,Results,$G$3,FALSE)</f>
        <v>0</v>
      </c>
      <c r="T402" s="505">
        <f>VLOOKUP(($B402*10)+7,Results,$H$3,FALSE)</f>
        <v>0</v>
      </c>
      <c r="U402" s="495">
        <f>VLOOKUP(($B402*10)+8,Results,$G$3,FALSE)</f>
        <v>0</v>
      </c>
      <c r="V402" s="601">
        <f>VLOOKUP(($B402*10)+8,Results,$H$3,FALSE)</f>
        <v>0</v>
      </c>
      <c r="W402" s="600">
        <f>VLOOKUP(($B402*10)+1,Results,$I$3,FALSE)</f>
        <v>6</v>
      </c>
      <c r="X402" s="499">
        <f>VLOOKUP(($B402*10)+2,Results,$I$3,FALSE)</f>
        <v>8</v>
      </c>
      <c r="Y402" s="499">
        <f>VLOOKUP(($B402*10)+3,Results,$I$3,FALSE)</f>
        <v>0</v>
      </c>
      <c r="Z402" s="499">
        <f>VLOOKUP(($B402*10)+4,Results,$I$3,FALSE)</f>
        <v>7</v>
      </c>
      <c r="AA402" s="499">
        <f>VLOOKUP(($B402*10)+5,Results,$I$3,FALSE)</f>
        <v>5</v>
      </c>
      <c r="AB402" s="499">
        <f>VLOOKUP(($B402*10)+6,Results,$I$3,FALSE)</f>
        <v>0</v>
      </c>
      <c r="AC402" s="499">
        <f>VLOOKUP(($B402*10)+7,Results,$I$3,FALSE)</f>
        <v>4</v>
      </c>
      <c r="AD402" s="499">
        <f>VLOOKUP(($B402*10)+8,Results,$I$3,FALSE)</f>
        <v>0</v>
      </c>
    </row>
    <row r="403" spans="1:30" x14ac:dyDescent="0.3">
      <c r="A403" s="118" t="str">
        <f>B402&amp;"B"</f>
        <v>35B</v>
      </c>
      <c r="B403" s="506"/>
      <c r="C403" s="572"/>
      <c r="D403" s="479" t="str">
        <f>VLOOKUP(B402,EventsOrder,3,FALSE)</f>
        <v>Shot (U18)</v>
      </c>
      <c r="E403" s="515" t="s">
        <v>94</v>
      </c>
      <c r="F403" s="529"/>
      <c r="G403" s="547" t="str">
        <f>VLOOKUP(($B402*10)+1,Results,$F$4,FALSE)</f>
        <v>Jessika Shelley</v>
      </c>
      <c r="H403" s="517"/>
      <c r="I403" s="548" t="str">
        <f>VLOOKUP(($B402*10)+2,Results,$F$4,FALSE)</f>
        <v xml:space="preserve">Daniella Anozie </v>
      </c>
      <c r="J403" s="517"/>
      <c r="K403" s="548" t="str">
        <f>VLOOKUP(($B402*10)+3,Results,$F$4,FALSE)</f>
        <v/>
      </c>
      <c r="L403" s="517"/>
      <c r="M403" s="548" t="str">
        <f>VLOOKUP(($B402*10)+4,Results,$F$4,FALSE)</f>
        <v/>
      </c>
      <c r="N403" s="517"/>
      <c r="O403" s="548" t="str">
        <f>VLOOKUP(($B402*10)+5,Results,$F$4,FALSE)</f>
        <v/>
      </c>
      <c r="P403" s="517"/>
      <c r="Q403" s="548" t="str">
        <f>VLOOKUP(($B402*10)+6,Results,$F$4,FALSE)</f>
        <v/>
      </c>
      <c r="R403" s="549"/>
      <c r="S403" s="575" t="str">
        <f>VLOOKUP(($B402*10)+7,Results,$F$4,FALSE)</f>
        <v/>
      </c>
      <c r="T403" s="517"/>
      <c r="U403" s="548" t="str">
        <f>VLOOKUP(($B402*10)+8,Results,$F$4,FALSE)</f>
        <v/>
      </c>
      <c r="V403" s="519"/>
      <c r="W403" s="599"/>
      <c r="X403" s="488"/>
      <c r="Y403" s="488"/>
      <c r="Z403" s="488"/>
      <c r="AA403" s="488"/>
      <c r="AB403" s="488"/>
      <c r="AC403" s="488"/>
      <c r="AD403" s="488"/>
    </row>
    <row r="404" spans="1:30" ht="15" thickBot="1" x14ac:dyDescent="0.35">
      <c r="A404" s="118" t="str">
        <f>B402&amp;"B"</f>
        <v>35B</v>
      </c>
      <c r="B404" s="506"/>
      <c r="C404" s="576"/>
      <c r="D404" s="502"/>
      <c r="E404" s="523"/>
      <c r="F404" s="503"/>
      <c r="G404" s="554" t="str">
        <f>VLOOKUP(($B402*10)+1,Results,$G$4,FALSE)</f>
        <v>K&amp;S</v>
      </c>
      <c r="H404" s="505">
        <f>VLOOKUP(($B402*10)+1,Results,$H$4,FALSE)</f>
        <v>7.74</v>
      </c>
      <c r="I404" s="556" t="str">
        <f>VLOOKUP(($B402*10)+2,Results,$G$4,FALSE)</f>
        <v>BRAT</v>
      </c>
      <c r="J404" s="505">
        <f>VLOOKUP(($B402*10)+2,Results,$H$4,FALSE)</f>
        <v>7.23</v>
      </c>
      <c r="K404" s="556">
        <f>VLOOKUP(($B402*10)+3,Results,$G$4,FALSE)</f>
        <v>0</v>
      </c>
      <c r="L404" s="505">
        <f>VLOOKUP(($B402*10)+3,Results,$H$4,FALSE)</f>
        <v>0</v>
      </c>
      <c r="M404" s="556">
        <f>VLOOKUP(($B402*10)+4,Results,$G$4,FALSE)</f>
        <v>0</v>
      </c>
      <c r="N404" s="505">
        <f>VLOOKUP(($B402*10)+4,Results,$H$4,FALSE)</f>
        <v>0</v>
      </c>
      <c r="O404" s="556">
        <f>VLOOKUP(($B402*10)+5,Results,$G$4,FALSE)</f>
        <v>0</v>
      </c>
      <c r="P404" s="505">
        <f>VLOOKUP(($B402*10)+5,Results,$H$4,FALSE)</f>
        <v>0</v>
      </c>
      <c r="Q404" s="556">
        <f>VLOOKUP(($B402*10)+6,Results,$G$4,FALSE)</f>
        <v>0</v>
      </c>
      <c r="R404" s="505">
        <f>VLOOKUP(($B402*10)+6,Results,$H$4,FALSE)</f>
        <v>0</v>
      </c>
      <c r="S404" s="556">
        <f>VLOOKUP(($B402*10)+7,Results,$G$4,FALSE)</f>
        <v>0</v>
      </c>
      <c r="T404" s="505">
        <f>VLOOKUP(($B402*10)+7,Results,$H$4,FALSE)</f>
        <v>0</v>
      </c>
      <c r="U404" s="556">
        <f>VLOOKUP(($B402*10)+8,Results,$G$4,FALSE)</f>
        <v>0</v>
      </c>
      <c r="V404" s="601">
        <f>VLOOKUP(($B402*10)+8,Results,$H$4,FALSE)</f>
        <v>0</v>
      </c>
      <c r="W404" s="600">
        <f>VLOOKUP(($B402*10)+1,Results,$I$4,FALSE)</f>
        <v>7</v>
      </c>
      <c r="X404" s="499">
        <f>VLOOKUP(($B402*10)+2,Results,$I$4,FALSE)</f>
        <v>8</v>
      </c>
      <c r="Y404" s="499">
        <f>VLOOKUP(($B402*10)+3,Results,$I$4,FALSE)</f>
        <v>0</v>
      </c>
      <c r="Z404" s="499">
        <f>VLOOKUP(($B402*10)+4,Results,$I$4,FALSE)</f>
        <v>0</v>
      </c>
      <c r="AA404" s="499">
        <f>VLOOKUP(($B402*10)+5,Results,$I$4,FALSE)</f>
        <v>0</v>
      </c>
      <c r="AB404" s="499">
        <f>VLOOKUP(($B402*10)+6,Results,$I$4,FALSE)</f>
        <v>0</v>
      </c>
      <c r="AC404" s="499">
        <f>VLOOKUP(($B402*10)+7,Results,$I$4,FALSE)</f>
        <v>0</v>
      </c>
      <c r="AD404" s="499">
        <f>VLOOKUP(($B402*10)+8,Results,$I$4,FALSE)</f>
        <v>0</v>
      </c>
    </row>
    <row r="405" spans="1:30" x14ac:dyDescent="0.3">
      <c r="A405" s="118" t="str">
        <f>B406&amp;"A"</f>
        <v>42A</v>
      </c>
      <c r="B405" s="506"/>
      <c r="C405" s="571"/>
      <c r="D405" s="479" t="str">
        <f>VLOOKUP(B406,EventsOrder,4,FALSE)</f>
        <v>U18 Female</v>
      </c>
      <c r="E405" s="515" t="s">
        <v>149</v>
      </c>
      <c r="F405" s="480"/>
      <c r="G405" s="481" t="str">
        <f>VLOOKUP(($B406*10)+1,Results,$F$3,FALSE)</f>
        <v>Lorelai Maxwell</v>
      </c>
      <c r="H405" s="482"/>
      <c r="I405" s="483" t="str">
        <f>VLOOKUP(($B406*10)+2,Results,$F$3,FALSE)</f>
        <v>Darcie Nicholls</v>
      </c>
      <c r="J405" s="482"/>
      <c r="K405" s="483" t="str">
        <f>VLOOKUP(($B406*10)+3,Results,$F$3,FALSE)</f>
        <v xml:space="preserve">Daniella Anozie </v>
      </c>
      <c r="L405" s="482"/>
      <c r="M405" s="483" t="str">
        <f>VLOOKUP(($B406*10)+4,Results,$F$3,FALSE)</f>
        <v/>
      </c>
      <c r="N405" s="482"/>
      <c r="O405" s="483" t="str">
        <f>VLOOKUP(($B406*10)+5,Results,$F$3,FALSE)</f>
        <v/>
      </c>
      <c r="P405" s="482"/>
      <c r="Q405" s="483" t="str">
        <f>VLOOKUP(($B406*10)+6,Results,$F$3,FALSE)</f>
        <v/>
      </c>
      <c r="R405" s="484"/>
      <c r="S405" s="485" t="str">
        <f>VLOOKUP(($B406*10)+7,Results,$F$3,FALSE)</f>
        <v/>
      </c>
      <c r="T405" s="482"/>
      <c r="U405" s="483" t="str">
        <f>VLOOKUP(($B406*10)+8,Results,$F$3,FALSE)</f>
        <v/>
      </c>
      <c r="V405" s="486"/>
      <c r="W405" s="599"/>
      <c r="X405" s="488"/>
      <c r="Y405" s="488"/>
      <c r="Z405" s="488"/>
      <c r="AA405" s="488"/>
      <c r="AB405" s="488"/>
      <c r="AC405" s="488"/>
      <c r="AD405" s="488"/>
    </row>
    <row r="406" spans="1:30" x14ac:dyDescent="0.3">
      <c r="A406" s="118" t="str">
        <f>B406&amp;"A"</f>
        <v>42A</v>
      </c>
      <c r="B406" s="24">
        <v>42</v>
      </c>
      <c r="C406" s="572">
        <f>VLOOKUP(B406,EventsOrder,2,FALSE)</f>
        <v>2.2999999999999998</v>
      </c>
      <c r="D406" s="490"/>
      <c r="E406" s="11"/>
      <c r="F406" s="492"/>
      <c r="G406" s="493" t="str">
        <f>VLOOKUP(($B406*10)+1,Results,$G$3,FALSE)</f>
        <v>Tam</v>
      </c>
      <c r="H406" s="573">
        <f>VLOOKUP(($B406*10)+1,Results,$H$3,FALSE)</f>
        <v>12.7</v>
      </c>
      <c r="I406" s="495" t="str">
        <f>VLOOKUP(($B406*10)+2,Results,$G$3,FALSE)</f>
        <v>Strat</v>
      </c>
      <c r="J406" s="573">
        <f>VLOOKUP(($B406*10)+2,Results,$H$3,FALSE)</f>
        <v>13.7</v>
      </c>
      <c r="K406" s="495" t="str">
        <f>VLOOKUP(($B406*10)+3,Results,$G$3,FALSE)</f>
        <v>BRAT</v>
      </c>
      <c r="L406" s="573">
        <f>VLOOKUP(($B406*10)+3,Results,$H$3,FALSE)</f>
        <v>14.6</v>
      </c>
      <c r="M406" s="495">
        <f>VLOOKUP(($B406*10)+4,Results,$G$3,FALSE)</f>
        <v>0</v>
      </c>
      <c r="N406" s="573">
        <f>VLOOKUP(($B406*10)+4,Results,$H$3,FALSE)</f>
        <v>0</v>
      </c>
      <c r="O406" s="495">
        <f>VLOOKUP(($B406*10)+5,Results,$G$3,FALSE)</f>
        <v>0</v>
      </c>
      <c r="P406" s="573">
        <f>VLOOKUP(($B406*10)+5,Results,$H$3,FALSE)</f>
        <v>0</v>
      </c>
      <c r="Q406" s="495">
        <f>VLOOKUP(($B406*10)+6,Results,$G$3,FALSE)</f>
        <v>0</v>
      </c>
      <c r="R406" s="573">
        <f>VLOOKUP(($B406*10)+6,Results,$H$3,FALSE)</f>
        <v>0</v>
      </c>
      <c r="S406" s="496">
        <f>VLOOKUP(($B406*10)+7,Results,$G$3,FALSE)</f>
        <v>0</v>
      </c>
      <c r="T406" s="573">
        <f>VLOOKUP(($B406*10)+7,Results,$H$3,FALSE)</f>
        <v>0</v>
      </c>
      <c r="U406" s="495">
        <f>VLOOKUP(($B406*10)+8,Results,$G$3,FALSE)</f>
        <v>0</v>
      </c>
      <c r="V406" s="528">
        <f>VLOOKUP(($B406*10)+8,Results,$H$3,FALSE)</f>
        <v>0</v>
      </c>
      <c r="W406" s="600">
        <f>VLOOKUP(($B406*10)+1,Results,$I$3,FALSE)</f>
        <v>6</v>
      </c>
      <c r="X406" s="499">
        <f>VLOOKUP(($B406*10)+2,Results,$I$3,FALSE)</f>
        <v>0</v>
      </c>
      <c r="Y406" s="499">
        <f>VLOOKUP(($B406*10)+3,Results,$I$3,FALSE)</f>
        <v>0</v>
      </c>
      <c r="Z406" s="499">
        <f>VLOOKUP(($B406*10)+4,Results,$I$3,FALSE)</f>
        <v>0</v>
      </c>
      <c r="AA406" s="499">
        <f>VLOOKUP(($B406*10)+5,Results,$I$3,FALSE)</f>
        <v>0</v>
      </c>
      <c r="AB406" s="499">
        <f>VLOOKUP(($B406*10)+6,Results,$I$3,FALSE)</f>
        <v>7</v>
      </c>
      <c r="AC406" s="499">
        <f>VLOOKUP(($B406*10)+7,Results,$I$3,FALSE)</f>
        <v>8</v>
      </c>
      <c r="AD406" s="499">
        <f>VLOOKUP(($B406*10)+8,Results,$I$3,FALSE)</f>
        <v>0</v>
      </c>
    </row>
    <row r="407" spans="1:30" x14ac:dyDescent="0.3">
      <c r="A407" s="118" t="str">
        <f>B406&amp;"B"</f>
        <v>42B</v>
      </c>
      <c r="B407" s="506"/>
      <c r="C407" s="572"/>
      <c r="D407" s="479" t="str">
        <f>VLOOKUP(B406,EventsOrder,3,FALSE)</f>
        <v>100m (U18/U20)</v>
      </c>
      <c r="E407" s="515" t="s">
        <v>94</v>
      </c>
      <c r="F407" s="529"/>
      <c r="G407" s="547" t="str">
        <f>VLOOKUP(($B406*10)+1,Results,$F$4,FALSE)</f>
        <v>Scarlett Dawson</v>
      </c>
      <c r="H407" s="517"/>
      <c r="I407" s="548" t="str">
        <f>VLOOKUP(($B406*10)+2,Results,$F$4,FALSE)</f>
        <v>Sophie Godber</v>
      </c>
      <c r="J407" s="517"/>
      <c r="K407" s="548" t="str">
        <f>VLOOKUP(($B406*10)+3,Results,$F$4,FALSE)</f>
        <v/>
      </c>
      <c r="L407" s="517"/>
      <c r="M407" s="548" t="str">
        <f>VLOOKUP(($B406*10)+4,Results,$F$4,FALSE)</f>
        <v/>
      </c>
      <c r="N407" s="517"/>
      <c r="O407" s="548" t="str">
        <f>VLOOKUP(($B406*10)+5,Results,$F$4,FALSE)</f>
        <v/>
      </c>
      <c r="P407" s="517"/>
      <c r="Q407" s="548" t="str">
        <f>VLOOKUP(($B406*10)+6,Results,$F$4,FALSE)</f>
        <v/>
      </c>
      <c r="R407" s="549"/>
      <c r="S407" s="575" t="str">
        <f>VLOOKUP(($B406*10)+7,Results,$F$4,FALSE)</f>
        <v/>
      </c>
      <c r="T407" s="517"/>
      <c r="U407" s="548" t="str">
        <f>VLOOKUP(($B406*10)+8,Results,$F$4,FALSE)</f>
        <v/>
      </c>
      <c r="V407" s="519"/>
      <c r="W407" s="599"/>
      <c r="X407" s="488"/>
      <c r="Y407" s="488"/>
      <c r="Z407" s="488"/>
      <c r="AA407" s="488"/>
      <c r="AB407" s="488"/>
      <c r="AC407" s="488"/>
      <c r="AD407" s="488"/>
    </row>
    <row r="408" spans="1:30" ht="15" thickBot="1" x14ac:dyDescent="0.35">
      <c r="A408" s="118" t="str">
        <f>B406&amp;"B"</f>
        <v>42B</v>
      </c>
      <c r="B408" s="506"/>
      <c r="C408" s="576"/>
      <c r="D408" s="502"/>
      <c r="E408" s="523"/>
      <c r="F408" s="503"/>
      <c r="G408" s="554" t="str">
        <f>VLOOKUP(($B406*10)+1,Results,$G$4,FALSE)</f>
        <v>Strat</v>
      </c>
      <c r="H408" s="573">
        <f>VLOOKUP(($B406*10)+1,Results,$H$4,FALSE)</f>
        <v>13.6</v>
      </c>
      <c r="I408" s="556" t="str">
        <f>VLOOKUP(($B406*10)+2,Results,$G$4,FALSE)</f>
        <v>Tam</v>
      </c>
      <c r="J408" s="573">
        <f>VLOOKUP(($B406*10)+2,Results,$H$4,FALSE)</f>
        <v>14.8</v>
      </c>
      <c r="K408" s="556">
        <f>VLOOKUP(($B406*10)+3,Results,$G$4,FALSE)</f>
        <v>0</v>
      </c>
      <c r="L408" s="573">
        <f>VLOOKUP(($B406*10)+3,Results,$H$4,FALSE)</f>
        <v>0</v>
      </c>
      <c r="M408" s="556">
        <f>VLOOKUP(($B406*10)+4,Results,$G$4,FALSE)</f>
        <v>0</v>
      </c>
      <c r="N408" s="573">
        <f>VLOOKUP(($B406*10)+4,Results,$H$4,FALSE)</f>
        <v>0</v>
      </c>
      <c r="O408" s="556">
        <f>VLOOKUP(($B406*10)+5,Results,$G$4,FALSE)</f>
        <v>0</v>
      </c>
      <c r="P408" s="573">
        <f>VLOOKUP(($B406*10)+5,Results,$H$4,FALSE)</f>
        <v>0</v>
      </c>
      <c r="Q408" s="556">
        <f>VLOOKUP(($B406*10)+6,Results,$G$4,FALSE)</f>
        <v>0</v>
      </c>
      <c r="R408" s="573">
        <f>VLOOKUP(($B406*10)+6,Results,$H$4,FALSE)</f>
        <v>0</v>
      </c>
      <c r="S408" s="556">
        <f>VLOOKUP(($B406*10)+7,Results,$G$4,FALSE)</f>
        <v>0</v>
      </c>
      <c r="T408" s="573">
        <f>VLOOKUP(($B406*10)+7,Results,$H$4,FALSE)</f>
        <v>0</v>
      </c>
      <c r="U408" s="556">
        <f>VLOOKUP(($B406*10)+8,Results,$G$4,FALSE)</f>
        <v>0</v>
      </c>
      <c r="V408" s="528">
        <f>VLOOKUP(($B406*10)+8,Results,$H$4,FALSE)</f>
        <v>0</v>
      </c>
      <c r="W408" s="600">
        <f>VLOOKUP(($B406*10)+1,Results,$I$4,FALSE)</f>
        <v>0</v>
      </c>
      <c r="X408" s="499">
        <f>VLOOKUP(($B406*10)+2,Results,$I$4,FALSE)</f>
        <v>0</v>
      </c>
      <c r="Y408" s="499">
        <f>VLOOKUP(($B406*10)+3,Results,$I$4,FALSE)</f>
        <v>0</v>
      </c>
      <c r="Z408" s="499">
        <f>VLOOKUP(($B406*10)+4,Results,$I$4,FALSE)</f>
        <v>0</v>
      </c>
      <c r="AA408" s="499">
        <f>VLOOKUP(($B406*10)+5,Results,$I$4,FALSE)</f>
        <v>0</v>
      </c>
      <c r="AB408" s="499">
        <f>VLOOKUP(($B406*10)+6,Results,$I$4,FALSE)</f>
        <v>8</v>
      </c>
      <c r="AC408" s="499">
        <f>VLOOKUP(($B406*10)+7,Results,$I$4,FALSE)</f>
        <v>7</v>
      </c>
      <c r="AD408" s="499">
        <f>VLOOKUP(($B406*10)+8,Results,$I$4,FALSE)</f>
        <v>0</v>
      </c>
    </row>
    <row r="409" spans="1:30" x14ac:dyDescent="0.3">
      <c r="A409" s="118" t="str">
        <f>B410&amp;"A"</f>
        <v>48A</v>
      </c>
      <c r="B409" s="506"/>
      <c r="C409" s="571"/>
      <c r="D409" s="479" t="str">
        <f>VLOOKUP(B410,EventsOrder,4,FALSE)</f>
        <v>U18 Female</v>
      </c>
      <c r="E409" s="515" t="s">
        <v>149</v>
      </c>
      <c r="F409" s="480"/>
      <c r="G409" s="481" t="str">
        <f>VLOOKUP(($B410*10)+1,Results,$F$3,FALSE)</f>
        <v/>
      </c>
      <c r="H409" s="482"/>
      <c r="I409" s="483" t="str">
        <f>VLOOKUP(($B410*10)+2,Results,$F$3,FALSE)</f>
        <v/>
      </c>
      <c r="J409" s="482"/>
      <c r="K409" s="483" t="str">
        <f>VLOOKUP(($B410*10)+3,Results,$F$3,FALSE)</f>
        <v/>
      </c>
      <c r="L409" s="482"/>
      <c r="M409" s="483" t="str">
        <f>VLOOKUP(($B410*10)+4,Results,$F$3,FALSE)</f>
        <v/>
      </c>
      <c r="N409" s="482"/>
      <c r="O409" s="483" t="str">
        <f>VLOOKUP(($B410*10)+5,Results,$F$3,FALSE)</f>
        <v/>
      </c>
      <c r="P409" s="482"/>
      <c r="Q409" s="483" t="str">
        <f>VLOOKUP(($B410*10)+6,Results,$F$3,FALSE)</f>
        <v/>
      </c>
      <c r="R409" s="484"/>
      <c r="S409" s="485" t="str">
        <f>VLOOKUP(($B410*10)+7,Results,$F$3,FALSE)</f>
        <v/>
      </c>
      <c r="T409" s="482"/>
      <c r="U409" s="483" t="str">
        <f>VLOOKUP(($B410*10)+8,Results,$F$3,FALSE)</f>
        <v/>
      </c>
      <c r="V409" s="486"/>
      <c r="W409" s="599"/>
      <c r="X409" s="488"/>
      <c r="Y409" s="488"/>
      <c r="Z409" s="488"/>
      <c r="AA409" s="488"/>
      <c r="AB409" s="488"/>
      <c r="AC409" s="488"/>
      <c r="AD409" s="488"/>
    </row>
    <row r="410" spans="1:30" x14ac:dyDescent="0.3">
      <c r="A410" s="118" t="str">
        <f>B410&amp;"A"</f>
        <v>48A</v>
      </c>
      <c r="B410" s="24">
        <v>48</v>
      </c>
      <c r="C410" s="572">
        <f>VLOOKUP(B410,EventsOrder,2,FALSE)</f>
        <v>2.4</v>
      </c>
      <c r="D410" s="490"/>
      <c r="E410" s="11"/>
      <c r="F410" s="492"/>
      <c r="G410" s="493">
        <f>VLOOKUP(($B410*10)+1,Results,$G$3,FALSE)</f>
        <v>0</v>
      </c>
      <c r="H410" s="573">
        <f>VLOOKUP(($B410*10)+1,Results,$H$3,FALSE)</f>
        <v>0</v>
      </c>
      <c r="I410" s="495">
        <f>VLOOKUP(($B410*10)+2,Results,$G$3,FALSE)</f>
        <v>0</v>
      </c>
      <c r="J410" s="573">
        <f>VLOOKUP(($B410*10)+2,Results,$H$3,FALSE)</f>
        <v>0</v>
      </c>
      <c r="K410" s="495">
        <f>VLOOKUP(($B410*10)+3,Results,$G$3,FALSE)</f>
        <v>0</v>
      </c>
      <c r="L410" s="573">
        <f>VLOOKUP(($B410*10)+3,Results,$H$3,FALSE)</f>
        <v>0</v>
      </c>
      <c r="M410" s="495">
        <f>VLOOKUP(($B410*10)+4,Results,$G$3,FALSE)</f>
        <v>0</v>
      </c>
      <c r="N410" s="573">
        <f>VLOOKUP(($B410*10)+4,Results,$H$3,FALSE)</f>
        <v>0</v>
      </c>
      <c r="O410" s="495">
        <f>VLOOKUP(($B410*10)+5,Results,$G$3,FALSE)</f>
        <v>0</v>
      </c>
      <c r="P410" s="573">
        <f>VLOOKUP(($B410*10)+5,Results,$H$3,FALSE)</f>
        <v>0</v>
      </c>
      <c r="Q410" s="495">
        <f>VLOOKUP(($B410*10)+6,Results,$G$3,FALSE)</f>
        <v>0</v>
      </c>
      <c r="R410" s="574">
        <f>VLOOKUP(($B410*10)+6,Results,$H$3,FALSE)</f>
        <v>0</v>
      </c>
      <c r="S410" s="496">
        <f>VLOOKUP(($B410*10)+7,Results,$G$3,FALSE)</f>
        <v>0</v>
      </c>
      <c r="T410" s="573">
        <f>VLOOKUP(($B410*10)+7,Results,$H$3,FALSE)</f>
        <v>0</v>
      </c>
      <c r="U410" s="495">
        <f>VLOOKUP(($B410*10)+8,Results,$G$3,FALSE)</f>
        <v>0</v>
      </c>
      <c r="V410" s="528">
        <f>VLOOKUP(($B410*10)+8,Results,$H$3,FALSE)</f>
        <v>0</v>
      </c>
      <c r="W410" s="600">
        <f>VLOOKUP(($B410*10)+1,Results,$I$3,FALSE)</f>
        <v>0</v>
      </c>
      <c r="X410" s="499">
        <f>VLOOKUP(($B410*10)+2,Results,$I$3,FALSE)</f>
        <v>0</v>
      </c>
      <c r="Y410" s="499">
        <f>VLOOKUP(($B410*10)+3,Results,$I$3,FALSE)</f>
        <v>0</v>
      </c>
      <c r="Z410" s="499">
        <f>VLOOKUP(($B410*10)+4,Results,$I$3,FALSE)</f>
        <v>0</v>
      </c>
      <c r="AA410" s="499">
        <f>VLOOKUP(($B410*10)+5,Results,$I$3,FALSE)</f>
        <v>0</v>
      </c>
      <c r="AB410" s="499">
        <f>VLOOKUP(($B410*10)+6,Results,$I$3,FALSE)</f>
        <v>0</v>
      </c>
      <c r="AC410" s="499">
        <f>VLOOKUP(($B410*10)+7,Results,$I$3,FALSE)</f>
        <v>0</v>
      </c>
      <c r="AD410" s="499">
        <f>VLOOKUP(($B410*10)+8,Results,$I$3,FALSE)</f>
        <v>0</v>
      </c>
    </row>
    <row r="411" spans="1:30" x14ac:dyDescent="0.3">
      <c r="A411" s="118" t="str">
        <f>B410&amp;"B"</f>
        <v>48B</v>
      </c>
      <c r="B411" s="506"/>
      <c r="C411" s="572"/>
      <c r="D411" s="479" t="str">
        <f>VLOOKUP(B410,EventsOrder,3,FALSE)</f>
        <v>Discus (U18)</v>
      </c>
      <c r="E411" s="515" t="s">
        <v>94</v>
      </c>
      <c r="F411" s="529"/>
      <c r="G411" s="547" t="str">
        <f>VLOOKUP(($B410*10)+1,Results,$F$4,FALSE)</f>
        <v/>
      </c>
      <c r="H411" s="517"/>
      <c r="I411" s="548" t="str">
        <f>VLOOKUP(($B410*10)+2,Results,$F$4,FALSE)</f>
        <v/>
      </c>
      <c r="J411" s="517"/>
      <c r="K411" s="548" t="str">
        <f>VLOOKUP(($B410*10)+3,Results,$F$4,FALSE)</f>
        <v/>
      </c>
      <c r="L411" s="517"/>
      <c r="M411" s="548" t="str">
        <f>VLOOKUP(($B410*10)+4,Results,$F$4,FALSE)</f>
        <v/>
      </c>
      <c r="N411" s="517"/>
      <c r="O411" s="548" t="str">
        <f>VLOOKUP(($B410*10)+5,Results,$F$4,FALSE)</f>
        <v/>
      </c>
      <c r="P411" s="517"/>
      <c r="Q411" s="548" t="str">
        <f>VLOOKUP(($B410*10)+6,Results,$F$4,FALSE)</f>
        <v/>
      </c>
      <c r="R411" s="549"/>
      <c r="S411" s="575" t="str">
        <f>VLOOKUP(($B410*10)+7,Results,$F$4,FALSE)</f>
        <v/>
      </c>
      <c r="T411" s="517"/>
      <c r="U411" s="548" t="str">
        <f>VLOOKUP(($B410*10)+8,Results,$F$4,FALSE)</f>
        <v/>
      </c>
      <c r="V411" s="519"/>
      <c r="W411" s="599"/>
      <c r="X411" s="488"/>
      <c r="Y411" s="488"/>
      <c r="Z411" s="488"/>
      <c r="AA411" s="488"/>
      <c r="AB411" s="488"/>
      <c r="AC411" s="488"/>
      <c r="AD411" s="488"/>
    </row>
    <row r="412" spans="1:30" ht="15" thickBot="1" x14ac:dyDescent="0.35">
      <c r="A412" s="118" t="str">
        <f>B410&amp;"B"</f>
        <v>48B</v>
      </c>
      <c r="B412" s="506"/>
      <c r="C412" s="576"/>
      <c r="D412" s="502"/>
      <c r="E412" s="523"/>
      <c r="F412" s="503"/>
      <c r="G412" s="554">
        <f>VLOOKUP(($B410*10)+1,Results,$G$4,FALSE)</f>
        <v>0</v>
      </c>
      <c r="H412" s="573">
        <f>VLOOKUP(($B410*10)+1,Results,$H$4,FALSE)</f>
        <v>0</v>
      </c>
      <c r="I412" s="495">
        <f>VLOOKUP(($B410*10)+2,Results,$G$4,FALSE)</f>
        <v>0</v>
      </c>
      <c r="J412" s="573">
        <f>VLOOKUP(($B410*10)+2,Results,$H$4,FALSE)</f>
        <v>0</v>
      </c>
      <c r="K412" s="495">
        <f>VLOOKUP(($B410*10)+3,Results,$G$4,FALSE)</f>
        <v>0</v>
      </c>
      <c r="L412" s="573">
        <f>VLOOKUP(($B410*10)+3,Results,$H$4,FALSE)</f>
        <v>0</v>
      </c>
      <c r="M412" s="495">
        <f>VLOOKUP(($B410*10)+4,Results,$G$4,FALSE)</f>
        <v>0</v>
      </c>
      <c r="N412" s="573">
        <f>VLOOKUP(($B410*10)+4,Results,$H$4,FALSE)</f>
        <v>0</v>
      </c>
      <c r="O412" s="495">
        <f>VLOOKUP(($B410*10)+5,Results,$G$4,FALSE)</f>
        <v>0</v>
      </c>
      <c r="P412" s="573">
        <f>VLOOKUP(($B410*10)+5,Results,$H$4,FALSE)</f>
        <v>0</v>
      </c>
      <c r="Q412" s="495">
        <f>VLOOKUP(($B410*10)+6,Results,$G$4,FALSE)</f>
        <v>0</v>
      </c>
      <c r="R412" s="574">
        <f>VLOOKUP(($B410*10)+6,Results,$H$4,FALSE)</f>
        <v>0</v>
      </c>
      <c r="S412" s="496">
        <f>VLOOKUP(($B410*10)+7,Results,$G$4,FALSE)</f>
        <v>0</v>
      </c>
      <c r="T412" s="573">
        <f>VLOOKUP(($B410*10)+7,Results,$H$4,FALSE)</f>
        <v>0</v>
      </c>
      <c r="U412" s="495">
        <f>VLOOKUP(($B410*10)+8,Results,$G$4,FALSE)</f>
        <v>0</v>
      </c>
      <c r="V412" s="528">
        <f>VLOOKUP(($B410*10)+8,Results,$H$4,FALSE)</f>
        <v>0</v>
      </c>
      <c r="W412" s="600">
        <f>VLOOKUP(($B410*10)+1,Results,$I$4,FALSE)</f>
        <v>0</v>
      </c>
      <c r="X412" s="499">
        <f>VLOOKUP(($B410*10)+2,Results,$I$4,FALSE)</f>
        <v>0</v>
      </c>
      <c r="Y412" s="499">
        <f>VLOOKUP(($B410*10)+3,Results,$I$4,FALSE)</f>
        <v>0</v>
      </c>
      <c r="Z412" s="499">
        <f>VLOOKUP(($B410*10)+4,Results,$I$4,FALSE)</f>
        <v>0</v>
      </c>
      <c r="AA412" s="499">
        <f>VLOOKUP(($B410*10)+5,Results,$I$4,FALSE)</f>
        <v>0</v>
      </c>
      <c r="AB412" s="499">
        <f>VLOOKUP(($B410*10)+6,Results,$I$4,FALSE)</f>
        <v>0</v>
      </c>
      <c r="AC412" s="499">
        <f>VLOOKUP(($B410*10)+7,Results,$I$4,FALSE)</f>
        <v>0</v>
      </c>
      <c r="AD412" s="499">
        <f>VLOOKUP(($B410*10)+8,Results,$I$4,FALSE)</f>
        <v>0</v>
      </c>
    </row>
    <row r="413" spans="1:30" x14ac:dyDescent="0.3">
      <c r="A413" s="118" t="str">
        <f>B414&amp;"A"</f>
        <v>57A</v>
      </c>
      <c r="B413" s="506"/>
      <c r="C413" s="571"/>
      <c r="D413" s="479" t="str">
        <f>VLOOKUP(B414,EventsOrder,4,FALSE)</f>
        <v>U18 Female</v>
      </c>
      <c r="E413" s="515" t="s">
        <v>149</v>
      </c>
      <c r="F413" s="480"/>
      <c r="G413" s="481" t="str">
        <f>VLOOKUP(($B414*10)+1,Results,$F$3,FALSE)</f>
        <v>Jess Pym</v>
      </c>
      <c r="H413" s="482"/>
      <c r="I413" s="483" t="str">
        <f>VLOOKUP(($B414*10)+2,Results,$F$3,FALSE)</f>
        <v>Darcie Nicholls</v>
      </c>
      <c r="J413" s="482"/>
      <c r="K413" s="483" t="str">
        <f>VLOOKUP(($B414*10)+3,Results,$F$3,FALSE)</f>
        <v>Emily Kendrick</v>
      </c>
      <c r="L413" s="482"/>
      <c r="M413" s="483" t="str">
        <f>VLOOKUP(($B414*10)+4,Results,$F$3,FALSE)</f>
        <v>Chloe Massey</v>
      </c>
      <c r="N413" s="482"/>
      <c r="O413" s="483" t="str">
        <f>VLOOKUP(($B414*10)+5,Results,$F$3,FALSE)</f>
        <v/>
      </c>
      <c r="P413" s="482"/>
      <c r="Q413" s="483" t="str">
        <f>VLOOKUP(($B414*10)+6,Results,$F$3,FALSE)</f>
        <v/>
      </c>
      <c r="R413" s="484"/>
      <c r="S413" s="485" t="str">
        <f>VLOOKUP(($B414*10)+7,Results,$F$3,FALSE)</f>
        <v/>
      </c>
      <c r="T413" s="482"/>
      <c r="U413" s="483" t="str">
        <f>VLOOKUP(($B414*10)+8,Results,$F$3,FALSE)</f>
        <v/>
      </c>
      <c r="V413" s="486"/>
      <c r="W413" s="599"/>
      <c r="X413" s="488"/>
      <c r="Y413" s="488"/>
      <c r="Z413" s="488"/>
      <c r="AA413" s="488"/>
      <c r="AB413" s="488"/>
      <c r="AC413" s="488"/>
      <c r="AD413" s="488"/>
    </row>
    <row r="414" spans="1:30" x14ac:dyDescent="0.3">
      <c r="A414" s="118" t="str">
        <f>B414&amp;"A"</f>
        <v>57A</v>
      </c>
      <c r="B414" s="24">
        <v>57</v>
      </c>
      <c r="C414" s="572">
        <f>VLOOKUP(B414,EventsOrder,2,FALSE)</f>
        <v>3.2</v>
      </c>
      <c r="D414" s="490"/>
      <c r="E414" s="11"/>
      <c r="F414" s="492"/>
      <c r="G414" s="493" t="str">
        <f>VLOOKUP(($B414*10)+1,Results,$G$3,FALSE)</f>
        <v>Sol</v>
      </c>
      <c r="H414" s="505">
        <f>VLOOKUP(($B414*10)+1,Results,$H$3,FALSE)</f>
        <v>1.45</v>
      </c>
      <c r="I414" s="495" t="str">
        <f>VLOOKUP(($B414*10)+2,Results,$G$3,FALSE)</f>
        <v>Strat</v>
      </c>
      <c r="J414" s="505">
        <f>VLOOKUP(($B414*10)+2,Results,$H$3,FALSE)</f>
        <v>1.4</v>
      </c>
      <c r="K414" s="495" t="str">
        <f>VLOOKUP(($B414*10)+3,Results,$G$3,FALSE)</f>
        <v>Rugby</v>
      </c>
      <c r="L414" s="505">
        <f>VLOOKUP(($B414*10)+3,Results,$H$3,FALSE)</f>
        <v>1.4</v>
      </c>
      <c r="M414" s="495" t="str">
        <f>VLOOKUP(($B414*10)+4,Results,$G$3,FALSE)</f>
        <v>Tam</v>
      </c>
      <c r="N414" s="505">
        <f>VLOOKUP(($B414*10)+4,Results,$H$3,FALSE)</f>
        <v>1.3</v>
      </c>
      <c r="O414" s="495">
        <f>VLOOKUP(($B414*10)+5,Results,$G$3,FALSE)</f>
        <v>0</v>
      </c>
      <c r="P414" s="505">
        <f>VLOOKUP(($B414*10)+5,Results,$H$3,FALSE)</f>
        <v>0</v>
      </c>
      <c r="Q414" s="495">
        <f>VLOOKUP(($B414*10)+6,Results,$G$3,FALSE)</f>
        <v>0</v>
      </c>
      <c r="R414" s="1009">
        <f>VLOOKUP(($B414*10)+6,Results,$H$3,FALSE)</f>
        <v>0</v>
      </c>
      <c r="S414" s="496">
        <f>VLOOKUP(($B414*10)+7,Results,$G$3,FALSE)</f>
        <v>0</v>
      </c>
      <c r="T414" s="505">
        <f>VLOOKUP(($B414*10)+7,Results,$H$3,FALSE)</f>
        <v>0</v>
      </c>
      <c r="U414" s="495">
        <f>VLOOKUP(($B414*10)+8,Results,$G$3,FALSE)</f>
        <v>0</v>
      </c>
      <c r="V414" s="601">
        <f>VLOOKUP(($B414*10)+8,Results,$H$3,FALSE)</f>
        <v>0</v>
      </c>
      <c r="W414" s="600">
        <f>VLOOKUP(($B414*10)+1,Results,$I$3,FALSE)</f>
        <v>0</v>
      </c>
      <c r="X414" s="499">
        <f>VLOOKUP(($B414*10)+2,Results,$I$3,FALSE)</f>
        <v>0</v>
      </c>
      <c r="Y414" s="499">
        <f>VLOOKUP(($B414*10)+3,Results,$I$3,FALSE)</f>
        <v>0</v>
      </c>
      <c r="Z414" s="499">
        <f>VLOOKUP(($B414*10)+4,Results,$I$3,FALSE)</f>
        <v>6.5</v>
      </c>
      <c r="AA414" s="499">
        <f>VLOOKUP(($B414*10)+5,Results,$I$3,FALSE)</f>
        <v>8</v>
      </c>
      <c r="AB414" s="499">
        <f>VLOOKUP(($B414*10)+6,Results,$I$3,FALSE)</f>
        <v>6.5</v>
      </c>
      <c r="AC414" s="499">
        <f>VLOOKUP(($B414*10)+7,Results,$I$3,FALSE)</f>
        <v>5</v>
      </c>
      <c r="AD414" s="499">
        <f>VLOOKUP(($B414*10)+8,Results,$I$3,FALSE)</f>
        <v>0</v>
      </c>
    </row>
    <row r="415" spans="1:30" x14ac:dyDescent="0.3">
      <c r="A415" s="118" t="str">
        <f>B414&amp;"B"</f>
        <v>57B</v>
      </c>
      <c r="B415" s="506"/>
      <c r="C415" s="572"/>
      <c r="D415" s="479" t="str">
        <f>VLOOKUP(B414,EventsOrder,3,FALSE)</f>
        <v>High Jump (U18/U20)</v>
      </c>
      <c r="E415" s="515" t="s">
        <v>94</v>
      </c>
      <c r="F415" s="529"/>
      <c r="G415" s="547" t="str">
        <f>VLOOKUP(($B414*10)+1,Results,$F$4,FALSE)</f>
        <v/>
      </c>
      <c r="H415" s="517"/>
      <c r="I415" s="548" t="str">
        <f>VLOOKUP(($B414*10)+2,Results,$F$4,FALSE)</f>
        <v/>
      </c>
      <c r="J415" s="517"/>
      <c r="K415" s="548" t="str">
        <f>VLOOKUP(($B414*10)+3,Results,$F$4,FALSE)</f>
        <v/>
      </c>
      <c r="L415" s="517"/>
      <c r="M415" s="548" t="str">
        <f>VLOOKUP(($B414*10)+4,Results,$F$4,FALSE)</f>
        <v/>
      </c>
      <c r="N415" s="517"/>
      <c r="O415" s="548" t="str">
        <f>VLOOKUP(($B414*10)+5,Results,$F$4,FALSE)</f>
        <v/>
      </c>
      <c r="P415" s="517"/>
      <c r="Q415" s="548" t="str">
        <f>VLOOKUP(($B414*10)+6,Results,$F$4,FALSE)</f>
        <v/>
      </c>
      <c r="R415" s="549"/>
      <c r="S415" s="575" t="str">
        <f>VLOOKUP(($B414*10)+7,Results,$F$4,FALSE)</f>
        <v/>
      </c>
      <c r="T415" s="517"/>
      <c r="U415" s="548" t="str">
        <f>VLOOKUP(($B414*10)+8,Results,$F$4,FALSE)</f>
        <v/>
      </c>
      <c r="V415" s="519"/>
      <c r="W415" s="599"/>
      <c r="X415" s="488"/>
      <c r="Y415" s="488"/>
      <c r="Z415" s="488"/>
      <c r="AA415" s="488"/>
      <c r="AB415" s="488"/>
      <c r="AC415" s="488"/>
      <c r="AD415" s="488"/>
    </row>
    <row r="416" spans="1:30" ht="15" thickBot="1" x14ac:dyDescent="0.35">
      <c r="A416" s="118" t="str">
        <f>B414&amp;"B"</f>
        <v>57B</v>
      </c>
      <c r="B416" s="506"/>
      <c r="C416" s="576"/>
      <c r="D416" s="502"/>
      <c r="E416" s="523"/>
      <c r="F416" s="503"/>
      <c r="G416" s="554">
        <f>VLOOKUP(($B414*10)+1,Results,$G$4,FALSE)</f>
        <v>0</v>
      </c>
      <c r="H416" s="505">
        <f>VLOOKUP(($B414*10)+1,Results,$H$4,FALSE)</f>
        <v>0</v>
      </c>
      <c r="I416" s="495">
        <f>VLOOKUP(($B414*10)+2,Results,$G$4,FALSE)</f>
        <v>0</v>
      </c>
      <c r="J416" s="505">
        <f>VLOOKUP(($B414*10)+2,Results,$H$4,FALSE)</f>
        <v>0</v>
      </c>
      <c r="K416" s="495">
        <f>VLOOKUP(($B414*10)+3,Results,$G$4,FALSE)</f>
        <v>0</v>
      </c>
      <c r="L416" s="505">
        <f>VLOOKUP(($B414*10)+3,Results,$H$4,FALSE)</f>
        <v>0</v>
      </c>
      <c r="M416" s="495">
        <f>VLOOKUP(($B414*10)+4,Results,$G$4,FALSE)</f>
        <v>0</v>
      </c>
      <c r="N416" s="505">
        <f>VLOOKUP(($B414*10)+4,Results,$H$4,FALSE)</f>
        <v>0</v>
      </c>
      <c r="O416" s="495">
        <f>VLOOKUP(($B414*10)+5,Results,$G$4,FALSE)</f>
        <v>0</v>
      </c>
      <c r="P416" s="505">
        <f>VLOOKUP(($B414*10)+5,Results,$H$4,FALSE)</f>
        <v>0</v>
      </c>
      <c r="Q416" s="495">
        <f>VLOOKUP(($B414*10)+6,Results,$G$4,FALSE)</f>
        <v>0</v>
      </c>
      <c r="R416" s="1009">
        <f>VLOOKUP(($B414*10)+6,Results,$H$4,FALSE)</f>
        <v>0</v>
      </c>
      <c r="S416" s="496">
        <f>VLOOKUP(($B414*10)+7,Results,$G$4,FALSE)</f>
        <v>0</v>
      </c>
      <c r="T416" s="505">
        <f>VLOOKUP(($B414*10)+7,Results,$H$4,FALSE)</f>
        <v>0</v>
      </c>
      <c r="U416" s="495">
        <f>VLOOKUP(($B414*10)+8,Results,$G$4,FALSE)</f>
        <v>0</v>
      </c>
      <c r="V416" s="601">
        <f>VLOOKUP(($B414*10)+8,Results,$H$4,FALSE)</f>
        <v>0</v>
      </c>
      <c r="W416" s="600">
        <f>VLOOKUP(($B414*10)+1,Results,$I$4,FALSE)</f>
        <v>0</v>
      </c>
      <c r="X416" s="499">
        <f>VLOOKUP(($B414*10)+2,Results,$I$4,FALSE)</f>
        <v>0</v>
      </c>
      <c r="Y416" s="499">
        <f>VLOOKUP(($B414*10)+3,Results,$I$4,FALSE)</f>
        <v>0</v>
      </c>
      <c r="Z416" s="499">
        <f>VLOOKUP(($B414*10)+4,Results,$I$4,FALSE)</f>
        <v>0</v>
      </c>
      <c r="AA416" s="499">
        <f>VLOOKUP(($B414*10)+5,Results,$I$4,FALSE)</f>
        <v>0</v>
      </c>
      <c r="AB416" s="499">
        <f>VLOOKUP(($B414*10)+6,Results,$I$4,FALSE)</f>
        <v>0</v>
      </c>
      <c r="AC416" s="499">
        <f>VLOOKUP(($B414*10)+7,Results,$I$4,FALSE)</f>
        <v>0</v>
      </c>
      <c r="AD416" s="499">
        <f>VLOOKUP(($B414*10)+8,Results,$I$4,FALSE)</f>
        <v>0</v>
      </c>
    </row>
    <row r="417" spans="1:30" x14ac:dyDescent="0.3">
      <c r="A417" s="118" t="str">
        <f>B418&amp;"A"</f>
        <v>67A</v>
      </c>
      <c r="B417" s="506"/>
      <c r="C417" s="571"/>
      <c r="D417" s="479" t="str">
        <f>VLOOKUP(B418,EventsOrder,4,FALSE)</f>
        <v>U18 Female</v>
      </c>
      <c r="E417" s="515" t="s">
        <v>149</v>
      </c>
      <c r="F417" s="480"/>
      <c r="G417" s="481" t="str">
        <f>VLOOKUP(($B418*10)+1,Results,$F$3,FALSE)</f>
        <v>Maia Collett</v>
      </c>
      <c r="H417" s="482"/>
      <c r="I417" s="483" t="str">
        <f>VLOOKUP(($B418*10)+2,Results,$F$3,FALSE)</f>
        <v>Ava Sheppard</v>
      </c>
      <c r="J417" s="482"/>
      <c r="K417" s="483" t="str">
        <f>VLOOKUP(($B418*10)+3,Results,$F$3,FALSE)</f>
        <v>Jessika Shelley</v>
      </c>
      <c r="L417" s="482"/>
      <c r="M417" s="483" t="str">
        <f>VLOOKUP(($B418*10)+4,Results,$F$3,FALSE)</f>
        <v xml:space="preserve">Hephzibah Emmanuel Kokoh </v>
      </c>
      <c r="N417" s="482"/>
      <c r="O417" s="483" t="str">
        <f>VLOOKUP(($B418*10)+5,Results,$F$3,FALSE)</f>
        <v>Grace Kendrick</v>
      </c>
      <c r="P417" s="482"/>
      <c r="Q417" s="483" t="str">
        <f>VLOOKUP(($B418*10)+6,Results,$F$3,FALSE)</f>
        <v>Chloe Massey</v>
      </c>
      <c r="R417" s="484"/>
      <c r="S417" s="485" t="str">
        <f>VLOOKUP(($B418*10)+7,Results,$F$3,FALSE)</f>
        <v/>
      </c>
      <c r="T417" s="482"/>
      <c r="U417" s="483" t="str">
        <f>VLOOKUP(($B418*10)+8,Results,$F$3,FALSE)</f>
        <v/>
      </c>
      <c r="V417" s="486"/>
      <c r="W417" s="599"/>
      <c r="X417" s="488"/>
      <c r="Y417" s="488"/>
      <c r="Z417" s="488"/>
      <c r="AA417" s="488"/>
      <c r="AB417" s="488"/>
      <c r="AC417" s="488"/>
      <c r="AD417" s="488"/>
    </row>
    <row r="418" spans="1:30" x14ac:dyDescent="0.3">
      <c r="A418" s="118" t="str">
        <f>B418&amp;"A"</f>
        <v>67A</v>
      </c>
      <c r="B418" s="24">
        <v>67</v>
      </c>
      <c r="C418" s="572">
        <f>VLOOKUP(B418,EventsOrder,2,FALSE)</f>
        <v>4</v>
      </c>
      <c r="D418" s="490"/>
      <c r="E418" s="11"/>
      <c r="F418" s="492"/>
      <c r="G418" s="493" t="str">
        <f>VLOOKUP(($B418*10)+1,Results,$G$3,FALSE)</f>
        <v>Sol</v>
      </c>
      <c r="H418" s="573">
        <f>VLOOKUP(($B418*10)+1,Results,$H$3,FALSE)</f>
        <v>4.4400000000000004</v>
      </c>
      <c r="I418" s="495" t="str">
        <f>VLOOKUP(($B418*10)+2,Results,$G$3,FALSE)</f>
        <v>Strat</v>
      </c>
      <c r="J418" s="573">
        <f>VLOOKUP(($B418*10)+2,Results,$H$3,FALSE)</f>
        <v>4.32</v>
      </c>
      <c r="K418" s="495" t="str">
        <f>VLOOKUP(($B418*10)+3,Results,$G$3,FALSE)</f>
        <v>K&amp;S</v>
      </c>
      <c r="L418" s="573">
        <f>VLOOKUP(($B418*10)+3,Results,$H$3,FALSE)</f>
        <v>4.25</v>
      </c>
      <c r="M418" s="495" t="str">
        <f>VLOOKUP(($B418*10)+4,Results,$G$3,FALSE)</f>
        <v>BRAT</v>
      </c>
      <c r="N418" s="573">
        <f>VLOOKUP(($B418*10)+4,Results,$H$3,FALSE)</f>
        <v>4.24</v>
      </c>
      <c r="O418" s="495" t="str">
        <f>VLOOKUP(($B418*10)+5,Results,$G$3,FALSE)</f>
        <v>Rugby</v>
      </c>
      <c r="P418" s="573">
        <f>VLOOKUP(($B418*10)+5,Results,$H$3,FALSE)</f>
        <v>4.18</v>
      </c>
      <c r="Q418" s="495" t="str">
        <f>VLOOKUP(($B418*10)+6,Results,$G$3,FALSE)</f>
        <v>Tam</v>
      </c>
      <c r="R418" s="573">
        <f>VLOOKUP(($B418*10)+6,Results,$H$3,FALSE)</f>
        <v>3.37</v>
      </c>
      <c r="S418" s="496">
        <f>VLOOKUP(($B418*10)+7,Results,$G$3,FALSE)</f>
        <v>0</v>
      </c>
      <c r="T418" s="573">
        <f>VLOOKUP(($B418*10)+7,Results,$H$3,FALSE)</f>
        <v>0</v>
      </c>
      <c r="U418" s="495">
        <f>VLOOKUP(($B418*10)+8,Results,$G$3,FALSE)</f>
        <v>0</v>
      </c>
      <c r="V418" s="528">
        <f>VLOOKUP(($B418*10)+8,Results,$H$3,FALSE)</f>
        <v>0</v>
      </c>
      <c r="W418" s="600">
        <f>VLOOKUP(($B418*10)+1,Results,$I$3,FALSE)</f>
        <v>5</v>
      </c>
      <c r="X418" s="499">
        <f>VLOOKUP(($B418*10)+2,Results,$I$3,FALSE)</f>
        <v>6</v>
      </c>
      <c r="Y418" s="499">
        <f>VLOOKUP(($B418*10)+3,Results,$I$3,FALSE)</f>
        <v>0</v>
      </c>
      <c r="Z418" s="499">
        <f>VLOOKUP(($B418*10)+4,Results,$I$3,FALSE)</f>
        <v>4</v>
      </c>
      <c r="AA418" s="499">
        <f>VLOOKUP(($B418*10)+5,Results,$I$3,FALSE)</f>
        <v>8</v>
      </c>
      <c r="AB418" s="499">
        <f>VLOOKUP(($B418*10)+6,Results,$I$3,FALSE)</f>
        <v>7</v>
      </c>
      <c r="AC418" s="499">
        <f>VLOOKUP(($B418*10)+7,Results,$I$3,FALSE)</f>
        <v>3</v>
      </c>
      <c r="AD418" s="499">
        <f>VLOOKUP(($B418*10)+8,Results,$I$3,FALSE)</f>
        <v>0</v>
      </c>
    </row>
    <row r="419" spans="1:30" x14ac:dyDescent="0.3">
      <c r="A419" s="118" t="str">
        <f>B418&amp;"B"</f>
        <v>67B</v>
      </c>
      <c r="B419" s="506"/>
      <c r="C419" s="572"/>
      <c r="D419" s="479" t="str">
        <f>VLOOKUP(B418,EventsOrder,3,FALSE)</f>
        <v>Long Jump (U18/20)</v>
      </c>
      <c r="E419" s="515" t="s">
        <v>94</v>
      </c>
      <c r="F419" s="529"/>
      <c r="G419" s="547" t="str">
        <f>VLOOKUP(($B418*10)+1,Results,$F$4,FALSE)</f>
        <v/>
      </c>
      <c r="H419" s="517"/>
      <c r="I419" s="548" t="str">
        <f>VLOOKUP(($B418*10)+2,Results,$F$4,FALSE)</f>
        <v/>
      </c>
      <c r="J419" s="517"/>
      <c r="K419" s="548" t="str">
        <f>VLOOKUP(($B418*10)+3,Results,$F$4,FALSE)</f>
        <v/>
      </c>
      <c r="L419" s="517"/>
      <c r="M419" s="548" t="str">
        <f>VLOOKUP(($B418*10)+4,Results,$F$4,FALSE)</f>
        <v/>
      </c>
      <c r="N419" s="517"/>
      <c r="O419" s="548" t="str">
        <f>VLOOKUP(($B418*10)+5,Results,$F$4,FALSE)</f>
        <v/>
      </c>
      <c r="P419" s="517"/>
      <c r="Q419" s="548" t="str">
        <f>VLOOKUP(($B418*10)+6,Results,$F$4,FALSE)</f>
        <v/>
      </c>
      <c r="R419" s="549"/>
      <c r="S419" s="575" t="str">
        <f>VLOOKUP(($B418*10)+7,Results,$F$4,FALSE)</f>
        <v/>
      </c>
      <c r="T419" s="517"/>
      <c r="U419" s="548" t="str">
        <f>VLOOKUP(($B418*10)+8,Results,$F$4,FALSE)</f>
        <v/>
      </c>
      <c r="V419" s="519"/>
      <c r="W419" s="599"/>
      <c r="X419" s="488"/>
      <c r="Y419" s="488"/>
      <c r="Z419" s="488"/>
      <c r="AA419" s="488"/>
      <c r="AB419" s="488"/>
      <c r="AC419" s="488"/>
      <c r="AD419" s="488"/>
    </row>
    <row r="420" spans="1:30" ht="15" thickBot="1" x14ac:dyDescent="0.35">
      <c r="A420" s="118" t="str">
        <f>B418&amp;"B"</f>
        <v>67B</v>
      </c>
      <c r="B420" s="506"/>
      <c r="C420" s="576"/>
      <c r="D420" s="502"/>
      <c r="E420" s="523"/>
      <c r="F420" s="503"/>
      <c r="G420" s="554">
        <f>VLOOKUP(($B418*10)+1,Results,$G$4,FALSE)</f>
        <v>0</v>
      </c>
      <c r="H420" s="573">
        <f>VLOOKUP(($B418*10)+1,Results,$H$4,FALSE)</f>
        <v>0</v>
      </c>
      <c r="I420" s="556">
        <f>VLOOKUP(($B418*10)+2,Results,$G$4,FALSE)</f>
        <v>0</v>
      </c>
      <c r="J420" s="573">
        <f>VLOOKUP(($B418*10)+2,Results,$H$4,FALSE)</f>
        <v>0</v>
      </c>
      <c r="K420" s="556">
        <f>VLOOKUP(($B418*10)+3,Results,$G$4,FALSE)</f>
        <v>0</v>
      </c>
      <c r="L420" s="573">
        <f>VLOOKUP(($B418*10)+3,Results,$H$4,FALSE)</f>
        <v>0</v>
      </c>
      <c r="M420" s="556">
        <f>VLOOKUP(($B418*10)+4,Results,$G$4,FALSE)</f>
        <v>0</v>
      </c>
      <c r="N420" s="573">
        <f>VLOOKUP(($B418*10)+4,Results,$H$4,FALSE)</f>
        <v>0</v>
      </c>
      <c r="O420" s="556">
        <f>VLOOKUP(($B418*10)+5,Results,$G$4,FALSE)</f>
        <v>0</v>
      </c>
      <c r="P420" s="573">
        <f>VLOOKUP(($B418*10)+5,Results,$H$4,FALSE)</f>
        <v>0</v>
      </c>
      <c r="Q420" s="556">
        <f>VLOOKUP(($B418*10)+6,Results,$G$4,FALSE)</f>
        <v>0</v>
      </c>
      <c r="R420" s="573">
        <f>VLOOKUP(($B418*10)+6,Results,$H$4,FALSE)</f>
        <v>0</v>
      </c>
      <c r="S420" s="556">
        <f>VLOOKUP(($B418*10)+7,Results,$G$4,FALSE)</f>
        <v>0</v>
      </c>
      <c r="T420" s="573">
        <f>VLOOKUP(($B418*10)+7,Results,$H$4,FALSE)</f>
        <v>0</v>
      </c>
      <c r="U420" s="556">
        <f>VLOOKUP(($B418*10)+8,Results,$G$4,FALSE)</f>
        <v>0</v>
      </c>
      <c r="V420" s="528">
        <f>VLOOKUP(($B418*10)+8,Results,$H$4,FALSE)</f>
        <v>0</v>
      </c>
      <c r="W420" s="600">
        <f>VLOOKUP(($B418*10)+1,Results,$I$4,FALSE)</f>
        <v>0</v>
      </c>
      <c r="X420" s="499">
        <f>VLOOKUP(($B418*10)+2,Results,$I$4,FALSE)</f>
        <v>0</v>
      </c>
      <c r="Y420" s="499">
        <f>VLOOKUP(($B418*10)+3,Results,$I$4,FALSE)</f>
        <v>0</v>
      </c>
      <c r="Z420" s="499">
        <f>VLOOKUP(($B418*10)+4,Results,$I$4,FALSE)</f>
        <v>0</v>
      </c>
      <c r="AA420" s="499">
        <f>VLOOKUP(($B418*10)+5,Results,$I$4,FALSE)</f>
        <v>0</v>
      </c>
      <c r="AB420" s="499">
        <f>VLOOKUP(($B418*10)+6,Results,$I$4,FALSE)</f>
        <v>0</v>
      </c>
      <c r="AC420" s="499">
        <f>VLOOKUP(($B418*10)+7,Results,$I$4,FALSE)</f>
        <v>0</v>
      </c>
      <c r="AD420" s="499">
        <f>VLOOKUP(($B418*10)+8,Results,$I$4,FALSE)</f>
        <v>0</v>
      </c>
    </row>
    <row r="421" spans="1:30" x14ac:dyDescent="0.3">
      <c r="A421" s="118" t="str">
        <f>B422&amp;"A"</f>
        <v>70A</v>
      </c>
      <c r="B421" s="506"/>
      <c r="C421" s="571"/>
      <c r="D421" s="479" t="str">
        <f>VLOOKUP(B422,EventsOrder,4,FALSE)</f>
        <v>U18 Female</v>
      </c>
      <c r="E421" s="515" t="s">
        <v>149</v>
      </c>
      <c r="F421" s="480"/>
      <c r="G421" s="481" t="str">
        <f>VLOOKUP(($B422*10)+1,Results,$F$3,FALSE)</f>
        <v>Lorelai Maxwell</v>
      </c>
      <c r="H421" s="482"/>
      <c r="I421" s="483" t="str">
        <f>VLOOKUP(($B422*10)+2,Results,$F$3,FALSE)</f>
        <v>Ella Smith</v>
      </c>
      <c r="J421" s="482"/>
      <c r="K421" s="483" t="str">
        <f>VLOOKUP(($B422*10)+3,Results,$F$3,FALSE)</f>
        <v>Emma Ross</v>
      </c>
      <c r="L421" s="482"/>
      <c r="M421" s="483" t="str">
        <f>VLOOKUP(($B422*10)+4,Results,$F$3,FALSE)</f>
        <v>Emily Kendrick</v>
      </c>
      <c r="N421" s="482"/>
      <c r="O421" s="483" t="str">
        <f>VLOOKUP(($B422*10)+5,Results,$F$3,FALSE)</f>
        <v xml:space="preserve">Daniella Anozie </v>
      </c>
      <c r="P421" s="482"/>
      <c r="Q421" s="483" t="str">
        <f>VLOOKUP(($B422*10)+6,Results,$F$3,FALSE)</f>
        <v>Ella Purves</v>
      </c>
      <c r="R421" s="484"/>
      <c r="S421" s="485" t="str">
        <f>VLOOKUP(($B422*10)+7,Results,$F$3,FALSE)</f>
        <v/>
      </c>
      <c r="T421" s="482"/>
      <c r="U421" s="483" t="str">
        <f>VLOOKUP(($B422*10)+8,Results,$F$3,FALSE)</f>
        <v/>
      </c>
      <c r="V421" s="486"/>
      <c r="W421" s="599"/>
      <c r="X421" s="488"/>
      <c r="Y421" s="488"/>
      <c r="Z421" s="488"/>
      <c r="AA421" s="488"/>
      <c r="AB421" s="488"/>
      <c r="AC421" s="488"/>
      <c r="AD421" s="488"/>
    </row>
    <row r="422" spans="1:30" x14ac:dyDescent="0.3">
      <c r="A422" s="118" t="str">
        <f>B422&amp;"A"</f>
        <v>70A</v>
      </c>
      <c r="B422" s="24">
        <v>70</v>
      </c>
      <c r="C422" s="572">
        <f>VLOOKUP(B422,EventsOrder,2,FALSE)</f>
        <v>4.1500000000000004</v>
      </c>
      <c r="D422" s="490"/>
      <c r="E422" s="11"/>
      <c r="F422" s="492"/>
      <c r="G422" s="493" t="str">
        <f>VLOOKUP(($B422*10)+1,Results,$G$3,FALSE)</f>
        <v>Tam</v>
      </c>
      <c r="H422" s="505">
        <f>VLOOKUP(($B422*10)+1,Results,$H$3,FALSE)</f>
        <v>26.3</v>
      </c>
      <c r="I422" s="495" t="str">
        <f>VLOOKUP(($B422*10)+2,Results,$G$3,FALSE)</f>
        <v>Strat</v>
      </c>
      <c r="J422" s="505">
        <f>VLOOKUP(($B422*10)+2,Results,$H$3,FALSE)</f>
        <v>27.2</v>
      </c>
      <c r="K422" s="495" t="str">
        <f>VLOOKUP(($B422*10)+3,Results,$G$3,FALSE)</f>
        <v>K&amp;S</v>
      </c>
      <c r="L422" s="505">
        <f>VLOOKUP(($B422*10)+3,Results,$H$3,FALSE)</f>
        <v>27.9</v>
      </c>
      <c r="M422" s="495" t="str">
        <f>VLOOKUP(($B422*10)+4,Results,$G$3,FALSE)</f>
        <v>Rugby</v>
      </c>
      <c r="N422" s="505">
        <f>VLOOKUP(($B422*10)+4,Results,$H$3,FALSE)</f>
        <v>28.8</v>
      </c>
      <c r="O422" s="495" t="str">
        <f>VLOOKUP(($B422*10)+5,Results,$G$3,FALSE)</f>
        <v>BRAT</v>
      </c>
      <c r="P422" s="505">
        <f>VLOOKUP(($B422*10)+5,Results,$H$3,FALSE)</f>
        <v>29.8</v>
      </c>
      <c r="Q422" s="495" t="str">
        <f>VLOOKUP(($B422*10)+6,Results,$G$3,FALSE)</f>
        <v>Worc</v>
      </c>
      <c r="R422" s="505">
        <f>VLOOKUP(($B422*10)+6,Results,$H$3,FALSE)</f>
        <v>29.9</v>
      </c>
      <c r="S422" s="496">
        <f>VLOOKUP(($B422*10)+7,Results,$G$3,FALSE)</f>
        <v>0</v>
      </c>
      <c r="T422" s="505">
        <f>VLOOKUP(($B422*10)+7,Results,$H$3,FALSE)</f>
        <v>0</v>
      </c>
      <c r="U422" s="495">
        <f>VLOOKUP(($B422*10)+8,Results,$G$3,FALSE)</f>
        <v>0</v>
      </c>
      <c r="V422" s="601">
        <f>VLOOKUP(($B422*10)+8,Results,$H$3,FALSE)</f>
        <v>0</v>
      </c>
      <c r="W422" s="600">
        <f>VLOOKUP(($B422*10)+1,Results,$I$3,FALSE)</f>
        <v>4</v>
      </c>
      <c r="X422" s="499">
        <f>VLOOKUP(($B422*10)+2,Results,$I$3,FALSE)</f>
        <v>6</v>
      </c>
      <c r="Y422" s="499">
        <f>VLOOKUP(($B422*10)+3,Results,$I$3,FALSE)</f>
        <v>0</v>
      </c>
      <c r="Z422" s="499">
        <f>VLOOKUP(($B422*10)+4,Results,$I$3,FALSE)</f>
        <v>5</v>
      </c>
      <c r="AA422" s="499">
        <f>VLOOKUP(($B422*10)+5,Results,$I$3,FALSE)</f>
        <v>0</v>
      </c>
      <c r="AB422" s="499">
        <f>VLOOKUP(($B422*10)+6,Results,$I$3,FALSE)</f>
        <v>7</v>
      </c>
      <c r="AC422" s="499">
        <f>VLOOKUP(($B422*10)+7,Results,$I$3,FALSE)</f>
        <v>8</v>
      </c>
      <c r="AD422" s="499">
        <f>VLOOKUP(($B422*10)+8,Results,$I$3,FALSE)</f>
        <v>3</v>
      </c>
    </row>
    <row r="423" spans="1:30" x14ac:dyDescent="0.3">
      <c r="A423" s="118" t="str">
        <f>B422&amp;"B"</f>
        <v>70B</v>
      </c>
      <c r="B423" s="506"/>
      <c r="C423" s="572"/>
      <c r="D423" s="479" t="str">
        <f>VLOOKUP(B422,EventsOrder,3,FALSE)</f>
        <v>200m (U18/U20)</v>
      </c>
      <c r="E423" s="515" t="s">
        <v>94</v>
      </c>
      <c r="F423" s="529"/>
      <c r="G423" s="547" t="str">
        <f>VLOOKUP(($B422*10)+1,Results,$F$4,FALSE)</f>
        <v>Chloe Massey</v>
      </c>
      <c r="H423" s="517"/>
      <c r="I423" s="548" t="str">
        <f>VLOOKUP(($B422*10)+2,Results,$F$4,FALSE)</f>
        <v/>
      </c>
      <c r="J423" s="517"/>
      <c r="K423" s="548" t="str">
        <f>VLOOKUP(($B422*10)+3,Results,$F$4,FALSE)</f>
        <v/>
      </c>
      <c r="L423" s="517"/>
      <c r="M423" s="548" t="str">
        <f>VLOOKUP(($B422*10)+4,Results,$F$4,FALSE)</f>
        <v/>
      </c>
      <c r="N423" s="517"/>
      <c r="O423" s="548" t="str">
        <f>VLOOKUP(($B422*10)+5,Results,$F$4,FALSE)</f>
        <v/>
      </c>
      <c r="P423" s="517"/>
      <c r="Q423" s="548" t="str">
        <f>VLOOKUP(($B422*10)+6,Results,$F$4,FALSE)</f>
        <v/>
      </c>
      <c r="R423" s="549"/>
      <c r="S423" s="575" t="str">
        <f>VLOOKUP(($B422*10)+7,Results,$F$4,FALSE)</f>
        <v/>
      </c>
      <c r="T423" s="517"/>
      <c r="U423" s="548" t="str">
        <f>VLOOKUP(($B422*10)+8,Results,$F$4,FALSE)</f>
        <v/>
      </c>
      <c r="V423" s="519"/>
      <c r="W423" s="599"/>
      <c r="X423" s="488"/>
      <c r="Y423" s="488"/>
      <c r="Z423" s="488"/>
      <c r="AA423" s="488"/>
      <c r="AB423" s="488"/>
      <c r="AC423" s="488"/>
      <c r="AD423" s="488"/>
    </row>
    <row r="424" spans="1:30" ht="15" thickBot="1" x14ac:dyDescent="0.35">
      <c r="A424" s="118" t="str">
        <f>B422&amp;"B"</f>
        <v>70B</v>
      </c>
      <c r="B424" s="530"/>
      <c r="C424" s="576"/>
      <c r="D424" s="502"/>
      <c r="E424" s="523"/>
      <c r="F424" s="503"/>
      <c r="G424" s="554" t="str">
        <f>VLOOKUP(($B422*10)+1,Results,$G$4,FALSE)</f>
        <v>Tam</v>
      </c>
      <c r="H424" s="505">
        <f>VLOOKUP(($B422*10)+1,Results,$H$4,FALSE)</f>
        <v>31.6</v>
      </c>
      <c r="I424" s="495">
        <f>VLOOKUP(($B422*10)+2,Results,$G$4,FALSE)</f>
        <v>0</v>
      </c>
      <c r="J424" s="505">
        <f>VLOOKUP(($B422*10)+2,Results,$H$4,FALSE)</f>
        <v>0</v>
      </c>
      <c r="K424" s="495">
        <f>VLOOKUP(($B422*10)+3,Results,$G$4,FALSE)</f>
        <v>0</v>
      </c>
      <c r="L424" s="505">
        <f>VLOOKUP(($B422*10)+3,Results,$H$4,FALSE)</f>
        <v>0</v>
      </c>
      <c r="M424" s="495">
        <f>VLOOKUP(($B422*10)+4,Results,$G$4,FALSE)</f>
        <v>0</v>
      </c>
      <c r="N424" s="505">
        <f>VLOOKUP(($B422*10)+4,Results,$H$4,FALSE)</f>
        <v>0</v>
      </c>
      <c r="O424" s="495">
        <f>VLOOKUP(($B422*10)+5,Results,$G$4,FALSE)</f>
        <v>0</v>
      </c>
      <c r="P424" s="505">
        <f>VLOOKUP(($B422*10)+5,Results,$H$4,FALSE)</f>
        <v>0</v>
      </c>
      <c r="Q424" s="495">
        <f>VLOOKUP(($B422*10)+6,Results,$G$4,FALSE)</f>
        <v>0</v>
      </c>
      <c r="R424" s="505">
        <f>VLOOKUP(($B422*10)+6,Results,$H$4,FALSE)</f>
        <v>0</v>
      </c>
      <c r="S424" s="496">
        <f>VLOOKUP(($B422*10)+7,Results,$G$4,FALSE)</f>
        <v>0</v>
      </c>
      <c r="T424" s="505">
        <f>VLOOKUP(($B422*10)+7,Results,$H$4,FALSE)</f>
        <v>0</v>
      </c>
      <c r="U424" s="495">
        <f>VLOOKUP(($B422*10)+8,Results,$G$4,FALSE)</f>
        <v>0</v>
      </c>
      <c r="V424" s="601">
        <f>VLOOKUP(($B422*10)+8,Results,$H$4,FALSE)</f>
        <v>0</v>
      </c>
      <c r="W424" s="498">
        <f>VLOOKUP(($B422*10)+1,Results,$I$4,FALSE)</f>
        <v>0</v>
      </c>
      <c r="X424" s="499">
        <f>VLOOKUP(($B422*10)+2,Results,$I$4,FALSE)</f>
        <v>0</v>
      </c>
      <c r="Y424" s="499">
        <f>VLOOKUP(($B422*10)+3,Results,$I$4,FALSE)</f>
        <v>0</v>
      </c>
      <c r="Z424" s="499">
        <f>VLOOKUP(($B422*10)+4,Results,$I$4,FALSE)</f>
        <v>0</v>
      </c>
      <c r="AA424" s="499">
        <f>VLOOKUP(($B422*10)+5,Results,$I$4,FALSE)</f>
        <v>0</v>
      </c>
      <c r="AB424" s="499">
        <f>VLOOKUP(($B422*10)+6,Results,$I$4,FALSE)</f>
        <v>0</v>
      </c>
      <c r="AC424" s="499">
        <f>VLOOKUP(($B422*10)+7,Results,$I$4,FALSE)</f>
        <v>8</v>
      </c>
      <c r="AD424" s="499">
        <f>VLOOKUP(($B422*10)+8,Results,$I$4,FALSE)</f>
        <v>0</v>
      </c>
    </row>
    <row r="425" spans="1:30" x14ac:dyDescent="0.3">
      <c r="A425" s="118" t="str">
        <f>B426&amp;"A"</f>
        <v>84A</v>
      </c>
      <c r="B425" s="506"/>
      <c r="C425" s="524"/>
      <c r="F425" s="480"/>
      <c r="G425" s="481" t="str">
        <f>VLOOKUP(($B426*10)+1,Results,$F$3,FALSE)</f>
        <v/>
      </c>
      <c r="H425" s="482"/>
      <c r="I425" s="483" t="str">
        <f>VLOOKUP(($B426*10)+2,Results,$F$3,FALSE)</f>
        <v/>
      </c>
      <c r="J425" s="484"/>
      <c r="K425" s="485" t="str">
        <f>VLOOKUP(($B426*10)+3,Results,$F$3,FALSE)</f>
        <v/>
      </c>
      <c r="L425" s="482"/>
      <c r="M425" s="483" t="str">
        <f>VLOOKUP(($B426*10)+4,Results,$F$3,FALSE)</f>
        <v/>
      </c>
      <c r="N425" s="482"/>
      <c r="O425" s="483" t="str">
        <f>VLOOKUP(($B426*10)+5,Results,$F$3,FALSE)</f>
        <v/>
      </c>
      <c r="P425" s="482"/>
      <c r="Q425" s="483" t="str">
        <f>VLOOKUP(($B426*10)+6,Results,$F$3,FALSE)</f>
        <v/>
      </c>
      <c r="R425" s="484"/>
      <c r="S425" s="485" t="str">
        <f>VLOOKUP(($B426*10)+7,Results,$F$3,FALSE)</f>
        <v/>
      </c>
      <c r="T425" s="482"/>
      <c r="U425" s="483" t="str">
        <f>VLOOKUP(($B426*10)+8,Results,$F$3,FALSE)</f>
        <v/>
      </c>
      <c r="V425" s="486"/>
      <c r="W425" s="599"/>
      <c r="X425" s="488"/>
      <c r="Y425" s="488"/>
      <c r="Z425" s="488"/>
      <c r="AA425" s="488"/>
      <c r="AB425" s="488"/>
      <c r="AC425" s="488"/>
      <c r="AD425" s="488"/>
    </row>
    <row r="426" spans="1:30" x14ac:dyDescent="0.3">
      <c r="A426" s="118" t="str">
        <f>B426&amp;"A"</f>
        <v>84A</v>
      </c>
      <c r="B426" s="24">
        <v>84</v>
      </c>
      <c r="C426" s="221">
        <f>VLOOKUP(B426,EventsOrder,2,FALSE)</f>
        <v>5</v>
      </c>
      <c r="D426" s="490" t="str">
        <f>VLOOKUP(B426,EventsOrder,4,FALSE)</f>
        <v>U18 Female</v>
      </c>
      <c r="E426" s="491"/>
      <c r="F426" s="492"/>
      <c r="G426" s="493" t="str">
        <f>VLOOKUP(($B426*10)+1,Results,$F$3-1,FALSE)</f>
        <v/>
      </c>
      <c r="H426" s="505">
        <f>VLOOKUP(($B426*10)+1,Results,$H$3,FALSE)</f>
        <v>0</v>
      </c>
      <c r="I426" s="495" t="str">
        <f>VLOOKUP(($B426*10)+2,Results,$F$3-1,FALSE)</f>
        <v/>
      </c>
      <c r="J426" s="505">
        <f>VLOOKUP(($B426*10)+2,Results,$H$3,FALSE)</f>
        <v>0</v>
      </c>
      <c r="K426" s="495" t="str">
        <f>VLOOKUP(($B426*10)+3,Results,$F$3-1,FALSE)</f>
        <v/>
      </c>
      <c r="L426" s="505">
        <f>VLOOKUP(($B426*10)+3,Results,$H$3,FALSE)</f>
        <v>0</v>
      </c>
      <c r="M426" s="495" t="str">
        <f>VLOOKUP(($B426*10)+4,Results,$F$3-1,FALSE)</f>
        <v/>
      </c>
      <c r="N426" s="505">
        <f>VLOOKUP(($B426*10)+4,Results,$H$3,FALSE)</f>
        <v>0</v>
      </c>
      <c r="O426" s="495" t="str">
        <f>VLOOKUP(($B426*10)+5,Results,$F$3-1,FALSE)</f>
        <v/>
      </c>
      <c r="P426" s="505">
        <f>VLOOKUP(($B426*10)+5,Results,$H$3,FALSE)</f>
        <v>0</v>
      </c>
      <c r="Q426" s="527" t="str">
        <f>VLOOKUP(($B426*10)+6,Results,$F$3-1,FALSE)</f>
        <v/>
      </c>
      <c r="R426" s="505">
        <f>VLOOKUP(($B426*10)+6,Results,$H$3,FALSE)</f>
        <v>0</v>
      </c>
      <c r="S426" s="495" t="str">
        <f>VLOOKUP(($B426*10)+7,Results,$F$3-1,FALSE)</f>
        <v/>
      </c>
      <c r="T426" s="505">
        <f>VLOOKUP(($B426*10)+7,Results,$H$3,FALSE)</f>
        <v>0</v>
      </c>
      <c r="U426" s="495" t="str">
        <f>VLOOKUP(($B426*10)+8,Results,$F$3-1,FALSE)</f>
        <v/>
      </c>
      <c r="V426" s="601">
        <f>VLOOKUP(($B426*10)+8,Results,$H$3,FALSE)</f>
        <v>0</v>
      </c>
      <c r="W426" s="600">
        <f>VLOOKUP(($B426*10)+1,Results,$I$3,FALSE)</f>
        <v>0</v>
      </c>
      <c r="X426" s="499">
        <f>VLOOKUP(($B426*10)+2,Results,$I$3,FALSE)</f>
        <v>0</v>
      </c>
      <c r="Y426" s="499">
        <f>VLOOKUP(($B426*10)+3,Results,$I$3,FALSE)</f>
        <v>0</v>
      </c>
      <c r="Z426" s="499">
        <f>VLOOKUP(($B426*10)+4,Results,$I$3,FALSE)</f>
        <v>0</v>
      </c>
      <c r="AA426" s="499">
        <f>VLOOKUP(($B426*10)+5,Results,$I$3,FALSE)</f>
        <v>0</v>
      </c>
      <c r="AB426" s="499">
        <f>VLOOKUP(($B426*10)+6,Results,$I$3,FALSE)</f>
        <v>0</v>
      </c>
      <c r="AC426" s="499">
        <f>VLOOKUP(($B426*10)+7,Results,$I$3,FALSE)</f>
        <v>0</v>
      </c>
      <c r="AD426" s="499">
        <f>VLOOKUP(($B426*10)+8,Results,$I$3,FALSE)</f>
        <v>0</v>
      </c>
    </row>
    <row r="427" spans="1:30" x14ac:dyDescent="0.3">
      <c r="A427" s="118" t="str">
        <f>B426&amp;"B"</f>
        <v>84B</v>
      </c>
      <c r="B427" s="417"/>
      <c r="C427" s="550"/>
      <c r="D427" s="85"/>
      <c r="E427" s="56"/>
      <c r="F427" s="534">
        <v>1</v>
      </c>
      <c r="G427" s="608" t="str">
        <f>IF(LEN(G$426)&gt;1,HLOOKUP(G$426,Relays,$A498,FALSE),"")</f>
        <v/>
      </c>
      <c r="H427" s="620"/>
      <c r="I427" s="559" t="str">
        <f>IF(LEN(I$426)&gt;1,HLOOKUP(I$426,Relays,$A498,FALSE),"")</f>
        <v/>
      </c>
      <c r="J427" s="620"/>
      <c r="K427" s="559" t="str">
        <f>IF(LEN(K$426)&gt;1,HLOOKUP(K$426,Relays,$A498,FALSE),"")</f>
        <v/>
      </c>
      <c r="L427" s="620"/>
      <c r="M427" s="559" t="str">
        <f>IF(LEN(M$426)&gt;1,HLOOKUP(M$426,Relays,$A498,FALSE),"")</f>
        <v/>
      </c>
      <c r="N427" s="561"/>
      <c r="O427" s="559" t="str">
        <f>IF(LEN(O$426)&gt;1,HLOOKUP(O$426,Relays,$A498,FALSE),"")</f>
        <v/>
      </c>
      <c r="P427" s="561"/>
      <c r="Q427" s="559" t="str">
        <f>IF(LEN(Q$426)&gt;1,HLOOKUP(Q$426,Relays,$A498,FALSE),"")</f>
        <v/>
      </c>
      <c r="R427" s="561"/>
      <c r="S427" s="559" t="str">
        <f>IF(LEN(S$426)&gt;1,HLOOKUP(S$426,Relays,$A498,FALSE),"")</f>
        <v/>
      </c>
      <c r="T427" s="561"/>
      <c r="U427" s="559" t="str">
        <f>IF(LEN(U$426)&gt;1,HLOOKUP(U$426,Relays,$A498,FALSE),"")</f>
        <v/>
      </c>
      <c r="V427" s="584"/>
      <c r="W427" s="606"/>
      <c r="X427" s="512"/>
      <c r="Y427" s="512"/>
      <c r="Z427" s="512"/>
      <c r="AA427" s="512"/>
      <c r="AB427" s="512"/>
      <c r="AC427" s="512"/>
      <c r="AD427" s="512"/>
    </row>
    <row r="428" spans="1:30" x14ac:dyDescent="0.3">
      <c r="A428" s="118" t="str">
        <f>B426&amp;"B"</f>
        <v>84B</v>
      </c>
      <c r="B428" s="506"/>
      <c r="D428" s="479" t="str">
        <f>VLOOKUP(B426,EventsOrder,3,FALSE)</f>
        <v>4 x 100m (U18/U20)</v>
      </c>
      <c r="E428" s="56"/>
      <c r="F428" s="534">
        <v>2</v>
      </c>
      <c r="G428" s="609" t="str">
        <f>IF(LEN(G$426)&gt;1,HLOOKUP(G$426,Relays,$A499,FALSE),"")</f>
        <v/>
      </c>
      <c r="H428" s="562"/>
      <c r="I428" s="557" t="str">
        <f>IF(LEN(I$426)&gt;1,HLOOKUP(I$426,Relays,$A499,FALSE),"")</f>
        <v/>
      </c>
      <c r="J428" s="562"/>
      <c r="K428" s="557" t="str">
        <f>IF(LEN(K$426)&gt;1,HLOOKUP(K$426,Relays,$A499,FALSE),"")</f>
        <v/>
      </c>
      <c r="L428" s="562"/>
      <c r="M428" s="557" t="str">
        <f>IF(LEN(M$426)&gt;1,HLOOKUP(M$426,Relays,$A499,FALSE),"")</f>
        <v/>
      </c>
      <c r="N428" s="562"/>
      <c r="O428" s="557" t="str">
        <f>IF(LEN(O$426)&gt;1,HLOOKUP(O$426,Relays,$A499,FALSE),"")</f>
        <v/>
      </c>
      <c r="P428" s="562"/>
      <c r="Q428" s="557" t="str">
        <f>IF(LEN(Q$426)&gt;1,HLOOKUP(Q$426,Relays,$A499,FALSE),"")</f>
        <v/>
      </c>
      <c r="R428" s="562"/>
      <c r="S428" s="557" t="str">
        <f>IF(LEN(S$426)&gt;1,HLOOKUP(S$426,Relays,$A499,FALSE),"")</f>
        <v/>
      </c>
      <c r="T428" s="562"/>
      <c r="U428" s="557" t="str">
        <f>IF(LEN(U$426)&gt;1,HLOOKUP(U$426,Relays,$A499,FALSE),"")</f>
        <v/>
      </c>
      <c r="V428" s="586"/>
      <c r="W428" s="606"/>
      <c r="X428" s="512"/>
      <c r="Y428" s="512"/>
      <c r="Z428" s="512"/>
      <c r="AA428" s="512"/>
      <c r="AB428" s="512"/>
      <c r="AC428" s="512"/>
      <c r="AD428" s="512"/>
    </row>
    <row r="429" spans="1:30" x14ac:dyDescent="0.3">
      <c r="A429" s="118" t="str">
        <f>B426&amp;"R"</f>
        <v>84R</v>
      </c>
      <c r="B429" s="506"/>
      <c r="C429" s="550"/>
      <c r="E429" s="56"/>
      <c r="F429" s="534">
        <v>3</v>
      </c>
      <c r="G429" s="609" t="str">
        <f>IF(LEN(G$426)&gt;1,HLOOKUP(G$426,Relays,$A500,FALSE),"")</f>
        <v/>
      </c>
      <c r="H429" s="560"/>
      <c r="I429" s="557" t="str">
        <f>IF(LEN(I$426)&gt;1,HLOOKUP(I$426,Relays,$A500,FALSE),"")</f>
        <v/>
      </c>
      <c r="J429" s="560"/>
      <c r="K429" s="557" t="str">
        <f>IF(LEN(K$426)&gt;1,HLOOKUP(K$426,Relays,$A500,FALSE),"")</f>
        <v/>
      </c>
      <c r="L429" s="560"/>
      <c r="M429" s="557" t="str">
        <f>IF(LEN(M$426)&gt;1,HLOOKUP(M$426,Relays,$A500,FALSE),"")</f>
        <v/>
      </c>
      <c r="N429" s="560"/>
      <c r="O429" s="557" t="str">
        <f>IF(LEN(O$426)&gt;1,HLOOKUP(O$426,Relays,$A500,FALSE),"")</f>
        <v/>
      </c>
      <c r="P429" s="560"/>
      <c r="Q429" s="557" t="str">
        <f>IF(LEN(Q$426)&gt;1,HLOOKUP(Q$426,Relays,$A500,FALSE),"")</f>
        <v/>
      </c>
      <c r="R429" s="560"/>
      <c r="S429" s="557" t="str">
        <f>IF(LEN(S$426)&gt;1,HLOOKUP(S$426,Relays,$A500,FALSE),"")</f>
        <v/>
      </c>
      <c r="T429" s="560"/>
      <c r="U429" s="557" t="str">
        <f>IF(LEN(U$426)&gt;1,HLOOKUP(U$426,Relays,$A500,FALSE),"")</f>
        <v/>
      </c>
      <c r="V429" s="586"/>
      <c r="W429" s="606"/>
      <c r="X429" s="488"/>
      <c r="Y429" s="488"/>
      <c r="Z429" s="488"/>
      <c r="AA429" s="488"/>
      <c r="AB429" s="488"/>
      <c r="AC429" s="488"/>
      <c r="AD429" s="488"/>
    </row>
    <row r="430" spans="1:30" ht="15" thickBot="1" x14ac:dyDescent="0.35">
      <c r="A430" s="118" t="str">
        <f>B426&amp;"S"</f>
        <v>84S</v>
      </c>
      <c r="B430" s="506"/>
      <c r="C430" s="501"/>
      <c r="D430" s="502"/>
      <c r="E430" s="116"/>
      <c r="F430" s="563">
        <v>4</v>
      </c>
      <c r="G430" s="610" t="str">
        <f>IF(LEN(G$426)&gt;1,HLOOKUP(G$426,Relays,$A501,FALSE),"")</f>
        <v/>
      </c>
      <c r="H430" s="565"/>
      <c r="I430" s="564" t="str">
        <f>IF(LEN(I$426)&gt;1,HLOOKUP(I$426,Relays,$A501,FALSE),"")</f>
        <v/>
      </c>
      <c r="J430" s="565"/>
      <c r="K430" s="564" t="str">
        <f>IF(LEN(K$426)&gt;1,HLOOKUP(K$426,Relays,$A501,FALSE),"")</f>
        <v/>
      </c>
      <c r="L430" s="565"/>
      <c r="M430" s="564" t="str">
        <f>IF(LEN(M$426)&gt;1,HLOOKUP(M$426,Relays,$A501,FALSE),"")</f>
        <v/>
      </c>
      <c r="N430" s="565"/>
      <c r="O430" s="564" t="str">
        <f>IF(LEN(O$426)&gt;1,HLOOKUP(O$426,Relays,$A501,FALSE),"")</f>
        <v/>
      </c>
      <c r="P430" s="565"/>
      <c r="Q430" s="564" t="str">
        <f>IF(LEN(Q$426)&gt;1,HLOOKUP(Q$426,Relays,$A501,FALSE),"")</f>
        <v/>
      </c>
      <c r="R430" s="565"/>
      <c r="S430" s="564" t="str">
        <f>IF(LEN(S$426)&gt;1,HLOOKUP(S$426,Relays,$A501,FALSE),"")</f>
        <v/>
      </c>
      <c r="T430" s="565"/>
      <c r="U430" s="564" t="str">
        <f>IF(LEN(U$426)&gt;1,HLOOKUP(U$426,Relays,$A501,FALSE),"")</f>
        <v/>
      </c>
      <c r="V430" s="588"/>
      <c r="W430" s="607"/>
      <c r="X430" s="521"/>
      <c r="Y430" s="521"/>
      <c r="Z430" s="521"/>
      <c r="AA430" s="521"/>
      <c r="AB430" s="521"/>
      <c r="AC430" s="521"/>
      <c r="AD430" s="521"/>
    </row>
    <row r="431" spans="1:30" x14ac:dyDescent="0.3">
      <c r="B431" s="589"/>
      <c r="C431" s="535"/>
      <c r="D431" s="535"/>
      <c r="E431" s="566"/>
      <c r="F431" s="535"/>
      <c r="G431" s="85"/>
      <c r="H431" s="85"/>
      <c r="I431" s="85"/>
      <c r="J431" s="85"/>
      <c r="K431" s="85"/>
      <c r="L431" s="85"/>
      <c r="M431" s="85"/>
      <c r="N431" s="85"/>
      <c r="O431" s="85"/>
      <c r="P431" s="85"/>
      <c r="Q431" s="85"/>
      <c r="R431" s="85"/>
      <c r="S431" s="85"/>
      <c r="T431" s="85"/>
      <c r="U431" s="85" t="s">
        <v>297</v>
      </c>
      <c r="V431" s="85"/>
      <c r="W431" s="590">
        <f>Officials!C$20</f>
        <v>14</v>
      </c>
      <c r="X431" s="591">
        <f>Officials!D$20</f>
        <v>14</v>
      </c>
      <c r="Y431" s="591">
        <f>Officials!E$20</f>
        <v>12</v>
      </c>
      <c r="Z431" s="591">
        <f>Officials!F$20</f>
        <v>14</v>
      </c>
      <c r="AA431" s="591">
        <f>Officials!G$20</f>
        <v>14</v>
      </c>
      <c r="AB431" s="591">
        <f>Officials!H$20</f>
        <v>14</v>
      </c>
      <c r="AC431" s="591">
        <f>Officials!I$20</f>
        <v>14</v>
      </c>
      <c r="AD431" s="592">
        <f>Officials!J$20</f>
        <v>14</v>
      </c>
    </row>
    <row r="432" spans="1:30" ht="15" thickBot="1" x14ac:dyDescent="0.35">
      <c r="B432" s="534">
        <f>COUNTIF(B381:B431,"&gt;0")</f>
        <v>12</v>
      </c>
      <c r="C432" s="621"/>
      <c r="D432" s="621"/>
      <c r="E432" s="617"/>
      <c r="F432" s="535"/>
      <c r="G432" s="535"/>
      <c r="H432" s="535"/>
      <c r="I432" s="535"/>
      <c r="J432" s="535"/>
      <c r="K432" s="535"/>
      <c r="L432" s="535"/>
      <c r="M432" s="535"/>
      <c r="N432" s="535"/>
      <c r="O432" s="535"/>
      <c r="P432" s="535"/>
      <c r="Q432" s="535"/>
      <c r="R432" s="535"/>
      <c r="S432" s="535"/>
      <c r="T432" s="535"/>
      <c r="U432" s="85" t="s">
        <v>295</v>
      </c>
      <c r="V432" s="535"/>
      <c r="W432" s="593">
        <f t="shared" ref="W432:AD432" si="30">SUM(W381:W431)</f>
        <v>55</v>
      </c>
      <c r="X432" s="537">
        <f t="shared" si="30"/>
        <v>49</v>
      </c>
      <c r="Y432" s="537">
        <f t="shared" si="30"/>
        <v>40</v>
      </c>
      <c r="Z432" s="537">
        <f t="shared" si="30"/>
        <v>58.5</v>
      </c>
      <c r="AA432" s="537">
        <f t="shared" si="30"/>
        <v>49</v>
      </c>
      <c r="AB432" s="537">
        <f t="shared" si="30"/>
        <v>86.5</v>
      </c>
      <c r="AC432" s="537">
        <f t="shared" si="30"/>
        <v>62</v>
      </c>
      <c r="AD432" s="538">
        <f t="shared" si="30"/>
        <v>25</v>
      </c>
    </row>
    <row r="433" spans="1:30" ht="15.6" thickTop="1" thickBot="1" x14ac:dyDescent="0.35">
      <c r="B433" s="617"/>
      <c r="C433" s="621"/>
      <c r="D433" s="621"/>
      <c r="E433" s="617"/>
      <c r="F433" s="535"/>
      <c r="G433" s="535"/>
      <c r="H433" s="535"/>
      <c r="I433" s="535"/>
      <c r="J433" s="535"/>
      <c r="K433" s="535"/>
      <c r="L433" s="535"/>
      <c r="M433" s="535"/>
      <c r="N433" s="535"/>
      <c r="O433" s="535"/>
      <c r="P433" s="535"/>
      <c r="Q433" s="535"/>
      <c r="R433" s="535"/>
      <c r="S433" s="535"/>
      <c r="T433" s="535"/>
      <c r="U433" s="85" t="s">
        <v>27</v>
      </c>
      <c r="V433" s="535"/>
      <c r="W433" s="540">
        <f t="shared" ref="W433:AD433" si="31">RANK(W432,$W432:$AD432)</f>
        <v>4</v>
      </c>
      <c r="X433" s="541">
        <f t="shared" si="31"/>
        <v>5</v>
      </c>
      <c r="Y433" s="541">
        <f t="shared" si="31"/>
        <v>7</v>
      </c>
      <c r="Z433" s="541">
        <f t="shared" si="31"/>
        <v>3</v>
      </c>
      <c r="AA433" s="541">
        <f t="shared" si="31"/>
        <v>5</v>
      </c>
      <c r="AB433" s="541">
        <f t="shared" si="31"/>
        <v>1</v>
      </c>
      <c r="AC433" s="541">
        <f t="shared" si="31"/>
        <v>2</v>
      </c>
      <c r="AD433" s="542">
        <f t="shared" si="31"/>
        <v>8</v>
      </c>
    </row>
    <row r="434" spans="1:30" ht="15" thickBot="1" x14ac:dyDescent="0.35">
      <c r="C434"/>
      <c r="D434"/>
      <c r="H434"/>
      <c r="I434"/>
      <c r="J434"/>
      <c r="K434"/>
      <c r="L434"/>
      <c r="M434"/>
      <c r="N434"/>
      <c r="O434"/>
      <c r="P434"/>
      <c r="Q434"/>
      <c r="R434"/>
      <c r="S434"/>
      <c r="T434"/>
      <c r="U434" s="622"/>
      <c r="V434" s="621"/>
      <c r="W434" s="544"/>
      <c r="X434" s="544"/>
      <c r="Y434" s="544"/>
      <c r="Z434" s="544"/>
      <c r="AA434" s="544"/>
      <c r="AB434" s="544"/>
      <c r="AC434" s="544"/>
      <c r="AD434" s="544"/>
    </row>
    <row r="435" spans="1:30" ht="38.25" customHeight="1" x14ac:dyDescent="0.3">
      <c r="A435" s="424"/>
      <c r="B435" s="1415" t="s">
        <v>258</v>
      </c>
      <c r="C435" s="448"/>
      <c r="D435" s="468"/>
      <c r="E435" s="469"/>
      <c r="F435" s="467"/>
      <c r="G435" s="567"/>
      <c r="H435" s="567"/>
      <c r="I435" s="568"/>
      <c r="J435" s="567"/>
      <c r="K435" s="689" t="str">
        <f>K378</f>
        <v>Heart of England League Results</v>
      </c>
      <c r="L435" s="569"/>
      <c r="M435" s="568"/>
      <c r="N435" s="567"/>
      <c r="O435" s="567"/>
      <c r="P435" s="569"/>
      <c r="Q435" s="568"/>
      <c r="R435" s="569"/>
      <c r="S435" s="473"/>
      <c r="T435" s="569"/>
      <c r="U435" s="568"/>
      <c r="V435" s="569"/>
      <c r="W435" s="1411" t="str">
        <f>W$8</f>
        <v>BRAT</v>
      </c>
      <c r="X435" s="1411" t="str">
        <f t="shared" ref="X435:AD435" si="32">X$8</f>
        <v>Kidder &amp; Stourport</v>
      </c>
      <c r="Y435" s="1411" t="str">
        <f t="shared" si="32"/>
        <v>Royal Sutton</v>
      </c>
      <c r="Z435" s="1411" t="str">
        <f t="shared" si="32"/>
        <v>Rugby &amp; N'hampton</v>
      </c>
      <c r="AA435" s="1411" t="str">
        <f t="shared" si="32"/>
        <v>Solihull &amp; S.Heath</v>
      </c>
      <c r="AB435" s="1411" t="str">
        <f t="shared" si="32"/>
        <v>Stratford</v>
      </c>
      <c r="AC435" s="1411" t="str">
        <f t="shared" si="32"/>
        <v>Tamworth</v>
      </c>
      <c r="AD435" s="1411" t="str">
        <f t="shared" si="32"/>
        <v>Worcester</v>
      </c>
    </row>
    <row r="436" spans="1:30" ht="40.5" customHeight="1" thickBot="1" x14ac:dyDescent="0.35">
      <c r="A436" s="424"/>
      <c r="B436" s="1416"/>
      <c r="C436" s="455"/>
      <c r="D436" s="456" t="s">
        <v>64</v>
      </c>
      <c r="E436" s="457">
        <f>E379</f>
        <v>1</v>
      </c>
      <c r="F436" s="457"/>
      <c r="G436" s="56"/>
      <c r="H436" s="618" t="s">
        <v>198</v>
      </c>
      <c r="I436" s="459"/>
      <c r="J436" s="433"/>
      <c r="K436" s="460" t="s">
        <v>67</v>
      </c>
      <c r="L436" s="461" t="str">
        <f>L379</f>
        <v>Rugby &amp; N'hampton</v>
      </c>
      <c r="M436" s="459"/>
      <c r="N436" s="459"/>
      <c r="O436" s="459"/>
      <c r="P436" s="456"/>
      <c r="Q436" s="460" t="s">
        <v>66</v>
      </c>
      <c r="R436" s="463" t="str">
        <f>R379</f>
        <v>17th May 2026</v>
      </c>
      <c r="S436" s="459"/>
      <c r="T436" s="459"/>
      <c r="U436" s="459"/>
      <c r="V436" s="459"/>
      <c r="W436" s="1412"/>
      <c r="X436" s="1412"/>
      <c r="Y436" s="1412"/>
      <c r="Z436" s="1412"/>
      <c r="AA436" s="1412"/>
      <c r="AB436" s="1412"/>
      <c r="AC436" s="1412"/>
      <c r="AD436" s="1412"/>
    </row>
    <row r="437" spans="1:30" ht="15" thickBot="1" x14ac:dyDescent="0.35">
      <c r="B437" s="619"/>
      <c r="C437" s="611" t="s">
        <v>168</v>
      </c>
      <c r="D437" s="33" t="s">
        <v>165</v>
      </c>
      <c r="E437" s="476"/>
      <c r="F437" s="546"/>
      <c r="G437" s="1413" t="s">
        <v>286</v>
      </c>
      <c r="H437" s="1413"/>
      <c r="I437" s="1414" t="s">
        <v>287</v>
      </c>
      <c r="J437" s="1414"/>
      <c r="K437" s="1414" t="s">
        <v>288</v>
      </c>
      <c r="L437" s="1414"/>
      <c r="M437" s="1414" t="s">
        <v>289</v>
      </c>
      <c r="N437" s="1414"/>
      <c r="O437" s="1414" t="s">
        <v>290</v>
      </c>
      <c r="P437" s="1414"/>
      <c r="Q437" s="1414" t="s">
        <v>291</v>
      </c>
      <c r="R437" s="1414"/>
      <c r="S437" s="1414" t="s">
        <v>292</v>
      </c>
      <c r="T437" s="1414"/>
      <c r="U437" s="1414" t="s">
        <v>293</v>
      </c>
      <c r="V437" s="1414"/>
      <c r="W437" s="1334" t="str">
        <f>W$10</f>
        <v>S</v>
      </c>
      <c r="X437" s="1334" t="str">
        <f t="shared" ref="X437:AD437" si="33">X$10</f>
        <v>U</v>
      </c>
      <c r="Y437" s="1334" t="str">
        <f t="shared" si="33"/>
        <v>G</v>
      </c>
      <c r="Z437" s="1334" t="str">
        <f t="shared" si="33"/>
        <v>R</v>
      </c>
      <c r="AA437" s="1334" t="str">
        <f t="shared" si="33"/>
        <v>M</v>
      </c>
      <c r="AB437" s="1334" t="str">
        <f t="shared" si="33"/>
        <v>D</v>
      </c>
      <c r="AC437" s="1334" t="str">
        <f t="shared" si="33"/>
        <v>F</v>
      </c>
      <c r="AD437" s="1334" t="str">
        <f t="shared" si="33"/>
        <v>Y</v>
      </c>
    </row>
    <row r="438" spans="1:30" x14ac:dyDescent="0.3">
      <c r="A438" s="118" t="str">
        <f>B439&amp;"A"</f>
        <v>88A</v>
      </c>
      <c r="B438" s="506"/>
      <c r="C438" s="571"/>
      <c r="D438" s="623" t="str">
        <f>VLOOKUP(B439,EventsOrder,4,FALSE)</f>
        <v>U14 Female</v>
      </c>
      <c r="E438" s="5" t="s">
        <v>149</v>
      </c>
      <c r="F438" s="480"/>
      <c r="G438" s="481" t="str">
        <f>VLOOKUP(($B439*10)+1,Results,$F$3,FALSE)</f>
        <v xml:space="preserve">Eliza McLeod </v>
      </c>
      <c r="H438" s="482"/>
      <c r="I438" s="483" t="str">
        <f>VLOOKUP(($B439*10)+2,Results,$F$3,FALSE)</f>
        <v>Isabelle Norris</v>
      </c>
      <c r="J438" s="482"/>
      <c r="K438" s="483" t="str">
        <f>VLOOKUP(($B439*10)+3,Results,$F$3,FALSE)</f>
        <v xml:space="preserve">Sophia Ratnasuriya </v>
      </c>
      <c r="L438" s="482"/>
      <c r="M438" s="483" t="str">
        <f>VLOOKUP(($B439*10)+4,Results,$F$3,FALSE)</f>
        <v/>
      </c>
      <c r="N438" s="482"/>
      <c r="O438" s="483" t="str">
        <f>VLOOKUP(($B439*10)+5,Results,$F$3,FALSE)</f>
        <v/>
      </c>
      <c r="P438" s="482"/>
      <c r="Q438" s="483" t="str">
        <f>VLOOKUP(($B439*10)+6,Results,$F$3,FALSE)</f>
        <v/>
      </c>
      <c r="R438" s="484"/>
      <c r="S438" s="485" t="str">
        <f>VLOOKUP(($B439*10)+7,Results,$F$3,FALSE)</f>
        <v/>
      </c>
      <c r="T438" s="482"/>
      <c r="U438" s="483" t="str">
        <f>VLOOKUP(($B439*10)+8,Results,$F$3,FALSE)</f>
        <v/>
      </c>
      <c r="V438" s="486"/>
      <c r="W438" s="606"/>
      <c r="X438" s="512"/>
      <c r="Y438" s="512"/>
      <c r="Z438" s="512"/>
      <c r="AA438" s="512"/>
      <c r="AB438" s="512"/>
      <c r="AC438" s="512"/>
      <c r="AD438" s="513"/>
    </row>
    <row r="439" spans="1:30" x14ac:dyDescent="0.3">
      <c r="A439" s="118"/>
      <c r="B439" s="24">
        <v>88</v>
      </c>
      <c r="C439" s="572">
        <f>VLOOKUP(B439,EventsOrder,2,FALSE)</f>
        <v>11</v>
      </c>
      <c r="D439" s="479" t="str">
        <f>VLOOKUP(B439,EventsOrder,3,FALSE)</f>
        <v>1500m</v>
      </c>
      <c r="E439" s="515"/>
      <c r="F439" s="68" t="str">
        <f>VLOOKUP(B439,EventsOrder,5,FALSE)</f>
        <v>NS</v>
      </c>
      <c r="G439" s="516">
        <f>VLOOKUP(($B439*10)+1,Results,$L$3,FALSE)</f>
        <v>152</v>
      </c>
      <c r="H439" s="517"/>
      <c r="I439" s="518">
        <f>VLOOKUP(($B439*10)+2,Results,$L$3,FALSE)</f>
        <v>114</v>
      </c>
      <c r="J439" s="517"/>
      <c r="K439" s="518">
        <f>VLOOKUP(($B439*10)+3,Results,$L$3,FALSE)</f>
        <v>30</v>
      </c>
      <c r="L439" s="517"/>
      <c r="M439" s="518" t="str">
        <f>VLOOKUP(($B439*10)+4,Results,$L$3,FALSE)</f>
        <v/>
      </c>
      <c r="N439" s="517"/>
      <c r="O439" s="518" t="str">
        <f>VLOOKUP(($B439*10)+5,Results,$L$3,FALSE)</f>
        <v/>
      </c>
      <c r="P439" s="517"/>
      <c r="Q439" s="518" t="str">
        <f>VLOOKUP(($B439*10)+6,Results,$L$3,FALSE)</f>
        <v/>
      </c>
      <c r="R439" s="517"/>
      <c r="S439" s="518" t="str">
        <f>VLOOKUP(($B439*10)+7,Results,$L$3,FALSE)</f>
        <v/>
      </c>
      <c r="T439" s="517"/>
      <c r="U439" s="518" t="str">
        <f>VLOOKUP(($B439*10)+8,Results,$L$3,FALSE)</f>
        <v/>
      </c>
      <c r="V439" s="519"/>
      <c r="W439" s="606"/>
      <c r="X439" s="512"/>
      <c r="Y439" s="512"/>
      <c r="Z439" s="512"/>
      <c r="AA439" s="512"/>
      <c r="AB439" s="512"/>
      <c r="AC439" s="512"/>
      <c r="AD439" s="513"/>
    </row>
    <row r="440" spans="1:30" ht="15" thickBot="1" x14ac:dyDescent="0.35">
      <c r="A440" s="118" t="str">
        <f>B439&amp;"A"</f>
        <v>88A</v>
      </c>
      <c r="B440" s="417"/>
      <c r="C440" s="1272"/>
      <c r="D440" s="624"/>
      <c r="E440" s="625"/>
      <c r="F440" s="15"/>
      <c r="G440" s="493" t="str">
        <f>VLOOKUP(($B439*10)+1,Results,$G$3,FALSE)</f>
        <v>Strat</v>
      </c>
      <c r="H440" s="505" t="str">
        <f>VLOOKUP(($B439*10)+1,Results,$H$3,FALSE)</f>
        <v>5.37.6</v>
      </c>
      <c r="I440" s="495" t="str">
        <f>VLOOKUP(($B439*10)+2,Results,$G$3,FALSE)</f>
        <v>Rugby</v>
      </c>
      <c r="J440" s="505" t="str">
        <f>VLOOKUP(($B439*10)+2,Results,$H$3,FALSE)</f>
        <v>6.02.7</v>
      </c>
      <c r="K440" s="495" t="str">
        <f>VLOOKUP(($B439*10)+3,Results,$G$3,FALSE)</f>
        <v>BRAT</v>
      </c>
      <c r="L440" s="505" t="str">
        <f>VLOOKUP(($B439*10)+3,Results,$H$3,FALSE)</f>
        <v>6.22.7</v>
      </c>
      <c r="M440" s="495">
        <f>VLOOKUP(($B439*10)+4,Results,$G$3,FALSE)</f>
        <v>0</v>
      </c>
      <c r="N440" s="505">
        <f>VLOOKUP(($B439*10)+4,Results,$H$3,FALSE)</f>
        <v>0</v>
      </c>
      <c r="O440" s="495">
        <f>VLOOKUP(($B439*10)+5,Results,$G$3,FALSE)</f>
        <v>0</v>
      </c>
      <c r="P440" s="505">
        <f>VLOOKUP(($B439*10)+5,Results,$H$3,FALSE)</f>
        <v>0</v>
      </c>
      <c r="Q440" s="495">
        <f>VLOOKUP(($B439*10)+6,Results,$G$3,FALSE)</f>
        <v>0</v>
      </c>
      <c r="R440" s="505">
        <f>VLOOKUP(($B439*10)+6,Results,$H$3,FALSE)</f>
        <v>0</v>
      </c>
      <c r="S440" s="496">
        <f>VLOOKUP(($B439*10)+7,Results,$G$3,FALSE)</f>
        <v>0</v>
      </c>
      <c r="T440" s="505">
        <f>VLOOKUP(($B439*10)+7,Results,$H$3,FALSE)</f>
        <v>0</v>
      </c>
      <c r="U440" s="495">
        <f>VLOOKUP(($B439*10)+8,Results,$G$3,FALSE)</f>
        <v>0</v>
      </c>
      <c r="V440" s="601">
        <f>VLOOKUP(($B439*10)+8,Results,$H$3,FALSE)</f>
        <v>0</v>
      </c>
      <c r="W440" s="606"/>
      <c r="X440" s="512"/>
      <c r="Y440" s="512"/>
      <c r="Z440" s="512"/>
      <c r="AA440" s="512"/>
      <c r="AB440" s="512"/>
      <c r="AC440" s="512"/>
      <c r="AD440" s="513"/>
    </row>
    <row r="441" spans="1:30" x14ac:dyDescent="0.3">
      <c r="A441" s="118" t="str">
        <f>B442&amp;"A"</f>
        <v>89A</v>
      </c>
      <c r="B441" s="506"/>
      <c r="C441" s="571"/>
      <c r="D441" s="623" t="str">
        <f>VLOOKUP(B442,EventsOrder,4,FALSE)</f>
        <v>U16 Female</v>
      </c>
      <c r="E441" s="5" t="s">
        <v>149</v>
      </c>
      <c r="F441" s="9"/>
      <c r="G441" s="481" t="str">
        <f>VLOOKUP(($B442*10)+1,Results,$F$3,FALSE)</f>
        <v/>
      </c>
      <c r="H441" s="482"/>
      <c r="I441" s="483" t="str">
        <f>VLOOKUP(($B442*10)+2,Results,$F$3,FALSE)</f>
        <v/>
      </c>
      <c r="J441" s="482"/>
      <c r="K441" s="483" t="str">
        <f>VLOOKUP(($B442*10)+3,Results,$F$3,FALSE)</f>
        <v/>
      </c>
      <c r="L441" s="482"/>
      <c r="M441" s="483" t="str">
        <f>VLOOKUP(($B442*10)+4,Results,$F$3,FALSE)</f>
        <v/>
      </c>
      <c r="N441" s="482"/>
      <c r="O441" s="483" t="str">
        <f>VLOOKUP(($B442*10)+5,Results,$F$3,FALSE)</f>
        <v/>
      </c>
      <c r="P441" s="482"/>
      <c r="Q441" s="483" t="str">
        <f>VLOOKUP(($B442*10)+6,Results,$F$3,FALSE)</f>
        <v/>
      </c>
      <c r="R441" s="484"/>
      <c r="S441" s="485" t="str">
        <f>VLOOKUP(($B442*10)+7,Results,$F$3,FALSE)</f>
        <v/>
      </c>
      <c r="T441" s="482"/>
      <c r="U441" s="483" t="str">
        <f>VLOOKUP(($B442*10)+8,Results,$F$3,FALSE)</f>
        <v/>
      </c>
      <c r="V441" s="486"/>
      <c r="W441" s="606"/>
      <c r="X441" s="512"/>
      <c r="Y441" s="512"/>
      <c r="Z441" s="512"/>
      <c r="AA441" s="512"/>
      <c r="AB441" s="512"/>
      <c r="AC441" s="512"/>
      <c r="AD441" s="513"/>
    </row>
    <row r="442" spans="1:30" x14ac:dyDescent="0.3">
      <c r="A442" s="118"/>
      <c r="B442" s="24">
        <v>89</v>
      </c>
      <c r="C442" s="572">
        <f>VLOOKUP(B442,EventsOrder,2,FALSE)</f>
        <v>11.1</v>
      </c>
      <c r="D442" s="479" t="str">
        <f>VLOOKUP(B442,EventsOrder,3,FALSE)</f>
        <v>1500m</v>
      </c>
      <c r="E442" s="515"/>
      <c r="F442" s="68" t="str">
        <f>VLOOKUP(B442,EventsOrder,5,FALSE)</f>
        <v>NS</v>
      </c>
      <c r="G442" s="516" t="str">
        <f>VLOOKUP(($B442*10)+1,Results,$L$3,FALSE)</f>
        <v/>
      </c>
      <c r="H442" s="517"/>
      <c r="I442" s="518" t="str">
        <f>VLOOKUP(($B442*10)+2,Results,$L$3,FALSE)</f>
        <v/>
      </c>
      <c r="J442" s="517"/>
      <c r="K442" s="518" t="str">
        <f>VLOOKUP(($B442*10)+3,Results,$L$3,FALSE)</f>
        <v/>
      </c>
      <c r="L442" s="517"/>
      <c r="M442" s="518" t="str">
        <f>VLOOKUP(($B442*10)+4,Results,$L$3,FALSE)</f>
        <v/>
      </c>
      <c r="N442" s="517"/>
      <c r="O442" s="518" t="str">
        <f>VLOOKUP(($B442*10)+5,Results,$L$3,FALSE)</f>
        <v/>
      </c>
      <c r="P442" s="517"/>
      <c r="Q442" s="518" t="str">
        <f>VLOOKUP(($B442*10)+6,Results,$L$3,FALSE)</f>
        <v/>
      </c>
      <c r="R442" s="517"/>
      <c r="S442" s="518" t="str">
        <f>VLOOKUP(($B442*10)+7,Results,$L$3,FALSE)</f>
        <v/>
      </c>
      <c r="T442" s="517"/>
      <c r="U442" s="518" t="str">
        <f>VLOOKUP(($B442*10)+8,Results,$L$3,FALSE)</f>
        <v/>
      </c>
      <c r="V442" s="519"/>
      <c r="W442" s="606"/>
      <c r="X442" s="512"/>
      <c r="Y442" s="512"/>
      <c r="Z442" s="512"/>
      <c r="AA442" s="512"/>
      <c r="AB442" s="512"/>
      <c r="AC442" s="512"/>
      <c r="AD442" s="513"/>
    </row>
    <row r="443" spans="1:30" ht="15" thickBot="1" x14ac:dyDescent="0.35">
      <c r="A443" s="118" t="str">
        <f>B442&amp;"A"</f>
        <v>89A</v>
      </c>
      <c r="B443" s="417"/>
      <c r="C443" s="572"/>
      <c r="D443" s="479"/>
      <c r="E443" s="515"/>
      <c r="F443" s="15"/>
      <c r="G443" s="493">
        <f>VLOOKUP(($B442*10)+1,Results,$G$3,FALSE)</f>
        <v>0</v>
      </c>
      <c r="H443" s="505">
        <f>VLOOKUP(($B442*10)+1,Results,$H$3,FALSE)</f>
        <v>0</v>
      </c>
      <c r="I443" s="495">
        <f>VLOOKUP(($B442*10)+2,Results,$G$3,FALSE)</f>
        <v>0</v>
      </c>
      <c r="J443" s="505">
        <f>VLOOKUP(($B442*10)+2,Results,$H$3,FALSE)</f>
        <v>0</v>
      </c>
      <c r="K443" s="495">
        <f>VLOOKUP(($B442*10)+3,Results,$G$3,FALSE)</f>
        <v>0</v>
      </c>
      <c r="L443" s="505">
        <f>VLOOKUP(($B442*10)+3,Results,$H$3,FALSE)</f>
        <v>0</v>
      </c>
      <c r="M443" s="495">
        <f>VLOOKUP(($B442*10)+4,Results,$G$3,FALSE)</f>
        <v>0</v>
      </c>
      <c r="N443" s="505">
        <f>VLOOKUP(($B442*10)+4,Results,$H$3,FALSE)</f>
        <v>0</v>
      </c>
      <c r="O443" s="495">
        <f>VLOOKUP(($B442*10)+5,Results,$G$3,FALSE)</f>
        <v>0</v>
      </c>
      <c r="P443" s="505">
        <f>VLOOKUP(($B442*10)+5,Results,$H$3,FALSE)</f>
        <v>0</v>
      </c>
      <c r="Q443" s="495">
        <f>VLOOKUP(($B442*10)+6,Results,$G$3,FALSE)</f>
        <v>0</v>
      </c>
      <c r="R443" s="505">
        <f>VLOOKUP(($B442*10)+6,Results,$H$3,FALSE)</f>
        <v>0</v>
      </c>
      <c r="S443" s="496">
        <f>VLOOKUP(($B442*10)+7,Results,$G$3,FALSE)</f>
        <v>0</v>
      </c>
      <c r="T443" s="505">
        <f>VLOOKUP(($B442*10)+7,Results,$H$3,FALSE)</f>
        <v>0</v>
      </c>
      <c r="U443" s="495">
        <f>VLOOKUP(($B442*10)+8,Results,$G$3,FALSE)</f>
        <v>0</v>
      </c>
      <c r="V443" s="601">
        <f>VLOOKUP(($B442*10)+8,Results,$H$3,FALSE)</f>
        <v>0</v>
      </c>
      <c r="W443" s="606"/>
      <c r="X443" s="512"/>
      <c r="Y443" s="512"/>
      <c r="Z443" s="512"/>
      <c r="AA443" s="512"/>
      <c r="AB443" s="512"/>
      <c r="AC443" s="512"/>
      <c r="AD443" s="513"/>
    </row>
    <row r="444" spans="1:30" x14ac:dyDescent="0.3">
      <c r="A444" s="118" t="str">
        <f>B445&amp;"A"</f>
        <v>90A</v>
      </c>
      <c r="B444" s="506"/>
      <c r="C444" s="571"/>
      <c r="D444" s="623" t="str">
        <f>VLOOKUP(B445,EventsOrder,4,FALSE)</f>
        <v>U18 Female</v>
      </c>
      <c r="E444" s="5" t="s">
        <v>149</v>
      </c>
      <c r="F444" s="9"/>
      <c r="G444" s="481" t="str">
        <f>VLOOKUP(($B445*10)+1,Results,$F$3,FALSE)</f>
        <v/>
      </c>
      <c r="H444" s="482"/>
      <c r="I444" s="483" t="str">
        <f>VLOOKUP(($B445*10)+2,Results,$F$3,FALSE)</f>
        <v/>
      </c>
      <c r="J444" s="482"/>
      <c r="K444" s="483" t="str">
        <f>VLOOKUP(($B445*10)+3,Results,$F$3,FALSE)</f>
        <v/>
      </c>
      <c r="L444" s="482"/>
      <c r="M444" s="483" t="str">
        <f>VLOOKUP(($B445*10)+4,Results,$F$3,FALSE)</f>
        <v/>
      </c>
      <c r="N444" s="482"/>
      <c r="O444" s="483" t="str">
        <f>VLOOKUP(($B445*10)+5,Results,$F$3,FALSE)</f>
        <v/>
      </c>
      <c r="P444" s="482"/>
      <c r="Q444" s="483" t="str">
        <f>VLOOKUP(($B445*10)+6,Results,$F$3,FALSE)</f>
        <v/>
      </c>
      <c r="R444" s="484"/>
      <c r="S444" s="485" t="str">
        <f>VLOOKUP(($B445*10)+7,Results,$F$3,FALSE)</f>
        <v/>
      </c>
      <c r="T444" s="482"/>
      <c r="U444" s="483" t="str">
        <f>VLOOKUP(($B445*10)+8,Results,$F$3,FALSE)</f>
        <v/>
      </c>
      <c r="V444" s="486"/>
      <c r="W444" s="606"/>
      <c r="X444" s="512"/>
      <c r="Y444" s="512"/>
      <c r="Z444" s="512"/>
      <c r="AA444" s="512"/>
      <c r="AB444" s="512"/>
      <c r="AC444" s="512"/>
      <c r="AD444" s="513"/>
    </row>
    <row r="445" spans="1:30" x14ac:dyDescent="0.3">
      <c r="A445" s="118"/>
      <c r="B445" s="24">
        <v>90</v>
      </c>
      <c r="C445" s="572">
        <f>VLOOKUP(B445,EventsOrder,2,FALSE)</f>
        <v>11.2</v>
      </c>
      <c r="D445" s="479" t="str">
        <f>VLOOKUP(B445,EventsOrder,3,FALSE)</f>
        <v>1500m (U18/U20)</v>
      </c>
      <c r="E445" s="515"/>
      <c r="F445" s="68" t="str">
        <f>VLOOKUP(B445,EventsOrder,5,FALSE)</f>
        <v>NS</v>
      </c>
      <c r="G445" s="516" t="str">
        <f>VLOOKUP(($B445*10)+1,Results,$L$3,FALSE)</f>
        <v/>
      </c>
      <c r="H445" s="517"/>
      <c r="I445" s="518" t="str">
        <f>VLOOKUP(($B445*10)+2,Results,$L$3,FALSE)</f>
        <v/>
      </c>
      <c r="J445" s="517"/>
      <c r="K445" s="518" t="str">
        <f>VLOOKUP(($B445*10)+3,Results,$L$3,FALSE)</f>
        <v/>
      </c>
      <c r="L445" s="517"/>
      <c r="M445" s="518" t="str">
        <f>VLOOKUP(($B445*10)+4,Results,$L$3,FALSE)</f>
        <v/>
      </c>
      <c r="N445" s="517"/>
      <c r="O445" s="518" t="str">
        <f>VLOOKUP(($B445*10)+5,Results,$L$3,FALSE)</f>
        <v/>
      </c>
      <c r="P445" s="517"/>
      <c r="Q445" s="518" t="str">
        <f>VLOOKUP(($B445*10)+6,Results,$L$3,FALSE)</f>
        <v/>
      </c>
      <c r="R445" s="517"/>
      <c r="S445" s="518" t="str">
        <f>VLOOKUP(($B445*10)+7,Results,$L$3,FALSE)</f>
        <v/>
      </c>
      <c r="T445" s="517"/>
      <c r="U445" s="518" t="str">
        <f>VLOOKUP(($B445*10)+8,Results,$L$3,FALSE)</f>
        <v/>
      </c>
      <c r="V445" s="519"/>
      <c r="W445" s="606"/>
      <c r="X445" s="512"/>
      <c r="Y445" s="512"/>
      <c r="Z445" s="512"/>
      <c r="AA445" s="512"/>
      <c r="AB445" s="512"/>
      <c r="AC445" s="512"/>
      <c r="AD445" s="513"/>
    </row>
    <row r="446" spans="1:30" ht="15" thickBot="1" x14ac:dyDescent="0.35">
      <c r="A446" s="118" t="str">
        <f>B445&amp;"A"</f>
        <v>90A</v>
      </c>
      <c r="B446" s="417"/>
      <c r="C446" s="576"/>
      <c r="D446" s="626"/>
      <c r="E446" s="625"/>
      <c r="F446" s="15"/>
      <c r="G446" s="493">
        <f>VLOOKUP(($B445*10)+1,Results,$G$3,FALSE)</f>
        <v>0</v>
      </c>
      <c r="H446" s="505">
        <f>VLOOKUP(($B445*10)+1,Results,$H$3,FALSE)</f>
        <v>0</v>
      </c>
      <c r="I446" s="495">
        <f>VLOOKUP(($B445*10)+2,Results,$G$3,FALSE)</f>
        <v>0</v>
      </c>
      <c r="J446" s="505">
        <f>VLOOKUP(($B445*10)+2,Results,$H$3,FALSE)</f>
        <v>0</v>
      </c>
      <c r="K446" s="495">
        <f>VLOOKUP(($B445*10)+3,Results,$G$3,FALSE)</f>
        <v>0</v>
      </c>
      <c r="L446" s="505">
        <f>VLOOKUP(($B445*10)+3,Results,$H$3,FALSE)</f>
        <v>0</v>
      </c>
      <c r="M446" s="495">
        <f>VLOOKUP(($B445*10)+4,Results,$G$3,FALSE)</f>
        <v>0</v>
      </c>
      <c r="N446" s="505">
        <f>VLOOKUP(($B445*10)+4,Results,$H$3,FALSE)</f>
        <v>0</v>
      </c>
      <c r="O446" s="495">
        <f>VLOOKUP(($B445*10)+5,Results,$G$3,FALSE)</f>
        <v>0</v>
      </c>
      <c r="P446" s="505">
        <f>VLOOKUP(($B445*10)+5,Results,$H$3,FALSE)</f>
        <v>0</v>
      </c>
      <c r="Q446" s="495">
        <f>VLOOKUP(($B445*10)+6,Results,$G$3,FALSE)</f>
        <v>0</v>
      </c>
      <c r="R446" s="505">
        <f>VLOOKUP(($B445*10)+6,Results,$H$3,FALSE)</f>
        <v>0</v>
      </c>
      <c r="S446" s="496">
        <f>VLOOKUP(($B445*10)+7,Results,$G$3,FALSE)</f>
        <v>0</v>
      </c>
      <c r="T446" s="505">
        <f>VLOOKUP(($B445*10)+7,Results,$H$3,FALSE)</f>
        <v>0</v>
      </c>
      <c r="U446" s="495">
        <f>VLOOKUP(($B445*10)+8,Results,$G$3,FALSE)</f>
        <v>0</v>
      </c>
      <c r="V446" s="601">
        <f>VLOOKUP(($B445*10)+8,Results,$H$3,FALSE)</f>
        <v>0</v>
      </c>
      <c r="W446" s="606"/>
      <c r="X446" s="512"/>
      <c r="Y446" s="512"/>
      <c r="Z446" s="512"/>
      <c r="AA446" s="512"/>
      <c r="AB446" s="512"/>
      <c r="AC446" s="512"/>
      <c r="AD446" s="513"/>
    </row>
    <row r="447" spans="1:30" x14ac:dyDescent="0.3">
      <c r="A447" s="118" t="str">
        <f>B448&amp;"A"</f>
        <v>91A</v>
      </c>
      <c r="B447" s="506"/>
      <c r="C447" s="572"/>
      <c r="D447" s="479" t="str">
        <f>VLOOKUP(B448,EventsOrder,4,FALSE)</f>
        <v>U14 Male</v>
      </c>
      <c r="E447" s="515" t="s">
        <v>149</v>
      </c>
      <c r="F447" s="9"/>
      <c r="G447" s="481" t="str">
        <f>VLOOKUP(($B448*10)+1,Results,$F$3,FALSE)</f>
        <v>Luke Perry</v>
      </c>
      <c r="H447" s="482"/>
      <c r="I447" s="483" t="str">
        <f>VLOOKUP(($B448*10)+2,Results,$F$3,FALSE)</f>
        <v/>
      </c>
      <c r="J447" s="482"/>
      <c r="K447" s="483" t="str">
        <f>VLOOKUP(($B448*10)+3,Results,$F$3,FALSE)</f>
        <v/>
      </c>
      <c r="L447" s="482"/>
      <c r="M447" s="483" t="str">
        <f>VLOOKUP(($B448*10)+4,Results,$F$3,FALSE)</f>
        <v/>
      </c>
      <c r="N447" s="482"/>
      <c r="O447" s="483" t="str">
        <f>VLOOKUP(($B448*10)+5,Results,$F$3,FALSE)</f>
        <v/>
      </c>
      <c r="P447" s="482"/>
      <c r="Q447" s="483" t="str">
        <f>VLOOKUP(($B448*10)+6,Results,$F$3,FALSE)</f>
        <v/>
      </c>
      <c r="R447" s="484"/>
      <c r="S447" s="485" t="str">
        <f>VLOOKUP(($B448*10)+7,Results,$F$3,FALSE)</f>
        <v/>
      </c>
      <c r="T447" s="482"/>
      <c r="U447" s="483" t="str">
        <f>VLOOKUP(($B448*10)+8,Results,$F$3,FALSE)</f>
        <v/>
      </c>
      <c r="V447" s="486"/>
      <c r="W447" s="606"/>
      <c r="X447" s="512"/>
      <c r="Y447" s="512"/>
      <c r="Z447" s="512"/>
      <c r="AA447" s="512"/>
      <c r="AB447" s="512"/>
      <c r="AC447" s="512"/>
      <c r="AD447" s="513"/>
    </row>
    <row r="448" spans="1:30" x14ac:dyDescent="0.3">
      <c r="A448" s="118"/>
      <c r="B448" s="24">
        <v>91</v>
      </c>
      <c r="C448" s="572">
        <f>VLOOKUP(B448,EventsOrder,2,FALSE)</f>
        <v>11.4</v>
      </c>
      <c r="D448" s="479" t="str">
        <f>VLOOKUP(B448,EventsOrder,3,FALSE)</f>
        <v>800m</v>
      </c>
      <c r="E448" s="515"/>
      <c r="F448" s="68" t="str">
        <f>VLOOKUP(B448,EventsOrder,5,FALSE)</f>
        <v>NS</v>
      </c>
      <c r="G448" s="516">
        <f>VLOOKUP(($B448*10)+1,Results,$L$3,FALSE)</f>
        <v>18</v>
      </c>
      <c r="H448" s="517"/>
      <c r="I448" s="518" t="str">
        <f>VLOOKUP(($B448*10)+2,Results,$L$3,FALSE)</f>
        <v/>
      </c>
      <c r="J448" s="517"/>
      <c r="K448" s="518" t="str">
        <f>VLOOKUP(($B448*10)+3,Results,$L$3,FALSE)</f>
        <v/>
      </c>
      <c r="L448" s="517"/>
      <c r="M448" s="518" t="str">
        <f>VLOOKUP(($B448*10)+4,Results,$L$3,FALSE)</f>
        <v/>
      </c>
      <c r="N448" s="517"/>
      <c r="O448" s="518" t="str">
        <f>VLOOKUP(($B448*10)+5,Results,$L$3,FALSE)</f>
        <v/>
      </c>
      <c r="P448" s="517"/>
      <c r="Q448" s="518" t="str">
        <f>VLOOKUP(($B448*10)+6,Results,$L$3,FALSE)</f>
        <v/>
      </c>
      <c r="R448" s="517"/>
      <c r="S448" s="518" t="str">
        <f>VLOOKUP(($B448*10)+7,Results,$L$3,FALSE)</f>
        <v/>
      </c>
      <c r="T448" s="517"/>
      <c r="U448" s="518" t="str">
        <f>VLOOKUP(($B448*10)+8,Results,$L$3,FALSE)</f>
        <v/>
      </c>
      <c r="V448" s="519"/>
      <c r="W448" s="606"/>
      <c r="X448" s="512"/>
      <c r="Y448" s="512"/>
      <c r="Z448" s="512"/>
      <c r="AA448" s="512"/>
      <c r="AB448" s="512"/>
      <c r="AC448" s="512"/>
      <c r="AD448" s="513"/>
    </row>
    <row r="449" spans="1:30" ht="15" thickBot="1" x14ac:dyDescent="0.35">
      <c r="A449" s="118" t="str">
        <f>B448&amp;"A"</f>
        <v>91A</v>
      </c>
      <c r="B449" s="417"/>
      <c r="C449" s="572"/>
      <c r="D449" s="479"/>
      <c r="E449" s="515"/>
      <c r="F449" s="68"/>
      <c r="G449" s="493" t="str">
        <f>VLOOKUP(($B448*10)+1,Results,$G$3,FALSE)</f>
        <v>Royal</v>
      </c>
      <c r="H449" s="505" t="str">
        <f>VLOOKUP(($B448*10)+1,Results,$H$3,FALSE)</f>
        <v>2.46.4</v>
      </c>
      <c r="I449" s="495">
        <f>VLOOKUP(($B448*10)+2,Results,$G$3,FALSE)</f>
        <v>0</v>
      </c>
      <c r="J449" s="505">
        <f>VLOOKUP(($B448*10)+2,Results,$H$3,FALSE)</f>
        <v>0</v>
      </c>
      <c r="K449" s="495">
        <f>VLOOKUP(($B448*10)+3,Results,$G$3,FALSE)</f>
        <v>0</v>
      </c>
      <c r="L449" s="505">
        <f>VLOOKUP(($B448*10)+3,Results,$H$3,FALSE)</f>
        <v>0</v>
      </c>
      <c r="M449" s="495">
        <f>VLOOKUP(($B448*10)+4,Results,$G$3,FALSE)</f>
        <v>0</v>
      </c>
      <c r="N449" s="505">
        <f>VLOOKUP(($B448*10)+4,Results,$H$3,FALSE)</f>
        <v>0</v>
      </c>
      <c r="O449" s="495">
        <f>VLOOKUP(($B448*10)+5,Results,$G$3,FALSE)</f>
        <v>0</v>
      </c>
      <c r="P449" s="505">
        <f>VLOOKUP(($B448*10)+5,Results,$H$3,FALSE)</f>
        <v>0</v>
      </c>
      <c r="Q449" s="495">
        <f>VLOOKUP(($B448*10)+6,Results,$G$3,FALSE)</f>
        <v>0</v>
      </c>
      <c r="R449" s="505">
        <f>VLOOKUP(($B448*10)+6,Results,$H$3,FALSE)</f>
        <v>0</v>
      </c>
      <c r="S449" s="496">
        <f>VLOOKUP(($B448*10)+7,Results,$G$3,FALSE)</f>
        <v>0</v>
      </c>
      <c r="T449" s="505">
        <f>VLOOKUP(($B448*10)+7,Results,$H$3,FALSE)</f>
        <v>0</v>
      </c>
      <c r="U449" s="495">
        <f>VLOOKUP(($B448*10)+8,Results,$G$3,FALSE)</f>
        <v>0</v>
      </c>
      <c r="V449" s="601">
        <f>VLOOKUP(($B448*10)+8,Results,$H$3,FALSE)</f>
        <v>0</v>
      </c>
      <c r="W449" s="606"/>
      <c r="X449" s="512"/>
      <c r="Y449" s="512"/>
      <c r="Z449" s="512"/>
      <c r="AA449" s="512"/>
      <c r="AB449" s="512"/>
      <c r="AC449" s="512"/>
      <c r="AD449" s="513"/>
    </row>
    <row r="450" spans="1:30" x14ac:dyDescent="0.3">
      <c r="A450" s="118" t="str">
        <f>B451&amp;"A"</f>
        <v>92A</v>
      </c>
      <c r="B450" s="506"/>
      <c r="C450" s="571"/>
      <c r="D450" s="623" t="str">
        <f>VLOOKUP(B451,EventsOrder,4,FALSE)</f>
        <v>U16 Male</v>
      </c>
      <c r="E450" s="5" t="s">
        <v>149</v>
      </c>
      <c r="F450" s="9"/>
      <c r="G450" s="481" t="str">
        <f>VLOOKUP(($B451*10)+1,Results,$F$3,FALSE)</f>
        <v xml:space="preserve">Phoenix akalley-Paradissis </v>
      </c>
      <c r="H450" s="482"/>
      <c r="I450" s="483" t="str">
        <f>VLOOKUP(($B451*10)+2,Results,$F$3,FALSE)</f>
        <v>Harvey Kerrell Vaughan</v>
      </c>
      <c r="J450" s="482"/>
      <c r="K450" s="483" t="str">
        <f>VLOOKUP(($B451*10)+3,Results,$F$3,FALSE)</f>
        <v/>
      </c>
      <c r="L450" s="482"/>
      <c r="M450" s="483" t="str">
        <f>VLOOKUP(($B451*10)+4,Results,$F$3,FALSE)</f>
        <v/>
      </c>
      <c r="N450" s="482"/>
      <c r="O450" s="483" t="str">
        <f>VLOOKUP(($B451*10)+5,Results,$F$3,FALSE)</f>
        <v/>
      </c>
      <c r="P450" s="482"/>
      <c r="Q450" s="483" t="str">
        <f>VLOOKUP(($B451*10)+6,Results,$F$3,FALSE)</f>
        <v/>
      </c>
      <c r="R450" s="484"/>
      <c r="S450" s="485" t="str">
        <f>VLOOKUP(($B451*10)+7,Results,$F$3,FALSE)</f>
        <v/>
      </c>
      <c r="T450" s="482"/>
      <c r="U450" s="483" t="str">
        <f>VLOOKUP(($B451*10)+8,Results,$F$3,FALSE)</f>
        <v/>
      </c>
      <c r="V450" s="486"/>
      <c r="W450" s="606"/>
      <c r="X450" s="512"/>
      <c r="Y450" s="512"/>
      <c r="Z450" s="512"/>
      <c r="AA450" s="512"/>
      <c r="AB450" s="512"/>
      <c r="AC450" s="512"/>
      <c r="AD450" s="513"/>
    </row>
    <row r="451" spans="1:30" x14ac:dyDescent="0.3">
      <c r="A451" s="118"/>
      <c r="B451" s="24">
        <v>92</v>
      </c>
      <c r="C451" s="572">
        <f>VLOOKUP(B451,EventsOrder,2,FALSE)</f>
        <v>12.1</v>
      </c>
      <c r="D451" s="479" t="str">
        <f>VLOOKUP(B451,EventsOrder,3,FALSE)</f>
        <v>800m</v>
      </c>
      <c r="E451" s="515"/>
      <c r="F451" s="68" t="str">
        <f>VLOOKUP(B451,EventsOrder,5,FALSE)</f>
        <v>NS</v>
      </c>
      <c r="G451" s="516">
        <f>VLOOKUP(($B451*10)+1,Results,$L$3,FALSE)</f>
        <v>29</v>
      </c>
      <c r="H451" s="517"/>
      <c r="I451" s="518">
        <f>VLOOKUP(($B451*10)+2,Results,$L$3,FALSE)</f>
        <v>125</v>
      </c>
      <c r="J451" s="517"/>
      <c r="K451" s="518" t="str">
        <f>VLOOKUP(($B451*10)+3,Results,$L$3,FALSE)</f>
        <v/>
      </c>
      <c r="L451" s="517"/>
      <c r="M451" s="518" t="str">
        <f>VLOOKUP(($B451*10)+4,Results,$L$3,FALSE)</f>
        <v/>
      </c>
      <c r="N451" s="517"/>
      <c r="O451" s="518" t="str">
        <f>VLOOKUP(($B451*10)+5,Results,$L$3,FALSE)</f>
        <v/>
      </c>
      <c r="P451" s="517"/>
      <c r="Q451" s="518" t="str">
        <f>VLOOKUP(($B451*10)+6,Results,$L$3,FALSE)</f>
        <v/>
      </c>
      <c r="R451" s="517"/>
      <c r="S451" s="518" t="str">
        <f>VLOOKUP(($B451*10)+7,Results,$L$3,FALSE)</f>
        <v/>
      </c>
      <c r="T451" s="517"/>
      <c r="U451" s="518" t="str">
        <f>VLOOKUP(($B451*10)+8,Results,$L$3,FALSE)</f>
        <v/>
      </c>
      <c r="V451" s="519"/>
      <c r="W451" s="606"/>
      <c r="X451" s="512"/>
      <c r="Y451" s="512"/>
      <c r="Z451" s="512"/>
      <c r="AA451" s="512"/>
      <c r="AB451" s="512"/>
      <c r="AC451" s="512"/>
      <c r="AD451" s="513"/>
    </row>
    <row r="452" spans="1:30" ht="15" thickBot="1" x14ac:dyDescent="0.35">
      <c r="A452" s="118" t="str">
        <f>B451&amp;"A"</f>
        <v>92A</v>
      </c>
      <c r="B452" s="417"/>
      <c r="C452" s="576"/>
      <c r="D452" s="626"/>
      <c r="E452" s="625"/>
      <c r="F452" s="75"/>
      <c r="G452" s="493" t="str">
        <f>VLOOKUP(($B451*10)+1,Results,$G$3,FALSE)</f>
        <v>BRAT</v>
      </c>
      <c r="H452" s="505" t="str">
        <f>VLOOKUP(($B451*10)+1,Results,$H$3,FALSE)</f>
        <v>2.33.0</v>
      </c>
      <c r="I452" s="495" t="str">
        <f>VLOOKUP(($B451*10)+2,Results,$G$3,FALSE)</f>
        <v>Rugby</v>
      </c>
      <c r="J452" s="505" t="str">
        <f>VLOOKUP(($B451*10)+2,Results,$H$3,FALSE)</f>
        <v>2.35.0</v>
      </c>
      <c r="K452" s="495">
        <f>VLOOKUP(($B451*10)+3,Results,$G$3,FALSE)</f>
        <v>0</v>
      </c>
      <c r="L452" s="505">
        <f>VLOOKUP(($B451*10)+3,Results,$H$3,FALSE)</f>
        <v>0</v>
      </c>
      <c r="M452" s="495">
        <f>VLOOKUP(($B451*10)+4,Results,$G$3,FALSE)</f>
        <v>0</v>
      </c>
      <c r="N452" s="505">
        <f>VLOOKUP(($B451*10)+4,Results,$H$3,FALSE)</f>
        <v>0</v>
      </c>
      <c r="O452" s="495">
        <f>VLOOKUP(($B451*10)+5,Results,$G$3,FALSE)</f>
        <v>0</v>
      </c>
      <c r="P452" s="505">
        <f>VLOOKUP(($B451*10)+5,Results,$H$3,FALSE)</f>
        <v>0</v>
      </c>
      <c r="Q452" s="495">
        <f>VLOOKUP(($B451*10)+6,Results,$G$3,FALSE)</f>
        <v>0</v>
      </c>
      <c r="R452" s="505">
        <f>VLOOKUP(($B451*10)+6,Results,$H$3,FALSE)</f>
        <v>0</v>
      </c>
      <c r="S452" s="496">
        <f>VLOOKUP(($B451*10)+7,Results,$G$3,FALSE)</f>
        <v>0</v>
      </c>
      <c r="T452" s="505">
        <f>VLOOKUP(($B451*10)+7,Results,$H$3,FALSE)</f>
        <v>0</v>
      </c>
      <c r="U452" s="495">
        <f>VLOOKUP(($B451*10)+8,Results,$G$3,FALSE)</f>
        <v>0</v>
      </c>
      <c r="V452" s="601">
        <f>VLOOKUP(($B451*10)+8,Results,$H$3,FALSE)</f>
        <v>0</v>
      </c>
      <c r="W452" s="606"/>
      <c r="X452" s="512"/>
      <c r="Y452" s="512"/>
      <c r="Z452" s="512"/>
      <c r="AA452" s="512"/>
      <c r="AB452" s="512"/>
      <c r="AC452" s="512"/>
      <c r="AD452" s="513"/>
    </row>
    <row r="453" spans="1:30" x14ac:dyDescent="0.3">
      <c r="A453" s="118" t="str">
        <f>B454&amp;"A"</f>
        <v>93A</v>
      </c>
      <c r="B453" s="506"/>
      <c r="C453" s="572"/>
      <c r="D453" s="479" t="str">
        <f>VLOOKUP(B454,EventsOrder,4,FALSE)</f>
        <v>U18 Men</v>
      </c>
      <c r="E453" s="515" t="s">
        <v>149</v>
      </c>
      <c r="F453" s="9"/>
      <c r="G453" s="481" t="str">
        <f>VLOOKUP(($B454*10)+1,Results,$F$3,FALSE)</f>
        <v/>
      </c>
      <c r="H453" s="482"/>
      <c r="I453" s="483" t="str">
        <f>VLOOKUP(($B454*10)+2,Results,$F$3,FALSE)</f>
        <v/>
      </c>
      <c r="J453" s="482"/>
      <c r="K453" s="483" t="str">
        <f>VLOOKUP(($B454*10)+3,Results,$F$3,FALSE)</f>
        <v/>
      </c>
      <c r="L453" s="482"/>
      <c r="M453" s="483" t="str">
        <f>VLOOKUP(($B454*10)+4,Results,$F$3,FALSE)</f>
        <v/>
      </c>
      <c r="N453" s="482"/>
      <c r="O453" s="483" t="str">
        <f>VLOOKUP(($B454*10)+5,Results,$F$3,FALSE)</f>
        <v/>
      </c>
      <c r="P453" s="482"/>
      <c r="Q453" s="483" t="str">
        <f>VLOOKUP(($B454*10)+6,Results,$F$3,FALSE)</f>
        <v/>
      </c>
      <c r="R453" s="484"/>
      <c r="S453" s="485" t="str">
        <f>VLOOKUP(($B454*10)+7,Results,$F$3,FALSE)</f>
        <v/>
      </c>
      <c r="T453" s="482"/>
      <c r="U453" s="483" t="str">
        <f>VLOOKUP(($B454*10)+8,Results,$F$3,FALSE)</f>
        <v/>
      </c>
      <c r="V453" s="486"/>
      <c r="W453" s="606"/>
      <c r="X453" s="512"/>
      <c r="Y453" s="512"/>
      <c r="Z453" s="512"/>
      <c r="AA453" s="512"/>
      <c r="AB453" s="512"/>
      <c r="AC453" s="512"/>
      <c r="AD453" s="513"/>
    </row>
    <row r="454" spans="1:30" x14ac:dyDescent="0.3">
      <c r="A454" s="118"/>
      <c r="B454" s="24">
        <v>93</v>
      </c>
      <c r="C454" s="572">
        <f>VLOOKUP(B454,EventsOrder,2,FALSE)</f>
        <v>12.2</v>
      </c>
      <c r="D454" s="479" t="str">
        <f>VLOOKUP(B454,EventsOrder,3,FALSE)</f>
        <v>800m (U18/U20)</v>
      </c>
      <c r="E454" s="515"/>
      <c r="F454" s="68" t="str">
        <f>VLOOKUP(B454,EventsOrder,5,FALSE)</f>
        <v>NS</v>
      </c>
      <c r="G454" s="516" t="str">
        <f>VLOOKUP(($B454*10)+1,Results,$L$3,FALSE)</f>
        <v/>
      </c>
      <c r="H454" s="517"/>
      <c r="I454" s="518" t="str">
        <f>VLOOKUP(($B454*10)+2,Results,$L$3,FALSE)</f>
        <v/>
      </c>
      <c r="J454" s="517"/>
      <c r="K454" s="518" t="str">
        <f>VLOOKUP(($B454*10)+3,Results,$L$3,FALSE)</f>
        <v/>
      </c>
      <c r="L454" s="517"/>
      <c r="M454" s="518" t="str">
        <f>VLOOKUP(($B454*10)+4,Results,$L$3,FALSE)</f>
        <v/>
      </c>
      <c r="N454" s="517"/>
      <c r="O454" s="518" t="str">
        <f>VLOOKUP(($B454*10)+5,Results,$L$3,FALSE)</f>
        <v/>
      </c>
      <c r="P454" s="517"/>
      <c r="Q454" s="518" t="str">
        <f>VLOOKUP(($B454*10)+6,Results,$L$3,FALSE)</f>
        <v/>
      </c>
      <c r="R454" s="517"/>
      <c r="S454" s="518" t="str">
        <f>VLOOKUP(($B454*10)+7,Results,$L$3,FALSE)</f>
        <v/>
      </c>
      <c r="T454" s="517"/>
      <c r="U454" s="518" t="str">
        <f>VLOOKUP(($B454*10)+8,Results,$L$3,FALSE)</f>
        <v/>
      </c>
      <c r="V454" s="519"/>
      <c r="W454" s="606"/>
      <c r="X454" s="512"/>
      <c r="Y454" s="512"/>
      <c r="Z454" s="512"/>
      <c r="AA454" s="512"/>
      <c r="AB454" s="512"/>
      <c r="AC454" s="512"/>
      <c r="AD454" s="513"/>
    </row>
    <row r="455" spans="1:30" ht="15" thickBot="1" x14ac:dyDescent="0.35">
      <c r="A455" s="118" t="str">
        <f>B454&amp;"A"</f>
        <v>93A</v>
      </c>
      <c r="B455" s="417"/>
      <c r="C455" s="572"/>
      <c r="D455" s="479"/>
      <c r="E455" s="515"/>
      <c r="F455" s="15"/>
      <c r="G455" s="493">
        <f>VLOOKUP(($B454*10)+1,Results,$G$3,FALSE)</f>
        <v>0</v>
      </c>
      <c r="H455" s="505">
        <f>VLOOKUP(($B454*10)+1,Results,$H$3,FALSE)</f>
        <v>0</v>
      </c>
      <c r="I455" s="495">
        <f>VLOOKUP(($B454*10)+2,Results,$G$3,FALSE)</f>
        <v>0</v>
      </c>
      <c r="J455" s="505">
        <f>VLOOKUP(($B454*10)+2,Results,$H$3,FALSE)</f>
        <v>0</v>
      </c>
      <c r="K455" s="495">
        <f>VLOOKUP(($B454*10)+3,Results,$G$3,FALSE)</f>
        <v>0</v>
      </c>
      <c r="L455" s="505">
        <f>VLOOKUP(($B454*10)+3,Results,$H$3,FALSE)</f>
        <v>0</v>
      </c>
      <c r="M455" s="495">
        <f>VLOOKUP(($B454*10)+4,Results,$G$3,FALSE)</f>
        <v>0</v>
      </c>
      <c r="N455" s="505">
        <f>VLOOKUP(($B454*10)+4,Results,$H$3,FALSE)</f>
        <v>0</v>
      </c>
      <c r="O455" s="495">
        <f>VLOOKUP(($B454*10)+5,Results,$G$3,FALSE)</f>
        <v>0</v>
      </c>
      <c r="P455" s="505">
        <f>VLOOKUP(($B454*10)+5,Results,$H$3,FALSE)</f>
        <v>0</v>
      </c>
      <c r="Q455" s="495">
        <f>VLOOKUP(($B454*10)+6,Results,$G$3,FALSE)</f>
        <v>0</v>
      </c>
      <c r="R455" s="505">
        <f>VLOOKUP(($B454*10)+6,Results,$H$3,FALSE)</f>
        <v>0</v>
      </c>
      <c r="S455" s="496">
        <f>VLOOKUP(($B454*10)+7,Results,$G$3,FALSE)</f>
        <v>0</v>
      </c>
      <c r="T455" s="505">
        <f>VLOOKUP(($B454*10)+7,Results,$H$3,FALSE)</f>
        <v>0</v>
      </c>
      <c r="U455" s="495">
        <f>VLOOKUP(($B454*10)+8,Results,$G$3,FALSE)</f>
        <v>0</v>
      </c>
      <c r="V455" s="601">
        <f>VLOOKUP(($B454*10)+8,Results,$H$3,FALSE)</f>
        <v>0</v>
      </c>
      <c r="W455" s="606"/>
      <c r="X455" s="512"/>
      <c r="Y455" s="512"/>
      <c r="Z455" s="512"/>
      <c r="AA455" s="512"/>
      <c r="AB455" s="512"/>
      <c r="AC455" s="512"/>
      <c r="AD455" s="513"/>
    </row>
    <row r="456" spans="1:30" x14ac:dyDescent="0.3">
      <c r="A456" s="118" t="str">
        <f>B457&amp;"A"</f>
        <v>94A</v>
      </c>
      <c r="B456" s="506"/>
      <c r="C456" s="571"/>
      <c r="D456" s="623" t="str">
        <f>VLOOKUP(B457,EventsOrder,4,FALSE)</f>
        <v>U14 Female</v>
      </c>
      <c r="E456" s="5" t="s">
        <v>149</v>
      </c>
      <c r="F456" s="9"/>
      <c r="G456" s="481" t="str">
        <f>VLOOKUP(($B457*10)+1,Results,$F$3,FALSE)</f>
        <v>Evangaline Grover</v>
      </c>
      <c r="H456" s="482"/>
      <c r="I456" s="483" t="str">
        <f>VLOOKUP(($B457*10)+2,Results,$F$3,FALSE)</f>
        <v>Evelyn Fallis</v>
      </c>
      <c r="J456" s="482"/>
      <c r="K456" s="483" t="str">
        <f>VLOOKUP(($B457*10)+3,Results,$F$3,FALSE)</f>
        <v/>
      </c>
      <c r="L456" s="482"/>
      <c r="M456" s="483" t="str">
        <f>VLOOKUP(($B457*10)+4,Results,$F$3,FALSE)</f>
        <v/>
      </c>
      <c r="N456" s="482"/>
      <c r="O456" s="483" t="str">
        <f>VLOOKUP(($B457*10)+5,Results,$F$3,FALSE)</f>
        <v/>
      </c>
      <c r="P456" s="482"/>
      <c r="Q456" s="483" t="str">
        <f>VLOOKUP(($B457*10)+6,Results,$F$3,FALSE)</f>
        <v/>
      </c>
      <c r="R456" s="484"/>
      <c r="S456" s="485" t="str">
        <f>VLOOKUP(($B457*10)+7,Results,$F$3,FALSE)</f>
        <v/>
      </c>
      <c r="T456" s="482"/>
      <c r="U456" s="483" t="str">
        <f>VLOOKUP(($B457*10)+8,Results,$F$3,FALSE)</f>
        <v/>
      </c>
      <c r="V456" s="486"/>
      <c r="W456" s="606"/>
      <c r="X456" s="512"/>
      <c r="Y456" s="512"/>
      <c r="Z456" s="512"/>
      <c r="AA456" s="512"/>
      <c r="AB456" s="512"/>
      <c r="AC456" s="512"/>
      <c r="AD456" s="513"/>
    </row>
    <row r="457" spans="1:30" x14ac:dyDescent="0.3">
      <c r="A457" s="118"/>
      <c r="B457" s="24">
        <v>94</v>
      </c>
      <c r="C457" s="572">
        <f>VLOOKUP(B457,EventsOrder,2,FALSE)</f>
        <v>12.4</v>
      </c>
      <c r="D457" s="479" t="str">
        <f>VLOOKUP(B457,EventsOrder,3,FALSE)</f>
        <v>800m</v>
      </c>
      <c r="E457" s="515"/>
      <c r="F457" s="68" t="str">
        <f>VLOOKUP(B457,EventsOrder,5,FALSE)</f>
        <v>NS</v>
      </c>
      <c r="G457" s="516">
        <f>VLOOKUP(($B457*10)+1,Results,$L$3,FALSE)</f>
        <v>77</v>
      </c>
      <c r="H457" s="517"/>
      <c r="I457" s="518">
        <f>VLOOKUP(($B457*10)+2,Results,$L$3,FALSE)</f>
        <v>54</v>
      </c>
      <c r="J457" s="517"/>
      <c r="K457" s="518" t="str">
        <f>VLOOKUP(($B457*10)+3,Results,$L$3,FALSE)</f>
        <v/>
      </c>
      <c r="L457" s="517"/>
      <c r="M457" s="518" t="str">
        <f>VLOOKUP(($B457*10)+4,Results,$L$3,FALSE)</f>
        <v/>
      </c>
      <c r="N457" s="517"/>
      <c r="O457" s="518" t="str">
        <f>VLOOKUP(($B457*10)+5,Results,$L$3,FALSE)</f>
        <v/>
      </c>
      <c r="P457" s="517"/>
      <c r="Q457" s="518" t="str">
        <f>VLOOKUP(($B457*10)+6,Results,$L$3,FALSE)</f>
        <v/>
      </c>
      <c r="R457" s="517"/>
      <c r="S457" s="518" t="str">
        <f>VLOOKUP(($B457*10)+7,Results,$L$3,FALSE)</f>
        <v/>
      </c>
      <c r="T457" s="517"/>
      <c r="U457" s="518" t="str">
        <f>VLOOKUP(($B457*10)+8,Results,$L$3,FALSE)</f>
        <v/>
      </c>
      <c r="V457" s="519"/>
      <c r="W457" s="606"/>
      <c r="X457" s="512"/>
      <c r="Y457" s="512"/>
      <c r="Z457" s="512"/>
      <c r="AA457" s="512"/>
      <c r="AB457" s="512"/>
      <c r="AC457" s="512"/>
      <c r="AD457" s="513"/>
    </row>
    <row r="458" spans="1:30" ht="15" thickBot="1" x14ac:dyDescent="0.35">
      <c r="A458" s="118" t="str">
        <f>B457&amp;"A"</f>
        <v>94A</v>
      </c>
      <c r="B458" s="417"/>
      <c r="C458" s="576"/>
      <c r="D458" s="626"/>
      <c r="E458" s="625"/>
      <c r="F458" s="15"/>
      <c r="G458" s="493" t="str">
        <f>VLOOKUP(($B457*10)+1,Results,$G$3,FALSE)</f>
        <v>K&amp;S</v>
      </c>
      <c r="H458" s="505" t="str">
        <f>VLOOKUP(($B457*10)+1,Results,$H$3,FALSE)</f>
        <v>2.40.4</v>
      </c>
      <c r="I458" s="495" t="str">
        <f>VLOOKUP(($B457*10)+2,Results,$G$3,FALSE)</f>
        <v>Tam</v>
      </c>
      <c r="J458" s="505" t="str">
        <f>VLOOKUP(($B457*10)+2,Results,$H$3,FALSE)</f>
        <v>2.57.4</v>
      </c>
      <c r="K458" s="495">
        <f>VLOOKUP(($B457*10)+3,Results,$G$3,FALSE)</f>
        <v>0</v>
      </c>
      <c r="L458" s="505">
        <f>VLOOKUP(($B457*10)+3,Results,$H$3,FALSE)</f>
        <v>0</v>
      </c>
      <c r="M458" s="495">
        <f>VLOOKUP(($B457*10)+4,Results,$G$3,FALSE)</f>
        <v>0</v>
      </c>
      <c r="N458" s="505">
        <f>VLOOKUP(($B457*10)+4,Results,$H$3,FALSE)</f>
        <v>0</v>
      </c>
      <c r="O458" s="495">
        <f>VLOOKUP(($B457*10)+5,Results,$G$3,FALSE)</f>
        <v>0</v>
      </c>
      <c r="P458" s="505">
        <f>VLOOKUP(($B457*10)+5,Results,$H$3,FALSE)</f>
        <v>0</v>
      </c>
      <c r="Q458" s="495">
        <f>VLOOKUP(($B457*10)+6,Results,$G$3,FALSE)</f>
        <v>0</v>
      </c>
      <c r="R458" s="505">
        <f>VLOOKUP(($B457*10)+6,Results,$H$3,FALSE)</f>
        <v>0</v>
      </c>
      <c r="S458" s="496">
        <f>VLOOKUP(($B457*10)+7,Results,$G$3,FALSE)</f>
        <v>0</v>
      </c>
      <c r="T458" s="505">
        <f>VLOOKUP(($B457*10)+7,Results,$H$3,FALSE)</f>
        <v>0</v>
      </c>
      <c r="U458" s="495">
        <f>VLOOKUP(($B457*10)+8,Results,$G$3,FALSE)</f>
        <v>0</v>
      </c>
      <c r="V458" s="601">
        <f>VLOOKUP(($B457*10)+8,Results,$H$3,FALSE)</f>
        <v>0</v>
      </c>
      <c r="W458" s="606"/>
      <c r="X458" s="512"/>
      <c r="Y458" s="512"/>
      <c r="Z458" s="512"/>
      <c r="AA458" s="512"/>
      <c r="AB458" s="512"/>
      <c r="AC458" s="512"/>
      <c r="AD458" s="513"/>
    </row>
    <row r="459" spans="1:30" x14ac:dyDescent="0.3">
      <c r="A459" s="118" t="str">
        <f>B460&amp;"A"</f>
        <v>95A</v>
      </c>
      <c r="B459" s="506"/>
      <c r="C459" s="571"/>
      <c r="D459" s="623" t="str">
        <f>VLOOKUP(B460,EventsOrder,4,FALSE)</f>
        <v>U16 Female</v>
      </c>
      <c r="E459" s="5" t="s">
        <v>149</v>
      </c>
      <c r="F459" s="9"/>
      <c r="G459" s="481" t="str">
        <f>VLOOKUP(($B460*10)+1,Results,$F$3,FALSE)</f>
        <v/>
      </c>
      <c r="H459" s="482"/>
      <c r="I459" s="483" t="str">
        <f>VLOOKUP(($B460*10)+2,Results,$F$3,FALSE)</f>
        <v/>
      </c>
      <c r="J459" s="482"/>
      <c r="K459" s="483" t="str">
        <f>VLOOKUP(($B460*10)+3,Results,$F$3,FALSE)</f>
        <v/>
      </c>
      <c r="L459" s="482"/>
      <c r="M459" s="483" t="str">
        <f>VLOOKUP(($B460*10)+4,Results,$F$3,FALSE)</f>
        <v/>
      </c>
      <c r="N459" s="482"/>
      <c r="O459" s="483" t="str">
        <f>VLOOKUP(($B460*10)+5,Results,$F$3,FALSE)</f>
        <v/>
      </c>
      <c r="P459" s="482"/>
      <c r="Q459" s="483" t="str">
        <f>VLOOKUP(($B460*10)+6,Results,$F$3,FALSE)</f>
        <v/>
      </c>
      <c r="R459" s="484"/>
      <c r="S459" s="485" t="str">
        <f>VLOOKUP(($B460*10)+7,Results,$F$3,FALSE)</f>
        <v/>
      </c>
      <c r="T459" s="482"/>
      <c r="U459" s="483" t="str">
        <f>VLOOKUP(($B460*10)+8,Results,$F$3,FALSE)</f>
        <v/>
      </c>
      <c r="V459" s="486"/>
      <c r="W459" s="606"/>
      <c r="X459" s="512"/>
      <c r="Y459" s="512"/>
      <c r="Z459" s="512"/>
      <c r="AA459" s="512"/>
      <c r="AB459" s="512"/>
      <c r="AC459" s="512"/>
      <c r="AD459" s="513"/>
    </row>
    <row r="460" spans="1:30" x14ac:dyDescent="0.3">
      <c r="A460" s="118"/>
      <c r="B460" s="24">
        <v>95</v>
      </c>
      <c r="C460" s="572">
        <f>VLOOKUP(B460,EventsOrder,2,FALSE)</f>
        <v>1</v>
      </c>
      <c r="D460" s="479" t="str">
        <f>VLOOKUP(B460,EventsOrder,3,FALSE)</f>
        <v>800m</v>
      </c>
      <c r="E460" s="515"/>
      <c r="F460" s="68" t="str">
        <f>VLOOKUP(B460,EventsOrder,5,FALSE)</f>
        <v>NS</v>
      </c>
      <c r="G460" s="516" t="str">
        <f>VLOOKUP(($B460*10)+1,Results,$L$3,FALSE)</f>
        <v/>
      </c>
      <c r="H460" s="517"/>
      <c r="I460" s="518" t="str">
        <f>VLOOKUP(($B460*10)+2,Results,$L$3,FALSE)</f>
        <v/>
      </c>
      <c r="J460" s="517"/>
      <c r="K460" s="518" t="str">
        <f>VLOOKUP(($B460*10)+3,Results,$L$3,FALSE)</f>
        <v/>
      </c>
      <c r="L460" s="517"/>
      <c r="M460" s="518" t="str">
        <f>VLOOKUP(($B460*10)+4,Results,$L$3,FALSE)</f>
        <v/>
      </c>
      <c r="N460" s="517"/>
      <c r="O460" s="518" t="str">
        <f>VLOOKUP(($B460*10)+5,Results,$L$3,FALSE)</f>
        <v/>
      </c>
      <c r="P460" s="517"/>
      <c r="Q460" s="518" t="str">
        <f>VLOOKUP(($B460*10)+6,Results,$L$3,FALSE)</f>
        <v/>
      </c>
      <c r="R460" s="517"/>
      <c r="S460" s="518" t="str">
        <f>VLOOKUP(($B460*10)+7,Results,$L$3,FALSE)</f>
        <v/>
      </c>
      <c r="T460" s="517"/>
      <c r="U460" s="518" t="str">
        <f>VLOOKUP(($B460*10)+8,Results,$L$3,FALSE)</f>
        <v/>
      </c>
      <c r="V460" s="519"/>
      <c r="W460" s="606"/>
      <c r="X460" s="512"/>
      <c r="Y460" s="512"/>
      <c r="Z460" s="512"/>
      <c r="AA460" s="512"/>
      <c r="AB460" s="512"/>
      <c r="AC460" s="512"/>
      <c r="AD460" s="513"/>
    </row>
    <row r="461" spans="1:30" ht="15" thickBot="1" x14ac:dyDescent="0.35">
      <c r="A461" s="118" t="str">
        <f>B460&amp;"A"</f>
        <v>95A</v>
      </c>
      <c r="B461" s="417"/>
      <c r="C461" s="576"/>
      <c r="D461" s="626"/>
      <c r="E461" s="625"/>
      <c r="F461" s="15"/>
      <c r="G461" s="493">
        <f>VLOOKUP(($B460*10)+1,Results,$G$3,FALSE)</f>
        <v>0</v>
      </c>
      <c r="H461" s="505">
        <f>VLOOKUP(($B460*10)+1,Results,$H$3,FALSE)</f>
        <v>0</v>
      </c>
      <c r="I461" s="495">
        <f>VLOOKUP(($B460*10)+2,Results,$G$3,FALSE)</f>
        <v>0</v>
      </c>
      <c r="J461" s="505">
        <f>VLOOKUP(($B460*10)+2,Results,$H$3,FALSE)</f>
        <v>0</v>
      </c>
      <c r="K461" s="495">
        <f>VLOOKUP(($B460*10)+3,Results,$G$3,FALSE)</f>
        <v>0</v>
      </c>
      <c r="L461" s="505">
        <f>VLOOKUP(($B460*10)+3,Results,$H$3,FALSE)</f>
        <v>0</v>
      </c>
      <c r="M461" s="495">
        <f>VLOOKUP(($B460*10)+4,Results,$G$3,FALSE)</f>
        <v>0</v>
      </c>
      <c r="N461" s="505">
        <f>VLOOKUP(($B460*10)+4,Results,$H$3,FALSE)</f>
        <v>0</v>
      </c>
      <c r="O461" s="495">
        <f>VLOOKUP(($B460*10)+5,Results,$G$3,FALSE)</f>
        <v>0</v>
      </c>
      <c r="P461" s="505">
        <f>VLOOKUP(($B460*10)+5,Results,$H$3,FALSE)</f>
        <v>0</v>
      </c>
      <c r="Q461" s="495">
        <f>VLOOKUP(($B460*10)+6,Results,$G$3,FALSE)</f>
        <v>0</v>
      </c>
      <c r="R461" s="505">
        <f>VLOOKUP(($B460*10)+6,Results,$H$3,FALSE)</f>
        <v>0</v>
      </c>
      <c r="S461" s="496">
        <f>VLOOKUP(($B460*10)+7,Results,$G$3,FALSE)</f>
        <v>0</v>
      </c>
      <c r="T461" s="505">
        <f>VLOOKUP(($B460*10)+7,Results,$H$3,FALSE)</f>
        <v>0</v>
      </c>
      <c r="U461" s="495">
        <f>VLOOKUP(($B460*10)+8,Results,$G$3,FALSE)</f>
        <v>0</v>
      </c>
      <c r="V461" s="601">
        <f>VLOOKUP(($B460*10)+8,Results,$H$3,FALSE)</f>
        <v>0</v>
      </c>
      <c r="W461" s="606"/>
      <c r="X461" s="512"/>
      <c r="Y461" s="512"/>
      <c r="Z461" s="512"/>
      <c r="AA461" s="512"/>
      <c r="AB461" s="512"/>
      <c r="AC461" s="512"/>
      <c r="AD461" s="513"/>
    </row>
    <row r="462" spans="1:30" x14ac:dyDescent="0.3">
      <c r="A462" s="118" t="str">
        <f>B463&amp;"A"</f>
        <v>96A</v>
      </c>
      <c r="B462" s="506"/>
      <c r="C462" s="571"/>
      <c r="D462" s="623" t="str">
        <f>VLOOKUP(B463,EventsOrder,4,FALSE)</f>
        <v>U18 Female</v>
      </c>
      <c r="E462" s="5" t="s">
        <v>149</v>
      </c>
      <c r="F462" s="9"/>
      <c r="G462" s="481" t="str">
        <f>VLOOKUP(($B463*10)+1,Results,$F$3,FALSE)</f>
        <v/>
      </c>
      <c r="H462" s="482"/>
      <c r="I462" s="483" t="str">
        <f>VLOOKUP(($B463*10)+2,Results,$F$3,FALSE)</f>
        <v/>
      </c>
      <c r="J462" s="482"/>
      <c r="K462" s="483" t="str">
        <f>VLOOKUP(($B463*10)+3,Results,$F$3,FALSE)</f>
        <v/>
      </c>
      <c r="L462" s="482"/>
      <c r="M462" s="483" t="str">
        <f>VLOOKUP(($B463*10)+4,Results,$F$3,FALSE)</f>
        <v/>
      </c>
      <c r="N462" s="482"/>
      <c r="O462" s="483" t="str">
        <f>VLOOKUP(($B463*10)+5,Results,$F$3,FALSE)</f>
        <v/>
      </c>
      <c r="P462" s="482"/>
      <c r="Q462" s="483" t="str">
        <f>VLOOKUP(($B463*10)+6,Results,$F$3,FALSE)</f>
        <v/>
      </c>
      <c r="R462" s="484"/>
      <c r="S462" s="485" t="str">
        <f>VLOOKUP(($B463*10)+7,Results,$F$3,FALSE)</f>
        <v/>
      </c>
      <c r="T462" s="482"/>
      <c r="U462" s="483" t="str">
        <f>VLOOKUP(($B463*10)+8,Results,$F$3,FALSE)</f>
        <v/>
      </c>
      <c r="V462" s="486"/>
      <c r="W462" s="606"/>
      <c r="X462" s="512"/>
      <c r="Y462" s="512"/>
      <c r="Z462" s="512"/>
      <c r="AA462" s="512"/>
      <c r="AB462" s="512"/>
      <c r="AC462" s="512"/>
      <c r="AD462" s="513"/>
    </row>
    <row r="463" spans="1:30" x14ac:dyDescent="0.3">
      <c r="A463" s="118"/>
      <c r="B463" s="24">
        <v>96</v>
      </c>
      <c r="C463" s="572">
        <f>VLOOKUP(B463,EventsOrder,2,FALSE)</f>
        <v>1.2</v>
      </c>
      <c r="D463" s="479" t="str">
        <f>VLOOKUP(B463,EventsOrder,3,FALSE)</f>
        <v>800m (U18/U20)</v>
      </c>
      <c r="E463" s="515"/>
      <c r="F463" s="68" t="str">
        <f>VLOOKUP(B463,EventsOrder,5,FALSE)</f>
        <v>NS</v>
      </c>
      <c r="G463" s="516" t="str">
        <f>VLOOKUP(($B463*10)+1,Results,$L$3,FALSE)</f>
        <v/>
      </c>
      <c r="H463" s="517"/>
      <c r="I463" s="518" t="str">
        <f>VLOOKUP(($B463*10)+2,Results,$L$3,FALSE)</f>
        <v/>
      </c>
      <c r="J463" s="517"/>
      <c r="K463" s="518" t="str">
        <f>VLOOKUP(($B463*10)+3,Results,$L$3,FALSE)</f>
        <v/>
      </c>
      <c r="L463" s="517"/>
      <c r="M463" s="518" t="str">
        <f>VLOOKUP(($B463*10)+4,Results,$L$3,FALSE)</f>
        <v/>
      </c>
      <c r="N463" s="517"/>
      <c r="O463" s="518" t="str">
        <f>VLOOKUP(($B463*10)+5,Results,$L$3,FALSE)</f>
        <v/>
      </c>
      <c r="P463" s="517"/>
      <c r="Q463" s="518" t="str">
        <f>VLOOKUP(($B463*10)+6,Results,$L$3,FALSE)</f>
        <v/>
      </c>
      <c r="R463" s="517"/>
      <c r="S463" s="518" t="str">
        <f>VLOOKUP(($B463*10)+7,Results,$L$3,FALSE)</f>
        <v/>
      </c>
      <c r="T463" s="517"/>
      <c r="U463" s="518" t="str">
        <f>VLOOKUP(($B463*10)+8,Results,$L$3,FALSE)</f>
        <v/>
      </c>
      <c r="V463" s="519"/>
      <c r="W463" s="606"/>
      <c r="X463" s="512"/>
      <c r="Y463" s="512"/>
      <c r="Z463" s="512"/>
      <c r="AA463" s="512"/>
      <c r="AB463" s="512"/>
      <c r="AC463" s="512"/>
      <c r="AD463" s="513"/>
    </row>
    <row r="464" spans="1:30" ht="15" thickBot="1" x14ac:dyDescent="0.35">
      <c r="A464" s="118" t="str">
        <f>B463&amp;"A"</f>
        <v>96A</v>
      </c>
      <c r="B464" s="417"/>
      <c r="C464" s="576"/>
      <c r="D464" s="626"/>
      <c r="E464" s="625"/>
      <c r="F464" s="15"/>
      <c r="G464" s="493">
        <f>VLOOKUP(($B463*10)+1,Results,$G$3,FALSE)</f>
        <v>0</v>
      </c>
      <c r="H464" s="505">
        <f>VLOOKUP(($B463*10)+1,Results,$H$3,FALSE)</f>
        <v>0</v>
      </c>
      <c r="I464" s="495">
        <f>VLOOKUP(($B463*10)+2,Results,$G$3,FALSE)</f>
        <v>0</v>
      </c>
      <c r="J464" s="505">
        <f>VLOOKUP(($B463*10)+2,Results,$H$3,FALSE)</f>
        <v>0</v>
      </c>
      <c r="K464" s="495">
        <f>VLOOKUP(($B463*10)+3,Results,$G$3,FALSE)</f>
        <v>0</v>
      </c>
      <c r="L464" s="505">
        <f>VLOOKUP(($B463*10)+3,Results,$H$3,FALSE)</f>
        <v>0</v>
      </c>
      <c r="M464" s="495">
        <f>VLOOKUP(($B463*10)+4,Results,$G$3,FALSE)</f>
        <v>0</v>
      </c>
      <c r="N464" s="505">
        <f>VLOOKUP(($B463*10)+4,Results,$H$3,FALSE)</f>
        <v>0</v>
      </c>
      <c r="O464" s="495">
        <f>VLOOKUP(($B463*10)+5,Results,$G$3,FALSE)</f>
        <v>0</v>
      </c>
      <c r="P464" s="505">
        <f>VLOOKUP(($B463*10)+5,Results,$H$3,FALSE)</f>
        <v>0</v>
      </c>
      <c r="Q464" s="495">
        <f>VLOOKUP(($B463*10)+6,Results,$G$3,FALSE)</f>
        <v>0</v>
      </c>
      <c r="R464" s="505">
        <f>VLOOKUP(($B463*10)+6,Results,$H$3,FALSE)</f>
        <v>0</v>
      </c>
      <c r="S464" s="496">
        <f>VLOOKUP(($B463*10)+7,Results,$G$3,FALSE)</f>
        <v>0</v>
      </c>
      <c r="T464" s="505">
        <f>VLOOKUP(($B463*10)+7,Results,$H$3,FALSE)</f>
        <v>0</v>
      </c>
      <c r="U464" s="495">
        <f>VLOOKUP(($B463*10)+8,Results,$G$3,FALSE)</f>
        <v>0</v>
      </c>
      <c r="V464" s="601">
        <f>VLOOKUP(($B463*10)+8,Results,$H$3,FALSE)</f>
        <v>0</v>
      </c>
      <c r="W464" s="606"/>
      <c r="X464" s="512"/>
      <c r="Y464" s="512"/>
      <c r="Z464" s="512"/>
      <c r="AA464" s="512"/>
      <c r="AB464" s="512"/>
      <c r="AC464" s="512"/>
      <c r="AD464" s="513"/>
    </row>
    <row r="465" spans="1:30" x14ac:dyDescent="0.3">
      <c r="A465" s="118" t="str">
        <f>B466&amp;"A"</f>
        <v>97A</v>
      </c>
      <c r="B465" s="506"/>
      <c r="C465" s="571"/>
      <c r="D465" s="623" t="str">
        <f>VLOOKUP(B466,EventsOrder,4,FALSE)</f>
        <v>U14 Male</v>
      </c>
      <c r="E465" s="5" t="s">
        <v>149</v>
      </c>
      <c r="F465" s="9"/>
      <c r="G465" s="481" t="str">
        <f>VLOOKUP(($B466*10)+1,Results,$F$3,FALSE)</f>
        <v>Daniel Mengsteab</v>
      </c>
      <c r="H465" s="482"/>
      <c r="I465" s="483" t="str">
        <f>VLOOKUP(($B466*10)+2,Results,$F$3,FALSE)</f>
        <v/>
      </c>
      <c r="J465" s="482"/>
      <c r="K465" s="483" t="str">
        <f>VLOOKUP(($B466*10)+3,Results,$F$3,FALSE)</f>
        <v/>
      </c>
      <c r="L465" s="482"/>
      <c r="M465" s="483" t="str">
        <f>VLOOKUP(($B466*10)+4,Results,$F$3,FALSE)</f>
        <v/>
      </c>
      <c r="N465" s="482"/>
      <c r="O465" s="483" t="str">
        <f>VLOOKUP(($B466*10)+5,Results,$F$3,FALSE)</f>
        <v/>
      </c>
      <c r="P465" s="482"/>
      <c r="Q465" s="483" t="str">
        <f>VLOOKUP(($B466*10)+6,Results,$F$3,FALSE)</f>
        <v/>
      </c>
      <c r="R465" s="484"/>
      <c r="S465" s="485" t="str">
        <f>VLOOKUP(($B466*10)+7,Results,$F$3,FALSE)</f>
        <v/>
      </c>
      <c r="T465" s="482"/>
      <c r="U465" s="483" t="str">
        <f>VLOOKUP(($B466*10)+8,Results,$F$3,FALSE)</f>
        <v/>
      </c>
      <c r="V465" s="486"/>
      <c r="W465" s="606"/>
      <c r="X465" s="512"/>
      <c r="Y465" s="512"/>
      <c r="Z465" s="512"/>
      <c r="AA465" s="512"/>
      <c r="AB465" s="512"/>
      <c r="AC465" s="512"/>
      <c r="AD465" s="513"/>
    </row>
    <row r="466" spans="1:30" x14ac:dyDescent="0.3">
      <c r="A466" s="118"/>
      <c r="B466" s="24">
        <v>97</v>
      </c>
      <c r="C466" s="572">
        <f>VLOOKUP(B466,EventsOrder,2,FALSE)</f>
        <v>3.1</v>
      </c>
      <c r="D466" s="479" t="str">
        <f>VLOOKUP(B466,EventsOrder,3,FALSE)</f>
        <v>1500m</v>
      </c>
      <c r="E466" s="515"/>
      <c r="F466" s="68" t="str">
        <f>VLOOKUP(B466,EventsOrder,5,FALSE)</f>
        <v>NS</v>
      </c>
      <c r="G466" s="516">
        <f>VLOOKUP(($B466*10)+1,Results,$L$3,FALSE)</f>
        <v>19</v>
      </c>
      <c r="H466" s="517"/>
      <c r="I466" s="518" t="str">
        <f>VLOOKUP(($B466*10)+2,Results,$L$3,FALSE)</f>
        <v/>
      </c>
      <c r="J466" s="517"/>
      <c r="K466" s="518" t="str">
        <f>VLOOKUP(($B466*10)+3,Results,$L$3,FALSE)</f>
        <v/>
      </c>
      <c r="L466" s="517"/>
      <c r="M466" s="518" t="str">
        <f>VLOOKUP(($B466*10)+4,Results,$L$3,FALSE)</f>
        <v/>
      </c>
      <c r="N466" s="517"/>
      <c r="O466" s="518" t="str">
        <f>VLOOKUP(($B466*10)+5,Results,$L$3,FALSE)</f>
        <v/>
      </c>
      <c r="P466" s="517"/>
      <c r="Q466" s="518" t="str">
        <f>VLOOKUP(($B466*10)+6,Results,$L$3,FALSE)</f>
        <v/>
      </c>
      <c r="R466" s="517"/>
      <c r="S466" s="518" t="str">
        <f>VLOOKUP(($B466*10)+7,Results,$L$3,FALSE)</f>
        <v/>
      </c>
      <c r="T466" s="517"/>
      <c r="U466" s="518" t="str">
        <f>VLOOKUP(($B466*10)+8,Results,$L$3,FALSE)</f>
        <v/>
      </c>
      <c r="V466" s="519"/>
      <c r="W466" s="606"/>
      <c r="X466" s="512"/>
      <c r="Y466" s="512"/>
      <c r="Z466" s="512"/>
      <c r="AA466" s="512"/>
      <c r="AB466" s="512"/>
      <c r="AC466" s="512"/>
      <c r="AD466" s="513"/>
    </row>
    <row r="467" spans="1:30" ht="15" thickBot="1" x14ac:dyDescent="0.35">
      <c r="A467" s="118" t="str">
        <f>B466&amp;"A"</f>
        <v>97A</v>
      </c>
      <c r="B467" s="417"/>
      <c r="C467" s="576"/>
      <c r="D467" s="626"/>
      <c r="E467" s="625"/>
      <c r="F467" s="15"/>
      <c r="G467" s="493" t="str">
        <f>VLOOKUP(($B466*10)+1,Results,$G$3,FALSE)</f>
        <v>Royal</v>
      </c>
      <c r="H467" s="505" t="str">
        <f>VLOOKUP(($B466*10)+1,Results,$H$3,FALSE)</f>
        <v>5.41.2</v>
      </c>
      <c r="I467" s="495">
        <f>VLOOKUP(($B466*10)+2,Results,$G$3,FALSE)</f>
        <v>0</v>
      </c>
      <c r="J467" s="505">
        <f>VLOOKUP(($B466*10)+2,Results,$H$3,FALSE)</f>
        <v>0</v>
      </c>
      <c r="K467" s="495">
        <f>VLOOKUP(($B466*10)+3,Results,$G$3,FALSE)</f>
        <v>0</v>
      </c>
      <c r="L467" s="505">
        <f>VLOOKUP(($B466*10)+3,Results,$H$3,FALSE)</f>
        <v>0</v>
      </c>
      <c r="M467" s="495">
        <f>VLOOKUP(($B466*10)+4,Results,$G$3,FALSE)</f>
        <v>0</v>
      </c>
      <c r="N467" s="505">
        <f>VLOOKUP(($B466*10)+4,Results,$H$3,FALSE)</f>
        <v>0</v>
      </c>
      <c r="O467" s="495">
        <f>VLOOKUP(($B466*10)+5,Results,$G$3,FALSE)</f>
        <v>0</v>
      </c>
      <c r="P467" s="505">
        <f>VLOOKUP(($B466*10)+5,Results,$H$3,FALSE)</f>
        <v>0</v>
      </c>
      <c r="Q467" s="495">
        <f>VLOOKUP(($B466*10)+6,Results,$G$3,FALSE)</f>
        <v>0</v>
      </c>
      <c r="R467" s="505">
        <f>VLOOKUP(($B466*10)+6,Results,$H$3,FALSE)</f>
        <v>0</v>
      </c>
      <c r="S467" s="496">
        <f>VLOOKUP(($B466*10)+7,Results,$G$3,FALSE)</f>
        <v>0</v>
      </c>
      <c r="T467" s="505">
        <f>VLOOKUP(($B466*10)+7,Results,$H$3,FALSE)</f>
        <v>0</v>
      </c>
      <c r="U467" s="495">
        <f>VLOOKUP(($B466*10)+8,Results,$G$3,FALSE)</f>
        <v>0</v>
      </c>
      <c r="V467" s="601">
        <f>VLOOKUP(($B466*10)+8,Results,$H$3,FALSE)</f>
        <v>0</v>
      </c>
      <c r="W467" s="606"/>
      <c r="X467" s="512"/>
      <c r="Y467" s="512"/>
      <c r="Z467" s="512"/>
      <c r="AA467" s="512"/>
      <c r="AB467" s="512"/>
      <c r="AC467" s="512"/>
      <c r="AD467" s="513"/>
    </row>
    <row r="468" spans="1:30" x14ac:dyDescent="0.3">
      <c r="A468" s="118" t="str">
        <f>B469&amp;"A"</f>
        <v>98A</v>
      </c>
      <c r="B468" s="506"/>
      <c r="C468" s="571"/>
      <c r="D468" s="623" t="str">
        <f>VLOOKUP(B469,EventsOrder,4,FALSE)</f>
        <v>U16 Male</v>
      </c>
      <c r="E468" s="5" t="s">
        <v>149</v>
      </c>
      <c r="F468" s="9"/>
      <c r="G468" s="481" t="str">
        <f>VLOOKUP(($B469*10)+1,Results,$F$3,FALSE)</f>
        <v/>
      </c>
      <c r="H468" s="482"/>
      <c r="I468" s="483" t="str">
        <f>VLOOKUP(($B469*10)+2,Results,$F$3,FALSE)</f>
        <v/>
      </c>
      <c r="J468" s="482"/>
      <c r="K468" s="483" t="str">
        <f>VLOOKUP(($B469*10)+3,Results,$F$3,FALSE)</f>
        <v/>
      </c>
      <c r="L468" s="482"/>
      <c r="M468" s="483" t="str">
        <f>VLOOKUP(($B469*10)+4,Results,$F$3,FALSE)</f>
        <v/>
      </c>
      <c r="N468" s="482"/>
      <c r="O468" s="483" t="str">
        <f>VLOOKUP(($B469*10)+5,Results,$F$3,FALSE)</f>
        <v/>
      </c>
      <c r="P468" s="482"/>
      <c r="Q468" s="483" t="str">
        <f>VLOOKUP(($B469*10)+6,Results,$F$3,FALSE)</f>
        <v/>
      </c>
      <c r="R468" s="484"/>
      <c r="S468" s="485" t="str">
        <f>VLOOKUP(($B469*10)+7,Results,$F$3,FALSE)</f>
        <v/>
      </c>
      <c r="T468" s="482"/>
      <c r="U468" s="483" t="str">
        <f>VLOOKUP(($B469*10)+8,Results,$F$3,FALSE)</f>
        <v/>
      </c>
      <c r="V468" s="486"/>
      <c r="W468" s="606"/>
      <c r="X468" s="512"/>
      <c r="Y468" s="512"/>
      <c r="Z468" s="512"/>
      <c r="AA468" s="512"/>
      <c r="AB468" s="512"/>
      <c r="AC468" s="512"/>
      <c r="AD468" s="513"/>
    </row>
    <row r="469" spans="1:30" x14ac:dyDescent="0.3">
      <c r="A469" s="118"/>
      <c r="B469" s="24">
        <v>98</v>
      </c>
      <c r="C469" s="572">
        <f>VLOOKUP(B469,EventsOrder,2,FALSE)</f>
        <v>3.2</v>
      </c>
      <c r="D469" s="479" t="str">
        <f>VLOOKUP(B469,EventsOrder,3,FALSE)</f>
        <v>1500m</v>
      </c>
      <c r="E469" s="515"/>
      <c r="F469" s="68" t="str">
        <f>VLOOKUP(B469,EventsOrder,5,FALSE)</f>
        <v>NS</v>
      </c>
      <c r="G469" s="516" t="str">
        <f>VLOOKUP(($B469*10)+1,Results,$L$3,FALSE)</f>
        <v/>
      </c>
      <c r="H469" s="517"/>
      <c r="I469" s="518" t="str">
        <f>VLOOKUP(($B469*10)+2,Results,$L$3,FALSE)</f>
        <v/>
      </c>
      <c r="J469" s="517"/>
      <c r="K469" s="518" t="str">
        <f>VLOOKUP(($B469*10)+3,Results,$L$3,FALSE)</f>
        <v/>
      </c>
      <c r="L469" s="517"/>
      <c r="M469" s="518" t="str">
        <f>VLOOKUP(($B469*10)+4,Results,$L$3,FALSE)</f>
        <v/>
      </c>
      <c r="N469" s="517"/>
      <c r="O469" s="518" t="str">
        <f>VLOOKUP(($B469*10)+5,Results,$L$3,FALSE)</f>
        <v/>
      </c>
      <c r="P469" s="517"/>
      <c r="Q469" s="518" t="str">
        <f>VLOOKUP(($B469*10)+6,Results,$L$3,FALSE)</f>
        <v/>
      </c>
      <c r="R469" s="517"/>
      <c r="S469" s="518" t="str">
        <f>VLOOKUP(($B469*10)+7,Results,$L$3,FALSE)</f>
        <v/>
      </c>
      <c r="T469" s="517"/>
      <c r="U469" s="518" t="str">
        <f>VLOOKUP(($B469*10)+8,Results,$L$3,FALSE)</f>
        <v/>
      </c>
      <c r="V469" s="519"/>
      <c r="W469" s="606"/>
      <c r="X469" s="512"/>
      <c r="Y469" s="512"/>
      <c r="Z469" s="512"/>
      <c r="AA469" s="512"/>
      <c r="AB469" s="512"/>
      <c r="AC469" s="512"/>
      <c r="AD469" s="513"/>
    </row>
    <row r="470" spans="1:30" ht="15" thickBot="1" x14ac:dyDescent="0.35">
      <c r="A470" s="118" t="str">
        <f>B469&amp;"A"</f>
        <v>98A</v>
      </c>
      <c r="B470" s="417"/>
      <c r="C470" s="576"/>
      <c r="D470" s="626"/>
      <c r="E470" s="625"/>
      <c r="F470" s="15"/>
      <c r="G470" s="493">
        <f>VLOOKUP(($B469*10)+1,Results,$G$3,FALSE)</f>
        <v>0</v>
      </c>
      <c r="H470" s="505">
        <f>VLOOKUP(($B469*10)+1,Results,$H$3,FALSE)</f>
        <v>0</v>
      </c>
      <c r="I470" s="495">
        <f>VLOOKUP(($B469*10)+2,Results,$G$3,FALSE)</f>
        <v>0</v>
      </c>
      <c r="J470" s="505">
        <f>VLOOKUP(($B469*10)+2,Results,$H$3,FALSE)</f>
        <v>0</v>
      </c>
      <c r="K470" s="495">
        <f>VLOOKUP(($B469*10)+3,Results,$G$3,FALSE)</f>
        <v>0</v>
      </c>
      <c r="L470" s="505">
        <f>VLOOKUP(($B469*10)+3,Results,$H$3,FALSE)</f>
        <v>0</v>
      </c>
      <c r="M470" s="495">
        <f>VLOOKUP(($B469*10)+4,Results,$G$3,FALSE)</f>
        <v>0</v>
      </c>
      <c r="N470" s="505">
        <f>VLOOKUP(($B469*10)+4,Results,$H$3,FALSE)</f>
        <v>0</v>
      </c>
      <c r="O470" s="495">
        <f>VLOOKUP(($B469*10)+5,Results,$G$3,FALSE)</f>
        <v>0</v>
      </c>
      <c r="P470" s="505">
        <f>VLOOKUP(($B469*10)+5,Results,$H$3,FALSE)</f>
        <v>0</v>
      </c>
      <c r="Q470" s="495">
        <f>VLOOKUP(($B469*10)+6,Results,$G$3,FALSE)</f>
        <v>0</v>
      </c>
      <c r="R470" s="505">
        <f>VLOOKUP(($B469*10)+6,Results,$H$3,FALSE)</f>
        <v>0</v>
      </c>
      <c r="S470" s="496">
        <f>VLOOKUP(($B469*10)+7,Results,$G$3,FALSE)</f>
        <v>0</v>
      </c>
      <c r="T470" s="505">
        <f>VLOOKUP(($B469*10)+7,Results,$H$3,FALSE)</f>
        <v>0</v>
      </c>
      <c r="U470" s="495">
        <f>VLOOKUP(($B469*10)+8,Results,$G$3,FALSE)</f>
        <v>0</v>
      </c>
      <c r="V470" s="601">
        <f>VLOOKUP(($B469*10)+8,Results,$H$3,FALSE)</f>
        <v>0</v>
      </c>
      <c r="W470" s="606"/>
      <c r="X470" s="512"/>
      <c r="Y470" s="512"/>
      <c r="Z470" s="512"/>
      <c r="AA470" s="512"/>
      <c r="AB470" s="512"/>
      <c r="AC470" s="512"/>
      <c r="AD470" s="513"/>
    </row>
    <row r="471" spans="1:30" x14ac:dyDescent="0.3">
      <c r="A471" s="118" t="str">
        <f>B472&amp;"A"</f>
        <v>99A</v>
      </c>
      <c r="B471" s="506"/>
      <c r="C471" s="572"/>
      <c r="D471" s="479" t="str">
        <f>VLOOKUP(B472,EventsOrder,4,FALSE)</f>
        <v>U18 Men</v>
      </c>
      <c r="E471" s="515" t="s">
        <v>149</v>
      </c>
      <c r="F471" s="9"/>
      <c r="G471" s="481" t="str">
        <f>VLOOKUP(($B472*10)+1,Results,$F$3,FALSE)</f>
        <v/>
      </c>
      <c r="H471" s="482"/>
      <c r="I471" s="483" t="str">
        <f>VLOOKUP(($B472*10)+2,Results,$F$3,FALSE)</f>
        <v/>
      </c>
      <c r="J471" s="482"/>
      <c r="K471" s="483" t="str">
        <f>VLOOKUP(($B472*10)+3,Results,$F$3,FALSE)</f>
        <v/>
      </c>
      <c r="L471" s="482"/>
      <c r="M471" s="483" t="str">
        <f>VLOOKUP(($B472*10)+4,Results,$F$3,FALSE)</f>
        <v/>
      </c>
      <c r="N471" s="482"/>
      <c r="O471" s="483" t="str">
        <f>VLOOKUP(($B472*10)+5,Results,$F$3,FALSE)</f>
        <v/>
      </c>
      <c r="P471" s="482"/>
      <c r="Q471" s="483" t="str">
        <f>VLOOKUP(($B472*10)+6,Results,$F$3,FALSE)</f>
        <v/>
      </c>
      <c r="R471" s="484"/>
      <c r="S471" s="485" t="str">
        <f>VLOOKUP(($B472*10)+7,Results,$F$3,FALSE)</f>
        <v/>
      </c>
      <c r="T471" s="482"/>
      <c r="U471" s="483" t="str">
        <f>VLOOKUP(($B472*10)+8,Results,$F$3,FALSE)</f>
        <v/>
      </c>
      <c r="V471" s="486"/>
      <c r="W471" s="606"/>
      <c r="X471" s="512"/>
      <c r="Y471" s="512"/>
      <c r="Z471" s="512"/>
      <c r="AA471" s="512"/>
      <c r="AB471" s="512"/>
      <c r="AC471" s="512"/>
      <c r="AD471" s="513"/>
    </row>
    <row r="472" spans="1:30" x14ac:dyDescent="0.3">
      <c r="A472" s="118"/>
      <c r="B472" s="24">
        <v>99</v>
      </c>
      <c r="C472" s="572">
        <f>VLOOKUP(B472,EventsOrder,2,FALSE)</f>
        <v>3.3</v>
      </c>
      <c r="D472" s="479" t="str">
        <f>VLOOKUP(B472,EventsOrder,3,FALSE)</f>
        <v>1500m (U18/U20)</v>
      </c>
      <c r="E472" s="515"/>
      <c r="F472" s="68" t="str">
        <f>VLOOKUP(B472,EventsOrder,5,FALSE)</f>
        <v>NS</v>
      </c>
      <c r="G472" s="516" t="str">
        <f>VLOOKUP(($B472*10)+1,Results,$L$3,FALSE)</f>
        <v/>
      </c>
      <c r="H472" s="517"/>
      <c r="I472" s="518" t="str">
        <f>VLOOKUP(($B472*10)+2,Results,$L$3,FALSE)</f>
        <v/>
      </c>
      <c r="J472" s="517"/>
      <c r="K472" s="518" t="str">
        <f>VLOOKUP(($B472*10)+3,Results,$L$3,FALSE)</f>
        <v/>
      </c>
      <c r="L472" s="517"/>
      <c r="M472" s="518" t="str">
        <f>VLOOKUP(($B472*10)+4,Results,$L$3,FALSE)</f>
        <v/>
      </c>
      <c r="N472" s="517"/>
      <c r="O472" s="518" t="str">
        <f>VLOOKUP(($B472*10)+5,Results,$L$3,FALSE)</f>
        <v/>
      </c>
      <c r="P472" s="517"/>
      <c r="Q472" s="518" t="str">
        <f>VLOOKUP(($B472*10)+6,Results,$L$3,FALSE)</f>
        <v/>
      </c>
      <c r="R472" s="517"/>
      <c r="S472" s="518" t="str">
        <f>VLOOKUP(($B472*10)+7,Results,$L$3,FALSE)</f>
        <v/>
      </c>
      <c r="T472" s="517"/>
      <c r="U472" s="518" t="str">
        <f>VLOOKUP(($B472*10)+8,Results,$L$3,FALSE)</f>
        <v/>
      </c>
      <c r="V472" s="519"/>
      <c r="W472" s="606"/>
      <c r="X472" s="512"/>
      <c r="Y472" s="512"/>
      <c r="Z472" s="512"/>
      <c r="AA472" s="512"/>
      <c r="AB472" s="512"/>
      <c r="AC472" s="512"/>
      <c r="AD472" s="513"/>
    </row>
    <row r="473" spans="1:30" ht="15" thickBot="1" x14ac:dyDescent="0.35">
      <c r="A473" s="118" t="str">
        <f>B472&amp;"A"</f>
        <v>99A</v>
      </c>
      <c r="B473" s="418"/>
      <c r="C473" s="1272"/>
      <c r="D473" s="624"/>
      <c r="E473" s="625"/>
      <c r="F473" s="75"/>
      <c r="G473" s="554">
        <f>VLOOKUP(($B472*10)+1,Results,$G$3,FALSE)</f>
        <v>0</v>
      </c>
      <c r="H473" s="555">
        <f>VLOOKUP(($B472*10)+1,Results,$H$3,FALSE)</f>
        <v>0</v>
      </c>
      <c r="I473" s="556">
        <f>VLOOKUP(($B472*10)+2,Results,$G$3,FALSE)</f>
        <v>0</v>
      </c>
      <c r="J473" s="555">
        <f>VLOOKUP(($B472*10)+2,Results,$H$3,FALSE)</f>
        <v>0</v>
      </c>
      <c r="K473" s="556">
        <f>VLOOKUP(($B472*10)+3,Results,$G$3,FALSE)</f>
        <v>0</v>
      </c>
      <c r="L473" s="555">
        <f>VLOOKUP(($B472*10)+3,Results,$H$3,FALSE)</f>
        <v>0</v>
      </c>
      <c r="M473" s="556">
        <f>VLOOKUP(($B472*10)+4,Results,$G$3,FALSE)</f>
        <v>0</v>
      </c>
      <c r="N473" s="555">
        <f>VLOOKUP(($B472*10)+4,Results,$H$3,FALSE)</f>
        <v>0</v>
      </c>
      <c r="O473" s="556">
        <f>VLOOKUP(($B472*10)+5,Results,$G$3,FALSE)</f>
        <v>0</v>
      </c>
      <c r="P473" s="555">
        <f>VLOOKUP(($B472*10)+5,Results,$H$3,FALSE)</f>
        <v>0</v>
      </c>
      <c r="Q473" s="556">
        <f>VLOOKUP(($B472*10)+6,Results,$G$3,FALSE)</f>
        <v>0</v>
      </c>
      <c r="R473" s="555">
        <f>VLOOKUP(($B472*10)+6,Results,$H$3,FALSE)</f>
        <v>0</v>
      </c>
      <c r="S473" s="603">
        <f>VLOOKUP(($B472*10)+7,Results,$G$3,FALSE)</f>
        <v>0</v>
      </c>
      <c r="T473" s="555">
        <f>VLOOKUP(($B472*10)+7,Results,$H$3,FALSE)</f>
        <v>0</v>
      </c>
      <c r="U473" s="556">
        <f>VLOOKUP(($B472*10)+8,Results,$G$3,FALSE)</f>
        <v>0</v>
      </c>
      <c r="V473" s="627">
        <f>VLOOKUP(($B472*10)+8,Results,$H$3,FALSE)</f>
        <v>0</v>
      </c>
      <c r="W473" s="628"/>
      <c r="X473" s="629"/>
      <c r="Y473" s="629"/>
      <c r="Z473" s="629"/>
      <c r="AA473" s="629"/>
      <c r="AB473" s="629"/>
      <c r="AC473" s="629"/>
      <c r="AD473" s="630"/>
    </row>
    <row r="474" spans="1:30" x14ac:dyDescent="0.3">
      <c r="H474"/>
    </row>
    <row r="475" spans="1:30" ht="15" thickBot="1" x14ac:dyDescent="0.35">
      <c r="H475"/>
    </row>
    <row r="476" spans="1:30" ht="16.2" thickBot="1" x14ac:dyDescent="0.35">
      <c r="B476" s="633"/>
      <c r="C476" s="357"/>
      <c r="D476" s="508" t="s">
        <v>296</v>
      </c>
      <c r="E476" s="465"/>
      <c r="F476" s="634"/>
    </row>
    <row r="477" spans="1:30" ht="15" thickBot="1" x14ac:dyDescent="0.35">
      <c r="B477" s="619"/>
      <c r="C477" s="524"/>
      <c r="D477" s="635"/>
      <c r="E477" s="49"/>
      <c r="F477" s="37" t="str">
        <f>IF(MID(D478,5,1)="F","F","M")</f>
        <v>M</v>
      </c>
      <c r="G477" s="1235" t="str">
        <f>'Track Lane Draw'!$H5</f>
        <v>S - BRAT</v>
      </c>
      <c r="H477" s="1235"/>
      <c r="I477" s="1235" t="str">
        <f>'Track Lane Draw'!$H6</f>
        <v>U - K&amp;S</v>
      </c>
      <c r="J477" s="1237"/>
      <c r="K477" s="1235" t="str">
        <f>'Track Lane Draw'!$H7</f>
        <v>G - Royal</v>
      </c>
      <c r="L477" s="1235"/>
      <c r="M477" s="1235" t="str">
        <f>'Track Lane Draw'!$H8</f>
        <v>R - Rugby</v>
      </c>
      <c r="N477" s="1235"/>
      <c r="O477" s="1235" t="str">
        <f>'Track Lane Draw'!$H9</f>
        <v>M - Sol</v>
      </c>
      <c r="P477" s="1235"/>
      <c r="Q477" s="1235" t="str">
        <f>'Track Lane Draw'!$H10</f>
        <v>D - Strat</v>
      </c>
      <c r="R477" s="1235"/>
      <c r="S477" s="1235" t="str">
        <f>'Track Lane Draw'!$H11</f>
        <v>F - Tam</v>
      </c>
      <c r="T477" s="1235"/>
      <c r="U477" s="1235" t="str">
        <f>'Track Lane Draw'!$H12</f>
        <v>Y - Worc</v>
      </c>
      <c r="V477" s="1238"/>
      <c r="W477" s="1408" t="s">
        <v>298</v>
      </c>
      <c r="X477" s="1409"/>
      <c r="Y477" s="1409"/>
      <c r="Z477" s="1409"/>
      <c r="AA477" s="1409"/>
      <c r="AB477" s="1409"/>
      <c r="AC477" s="1409"/>
      <c r="AD477" s="1410"/>
    </row>
    <row r="478" spans="1:30" x14ac:dyDescent="0.3">
      <c r="A478" s="419">
        <v>2</v>
      </c>
      <c r="B478" s="24">
        <v>80</v>
      </c>
      <c r="C478" s="221">
        <f>VLOOKUP(B478,EventsOrder,2,FALSE)</f>
        <v>4.45</v>
      </c>
      <c r="D478" s="479" t="str">
        <f>VLOOKUP(B478,EventsOrder,4,FALSE)</f>
        <v>U12 Male</v>
      </c>
      <c r="E478" s="515" t="s">
        <v>149</v>
      </c>
      <c r="F478" s="637">
        <v>1</v>
      </c>
      <c r="G478" s="638" t="str">
        <f>VLOOKUP($B479,IF($F477="F",TeamSheetFemale,TeamSheetMale),W478,FALSE)</f>
        <v xml:space="preserve">Adrian Ward </v>
      </c>
      <c r="I478" s="420">
        <f>VLOOKUP($B479,IF($F477="F",TeamSheetFemale,TeamSheetMale),X478,FALSE)</f>
        <v>0</v>
      </c>
      <c r="J478" s="639"/>
      <c r="K478" s="420" t="str">
        <f>VLOOKUP($B479,IF($F477="F",TeamSheetFemale,TeamSheetMale),Y478,FALSE)</f>
        <v>Daniel wood</v>
      </c>
      <c r="M478" s="420" t="str">
        <f>VLOOKUP($B479,IF($F477="F",TeamSheetFemale,TeamSheetMale),Z478,FALSE)</f>
        <v>Chiemerie Okwara</v>
      </c>
      <c r="O478" s="420" t="str">
        <f>VLOOKUP($B479,IF($F477="F",TeamSheetFemale,TeamSheetMale),AA478,FALSE)</f>
        <v>Sam Roberts</v>
      </c>
      <c r="P478" s="440"/>
      <c r="Q478" s="440" t="str">
        <f>VLOOKUP($B479,IF($F477="F",TeamSheetFemale,TeamSheetMale),AB478,FALSE)</f>
        <v>Henry Cotton</v>
      </c>
      <c r="R478" s="440"/>
      <c r="S478" s="419" t="str">
        <f>VLOOKUP($B479,IF($F477="F",TeamSheetFemale,TeamSheetMale),AC478,FALSE)</f>
        <v>Oliver Eaton</v>
      </c>
      <c r="T478" s="440"/>
      <c r="U478" s="440" t="str">
        <f>VLOOKUP($B479,IF($F477="F",TeamSheetFemale,TeamSheetMale),AD478,FALSE)</f>
        <v>Thomas Jenkinson</v>
      </c>
      <c r="V478" s="640"/>
      <c r="W478" s="32">
        <v>7</v>
      </c>
      <c r="X478" s="32">
        <v>12</v>
      </c>
      <c r="Y478" s="32">
        <v>17</v>
      </c>
      <c r="Z478" s="32">
        <v>22</v>
      </c>
      <c r="AA478" s="32">
        <v>27</v>
      </c>
      <c r="AB478" s="32">
        <v>32</v>
      </c>
      <c r="AC478" s="32">
        <v>37</v>
      </c>
      <c r="AD478" s="32">
        <v>42</v>
      </c>
    </row>
    <row r="479" spans="1:30" x14ac:dyDescent="0.3">
      <c r="A479" s="419">
        <v>3</v>
      </c>
      <c r="B479" s="506" t="str">
        <f>B478&amp;"R"</f>
        <v>80R</v>
      </c>
      <c r="D479" s="479"/>
      <c r="E479" s="515"/>
      <c r="F479" s="637">
        <v>2</v>
      </c>
      <c r="G479" s="638" t="str">
        <f>VLOOKUP($B479,IF($F477="F",TeamSheetFemale,TeamSheetMale),W479,FALSE)</f>
        <v xml:space="preserve">Leo Parekh </v>
      </c>
      <c r="I479" s="641">
        <f>VLOOKUP($B479,IF($F477="F",TeamSheetFemale,TeamSheetMale),X479,FALSE)</f>
        <v>0</v>
      </c>
      <c r="J479" s="552"/>
      <c r="K479" s="641" t="str">
        <f>VLOOKUP($B479,IF($F477="F",TeamSheetFemale,TeamSheetMale),Y479,FALSE)</f>
        <v>Khari Caines</v>
      </c>
      <c r="M479" s="641" t="str">
        <f>VLOOKUP($B479,IF($F477="F",TeamSheetFemale,TeamSheetMale),Z479,FALSE)</f>
        <v>Feranmi Remi-Omosowon</v>
      </c>
      <c r="O479" s="641" t="str">
        <f>VLOOKUP($B479,IF($F477="F",TeamSheetFemale,TeamSheetMale),AA479,FALSE)</f>
        <v>Troy Hall</v>
      </c>
      <c r="P479" s="642"/>
      <c r="Q479" s="642" t="str">
        <f>VLOOKUP($B479,IF($F477="F",TeamSheetFemale,TeamSheetMale),AB479,FALSE)</f>
        <v>Rafe White</v>
      </c>
      <c r="R479" s="642"/>
      <c r="S479" s="419" t="str">
        <f>VLOOKUP($B479,IF($F477="F",TeamSheetFemale,TeamSheetMale),AC479,FALSE)</f>
        <v>Evan Darby</v>
      </c>
      <c r="T479" s="642"/>
      <c r="U479" s="642" t="str">
        <f>VLOOKUP($B479,IF($F477="F",TeamSheetFemale,TeamSheetMale),AD479,FALSE)</f>
        <v>Felix Whakahau</v>
      </c>
      <c r="V479" s="640"/>
      <c r="W479" s="643" t="s">
        <v>299</v>
      </c>
      <c r="X479" s="643" t="s">
        <v>300</v>
      </c>
      <c r="Y479" s="643" t="s">
        <v>301</v>
      </c>
      <c r="Z479" s="643" t="s">
        <v>302</v>
      </c>
      <c r="AA479" s="643" t="s">
        <v>303</v>
      </c>
      <c r="AB479" s="643" t="s">
        <v>304</v>
      </c>
      <c r="AC479" s="643" t="s">
        <v>305</v>
      </c>
      <c r="AD479" s="643" t="s">
        <v>306</v>
      </c>
    </row>
    <row r="480" spans="1:30" x14ac:dyDescent="0.3">
      <c r="A480" s="419">
        <v>4</v>
      </c>
      <c r="B480" s="506" t="str">
        <f>B478&amp;"S"</f>
        <v>80S</v>
      </c>
      <c r="D480" s="479" t="str">
        <f>VLOOKUP(B478,EventsOrder,3,FALSE)</f>
        <v xml:space="preserve">4 x 100m </v>
      </c>
      <c r="E480" s="515" t="s">
        <v>94</v>
      </c>
      <c r="F480" s="637">
        <v>3</v>
      </c>
      <c r="G480" s="638" t="str">
        <f>VLOOKUP($B480,IF($F477="F",TeamSheetFemale,TeamSheetMale),W480,FALSE)</f>
        <v>Zachary Asanga</v>
      </c>
      <c r="I480" s="641">
        <f>VLOOKUP($B480,IF($F477="F",TeamSheetFemale,TeamSheetMale),X480,FALSE)</f>
        <v>0</v>
      </c>
      <c r="J480" s="552"/>
      <c r="K480" s="641" t="str">
        <f>VLOOKUP($B480,IF($F477="F",TeamSheetFemale,TeamSheetMale),Y480,FALSE)</f>
        <v xml:space="preserve">Woody Forrester </v>
      </c>
      <c r="M480" s="641" t="str">
        <f>VLOOKUP($B480,IF($F477="F",TeamSheetFemale,TeamSheetMale),Z480,FALSE)</f>
        <v>Joshua Jardine</v>
      </c>
      <c r="O480" s="641" t="str">
        <f>VLOOKUP($B480,IF($F477="F",TeamSheetFemale,TeamSheetMale),AA480,FALSE)</f>
        <v>Edison Hughes</v>
      </c>
      <c r="P480" s="642"/>
      <c r="Q480" s="642" t="str">
        <f>VLOOKUP($B480,IF($F477="F",TeamSheetFemale,TeamSheetMale),AB480,FALSE)</f>
        <v>Jasper Allen</v>
      </c>
      <c r="R480" s="642"/>
      <c r="S480" s="419" t="str">
        <f>VLOOKUP($B480,IF($F477="F",TeamSheetFemale,TeamSheetMale),AC480,FALSE)</f>
        <v>Theodore Gill</v>
      </c>
      <c r="T480" s="642"/>
      <c r="U480" s="642" t="str">
        <f>VLOOKUP($B480,IF($F477="F",TeamSheetFemale,TeamSheetMale),AD480,FALSE)</f>
        <v>Elliot Oldham</v>
      </c>
      <c r="V480" s="640"/>
      <c r="W480" s="32">
        <v>7</v>
      </c>
      <c r="X480" s="32">
        <v>12</v>
      </c>
      <c r="Y480" s="32">
        <v>17</v>
      </c>
      <c r="Z480" s="32">
        <v>22</v>
      </c>
      <c r="AA480" s="32">
        <v>27</v>
      </c>
      <c r="AB480" s="32">
        <v>32</v>
      </c>
      <c r="AC480" s="32">
        <v>37</v>
      </c>
      <c r="AD480" s="32">
        <v>42</v>
      </c>
    </row>
    <row r="481" spans="1:30" ht="15" thickBot="1" x14ac:dyDescent="0.35">
      <c r="A481" s="419">
        <v>5</v>
      </c>
      <c r="B481" s="506"/>
      <c r="D481" s="644"/>
      <c r="E481" s="146"/>
      <c r="F481" s="637">
        <v>4</v>
      </c>
      <c r="G481" s="638" t="str">
        <f>VLOOKUP($B480,IF($F477="F",TeamSheetFemale,TeamSheetMale),W481,FALSE)</f>
        <v xml:space="preserve">Oliver brooks </v>
      </c>
      <c r="I481" s="641">
        <f>VLOOKUP($B480,IF($F477="F",TeamSheetFemale,TeamSheetMale),X481,FALSE)</f>
        <v>0</v>
      </c>
      <c r="J481" s="552"/>
      <c r="K481" s="641" t="str">
        <f>VLOOKUP($B480,IF($F477="F",TeamSheetFemale,TeamSheetMale),Y481,FALSE)</f>
        <v>Cyrus Thomas</v>
      </c>
      <c r="M481" s="641" t="str">
        <f>VLOOKUP($B480,IF($F477="F",TeamSheetFemale,TeamSheetMale),Z481,FALSE)</f>
        <v>Dallas Burrrows Pitt</v>
      </c>
      <c r="O481" s="645" t="str">
        <f>VLOOKUP($B480,IF($F477="F",TeamSheetFemale,TeamSheetMale),AA481,FALSE)</f>
        <v>Kai Gudmunsen</v>
      </c>
      <c r="P481" s="646"/>
      <c r="Q481" s="646" t="str">
        <f>VLOOKUP($B480,IF($F477="F",TeamSheetFemale,TeamSheetMale),AB481,FALSE)</f>
        <v>Simon Zawada</v>
      </c>
      <c r="R481" s="646"/>
      <c r="S481" s="647" t="str">
        <f>VLOOKUP($B480,IF($F477="F",TeamSheetFemale,TeamSheetMale),AC481,FALSE)</f>
        <v>Lucas Beggs</v>
      </c>
      <c r="T481" s="646"/>
      <c r="U481" s="646" t="str">
        <f>VLOOKUP($B480,IF($F477="F",TeamSheetFemale,TeamSheetMale),AD481,FALSE)</f>
        <v>Lloyd Kerry</v>
      </c>
      <c r="V481" s="640"/>
      <c r="W481" s="643" t="s">
        <v>299</v>
      </c>
      <c r="X481" s="643" t="s">
        <v>300</v>
      </c>
      <c r="Y481" s="643" t="s">
        <v>301</v>
      </c>
      <c r="Z481" s="643" t="s">
        <v>302</v>
      </c>
      <c r="AA481" s="643" t="s">
        <v>303</v>
      </c>
      <c r="AB481" s="643" t="s">
        <v>304</v>
      </c>
      <c r="AC481" s="643" t="s">
        <v>305</v>
      </c>
      <c r="AD481" s="643" t="s">
        <v>306</v>
      </c>
    </row>
    <row r="482" spans="1:30" x14ac:dyDescent="0.3">
      <c r="B482" s="619"/>
      <c r="C482" s="524"/>
      <c r="D482" s="635"/>
      <c r="E482" s="49"/>
      <c r="F482" s="37" t="str">
        <f>IF(MID(D483,5,1)="F","F","M")</f>
        <v>F</v>
      </c>
      <c r="G482" s="1235" t="str">
        <f>G477</f>
        <v>S - BRAT</v>
      </c>
      <c r="H482" s="1235"/>
      <c r="I482" s="1235" t="str">
        <f>I477</f>
        <v>U - K&amp;S</v>
      </c>
      <c r="J482" s="1237"/>
      <c r="K482" s="1235" t="str">
        <f>K477</f>
        <v>G - Royal</v>
      </c>
      <c r="L482" s="1235"/>
      <c r="M482" s="1235" t="str">
        <f>M477</f>
        <v>R - Rugby</v>
      </c>
      <c r="N482" s="1235"/>
      <c r="O482" s="1235" t="str">
        <f>O477</f>
        <v>M - Sol</v>
      </c>
      <c r="P482" s="1235"/>
      <c r="Q482" s="1235" t="str">
        <f>Q477</f>
        <v>D - Strat</v>
      </c>
      <c r="R482" s="1235"/>
      <c r="S482" s="1235" t="str">
        <f>S477</f>
        <v>F - Tam</v>
      </c>
      <c r="T482" s="1235"/>
      <c r="U482" s="1235" t="str">
        <f>U477</f>
        <v>Y - Worc</v>
      </c>
      <c r="V482" s="1238"/>
      <c r="W482"/>
      <c r="X482"/>
      <c r="Y482"/>
      <c r="Z482"/>
      <c r="AA482"/>
      <c r="AB482"/>
      <c r="AC482"/>
      <c r="AD482"/>
    </row>
    <row r="483" spans="1:30" x14ac:dyDescent="0.3">
      <c r="A483" s="419">
        <v>2</v>
      </c>
      <c r="B483" s="24">
        <v>81</v>
      </c>
      <c r="C483" s="221">
        <f>VLOOKUP(B483,EventsOrder,2,FALSE)</f>
        <v>4.4000000000000004</v>
      </c>
      <c r="D483" s="479" t="str">
        <f>VLOOKUP(B483,EventsOrder,4,FALSE)</f>
        <v>U12 Female</v>
      </c>
      <c r="E483" s="515" t="s">
        <v>149</v>
      </c>
      <c r="F483" s="637">
        <v>1</v>
      </c>
      <c r="G483" s="638" t="str">
        <f>VLOOKUP($B484,IF($F482="F",TeamSheetFemale,TeamSheetMale),W483,FALSE)</f>
        <v>Beatrice-Rosie Follows</v>
      </c>
      <c r="I483" s="420" t="str">
        <f>VLOOKUP($B484,IF($F482="F",TeamSheetFemale,TeamSheetMale),X483,FALSE)</f>
        <v xml:space="preserve">Isabelle Evans </v>
      </c>
      <c r="J483" s="639"/>
      <c r="K483" s="420" t="str">
        <f>VLOOKUP($B484,IF($F482="F",TeamSheetFemale,TeamSheetMale),Y483,FALSE)</f>
        <v xml:space="preserve">Taylor Upton </v>
      </c>
      <c r="M483" s="420" t="str">
        <f>VLOOKUP($B484,IF($F482="F",TeamSheetFemale,TeamSheetMale),Z483,FALSE)</f>
        <v>Ava Lawrence</v>
      </c>
      <c r="O483" s="420" t="str">
        <f>VLOOKUP($B484,IF($F482="F",TeamSheetFemale,TeamSheetMale),AA483,FALSE)</f>
        <v>Jessica Blundell</v>
      </c>
      <c r="P483" s="440"/>
      <c r="Q483" s="440" t="str">
        <f>VLOOKUP($B484,IF($F482="F",TeamSheetFemale,TeamSheetMale),AB483,FALSE)</f>
        <v>Megan White</v>
      </c>
      <c r="R483" s="440"/>
      <c r="S483" s="419" t="str">
        <f>VLOOKUP($B484,IF($F482="F",TeamSheetFemale,TeamSheetMale),AC483,FALSE)</f>
        <v>Izzy Jaques</v>
      </c>
      <c r="T483" s="440"/>
      <c r="U483" s="440" t="str">
        <f>VLOOKUP($B484,IF($F482="F",TeamSheetFemale,TeamSheetMale),AD483,FALSE)</f>
        <v>Bethany Gromski</v>
      </c>
      <c r="V483" s="640"/>
      <c r="W483" s="32">
        <v>7</v>
      </c>
      <c r="X483" s="32">
        <v>12</v>
      </c>
      <c r="Y483" s="32">
        <v>17</v>
      </c>
      <c r="Z483" s="32">
        <v>22</v>
      </c>
      <c r="AA483" s="32">
        <v>27</v>
      </c>
      <c r="AB483" s="32">
        <v>32</v>
      </c>
      <c r="AC483" s="32">
        <v>37</v>
      </c>
      <c r="AD483" s="32">
        <v>42</v>
      </c>
    </row>
    <row r="484" spans="1:30" x14ac:dyDescent="0.3">
      <c r="A484" s="419">
        <v>3</v>
      </c>
      <c r="B484" s="506" t="str">
        <f>B483&amp;"R"</f>
        <v>81R</v>
      </c>
      <c r="D484" s="479"/>
      <c r="E484" s="515"/>
      <c r="F484" s="637">
        <v>2</v>
      </c>
      <c r="G484" s="638" t="str">
        <f>VLOOKUP($B484,IF($F482="F",TeamSheetFemale,TeamSheetMale),W484,FALSE)</f>
        <v>Azucena Cereceda</v>
      </c>
      <c r="I484" s="641" t="str">
        <f>VLOOKUP($B484,IF($F482="F",TeamSheetFemale,TeamSheetMale),X484,FALSE)</f>
        <v xml:space="preserve">Amelija Mendelyte </v>
      </c>
      <c r="J484" s="552"/>
      <c r="K484" s="641" t="str">
        <f>VLOOKUP($B484,IF($F482="F",TeamSheetFemale,TeamSheetMale),Y484,FALSE)</f>
        <v xml:space="preserve">Isabelle wakeman </v>
      </c>
      <c r="M484" s="641" t="str">
        <f>VLOOKUP($B484,IF($F482="F",TeamSheetFemale,TeamSheetMale),Z484,FALSE)</f>
        <v>Sophie Lawrence</v>
      </c>
      <c r="O484" s="641" t="str">
        <f>VLOOKUP($B484,IF($F482="F",TeamSheetFemale,TeamSheetMale),AA484,FALSE)</f>
        <v>Elizabeth Fowler</v>
      </c>
      <c r="P484" s="642"/>
      <c r="Q484" s="642" t="str">
        <f>VLOOKUP($B484,IF($F482="F",TeamSheetFemale,TeamSheetMale),AB484,FALSE)</f>
        <v>Saskia Atkins</v>
      </c>
      <c r="R484" s="642"/>
      <c r="S484" s="419" t="str">
        <f>VLOOKUP($B484,IF($F482="F",TeamSheetFemale,TeamSheetMale),AC484,FALSE)</f>
        <v>Eden Farmer</v>
      </c>
      <c r="T484" s="642"/>
      <c r="U484" s="642" t="str">
        <f>VLOOKUP($B484,IF($F482="F",TeamSheetFemale,TeamSheetMale),AD484,FALSE)</f>
        <v>Ella Dyer</v>
      </c>
      <c r="V484" s="640"/>
      <c r="W484" s="643" t="s">
        <v>299</v>
      </c>
      <c r="X484" s="643" t="s">
        <v>300</v>
      </c>
      <c r="Y484" s="643" t="s">
        <v>301</v>
      </c>
      <c r="Z484" s="643" t="s">
        <v>302</v>
      </c>
      <c r="AA484" s="643" t="s">
        <v>303</v>
      </c>
      <c r="AB484" s="643" t="s">
        <v>304</v>
      </c>
      <c r="AC484" s="643" t="s">
        <v>305</v>
      </c>
      <c r="AD484" s="643" t="s">
        <v>306</v>
      </c>
    </row>
    <row r="485" spans="1:30" x14ac:dyDescent="0.3">
      <c r="A485" s="419">
        <v>4</v>
      </c>
      <c r="B485" s="506" t="str">
        <f>B483&amp;"S"</f>
        <v>81S</v>
      </c>
      <c r="D485" s="479" t="str">
        <f>VLOOKUP(B483,EventsOrder,3,FALSE)</f>
        <v xml:space="preserve">4 x 100m </v>
      </c>
      <c r="E485" s="515" t="s">
        <v>94</v>
      </c>
      <c r="F485" s="637">
        <v>3</v>
      </c>
      <c r="G485" s="638" t="str">
        <f>VLOOKUP($B485,IF($F482="F",TeamSheetFemale,TeamSheetMale),W485,FALSE)</f>
        <v>Khushi Chanal</v>
      </c>
      <c r="I485" s="641" t="str">
        <f>VLOOKUP($B485,IF($F482="F",TeamSheetFemale,TeamSheetMale),X485,FALSE)</f>
        <v xml:space="preserve">Polly Richards </v>
      </c>
      <c r="J485" s="552"/>
      <c r="K485" s="641" t="str">
        <f>VLOOKUP($B485,IF($F482="F",TeamSheetFemale,TeamSheetMale),Y485,FALSE)</f>
        <v xml:space="preserve">Indie Upton </v>
      </c>
      <c r="M485" s="641" t="str">
        <f>VLOOKUP($B485,IF($F482="F",TeamSheetFemale,TeamSheetMale),Z485,FALSE)</f>
        <v>Saffron Davies</v>
      </c>
      <c r="O485" s="641" t="str">
        <f>VLOOKUP($B485,IF($F482="F",TeamSheetFemale,TeamSheetMale),AA485,FALSE)</f>
        <v>Molly Dale</v>
      </c>
      <c r="P485" s="642"/>
      <c r="Q485" s="642" t="str">
        <f>VLOOKUP($B485,IF($F482="F",TeamSheetFemale,TeamSheetMale),AB485,FALSE)</f>
        <v>Florence Castle</v>
      </c>
      <c r="R485" s="642"/>
      <c r="S485" s="419" t="str">
        <f>VLOOKUP($B485,IF($F482="F",TeamSheetFemale,TeamSheetMale),AC485,FALSE)</f>
        <v>Clara Knight-Dutton</v>
      </c>
      <c r="T485" s="642"/>
      <c r="U485" s="642" t="str">
        <f>VLOOKUP($B485,IF($F482="F",TeamSheetFemale,TeamSheetMale),AD485,FALSE)</f>
        <v>Megan Mabey</v>
      </c>
      <c r="V485" s="640"/>
      <c r="W485" s="32">
        <v>7</v>
      </c>
      <c r="X485" s="32">
        <v>12</v>
      </c>
      <c r="Y485" s="32">
        <v>17</v>
      </c>
      <c r="Z485" s="32">
        <v>22</v>
      </c>
      <c r="AA485" s="32">
        <v>27</v>
      </c>
      <c r="AB485" s="32">
        <v>32</v>
      </c>
      <c r="AC485" s="32">
        <v>37</v>
      </c>
      <c r="AD485" s="32">
        <v>42</v>
      </c>
    </row>
    <row r="486" spans="1:30" ht="15" thickBot="1" x14ac:dyDescent="0.35">
      <c r="A486" s="419">
        <v>5</v>
      </c>
      <c r="B486" s="506"/>
      <c r="D486" s="644"/>
      <c r="E486" s="146"/>
      <c r="F486" s="637">
        <v>4</v>
      </c>
      <c r="G486" s="638" t="str">
        <f>VLOOKUP($B485,IF($F482="F",TeamSheetFemale,TeamSheetMale),W486,FALSE)</f>
        <v>Beatrix Thompson</v>
      </c>
      <c r="I486" s="641" t="str">
        <f>VLOOKUP($B485,IF($F482="F",TeamSheetFemale,TeamSheetMale),X486,FALSE)</f>
        <v xml:space="preserve">Alice Thompson </v>
      </c>
      <c r="J486" s="552"/>
      <c r="K486" s="641" t="str">
        <f>VLOOKUP($B485,IF($F482="F",TeamSheetFemale,TeamSheetMale),Y486,FALSE)</f>
        <v xml:space="preserve">Lila Wilmore </v>
      </c>
      <c r="M486" s="641" t="str">
        <f>VLOOKUP($B485,IF($F482="F",TeamSheetFemale,TeamSheetMale),Z486,FALSE)</f>
        <v>Tavayah Lennox</v>
      </c>
      <c r="O486" s="645" t="str">
        <f>VLOOKUP($B485,IF($F482="F",TeamSheetFemale,TeamSheetMale),AA486,FALSE)</f>
        <v>Seren Dhami</v>
      </c>
      <c r="P486" s="646"/>
      <c r="Q486" s="646" t="str">
        <f>VLOOKUP($B485,IF($F482="F",TeamSheetFemale,TeamSheetMale),AB486,FALSE)</f>
        <v>Elsie Gould</v>
      </c>
      <c r="R486" s="646"/>
      <c r="S486" s="647" t="str">
        <f>VLOOKUP($B485,IF($F482="F",TeamSheetFemale,TeamSheetMale),AC486,FALSE)</f>
        <v>Anabel Amankwah</v>
      </c>
      <c r="T486" s="646"/>
      <c r="U486" s="646" t="str">
        <f>VLOOKUP($B485,IF($F482="F",TeamSheetFemale,TeamSheetMale),AD486,FALSE)</f>
        <v>Annabelle Hadland</v>
      </c>
      <c r="V486" s="640"/>
      <c r="W486" s="643" t="s">
        <v>299</v>
      </c>
      <c r="X486" s="643" t="s">
        <v>300</v>
      </c>
      <c r="Y486" s="643" t="s">
        <v>301</v>
      </c>
      <c r="Z486" s="643" t="s">
        <v>302</v>
      </c>
      <c r="AA486" s="643" t="s">
        <v>303</v>
      </c>
      <c r="AB486" s="643" t="s">
        <v>304</v>
      </c>
      <c r="AC486" s="643" t="s">
        <v>305</v>
      </c>
      <c r="AD486" s="643" t="s">
        <v>306</v>
      </c>
    </row>
    <row r="487" spans="1:30" x14ac:dyDescent="0.3">
      <c r="A487" s="419">
        <v>6</v>
      </c>
      <c r="B487" s="619"/>
      <c r="C487" s="524"/>
      <c r="D487" s="635"/>
      <c r="E487" s="49"/>
      <c r="F487" s="37" t="str">
        <f>IF(MID(D488,5,1)="F","F","M")</f>
        <v>F</v>
      </c>
      <c r="G487" s="1236" t="str">
        <f>G477</f>
        <v>S - BRAT</v>
      </c>
      <c r="H487" s="1239"/>
      <c r="I487" s="1235" t="str">
        <f t="shared" ref="I487:Q487" si="34">I477</f>
        <v>U - K&amp;S</v>
      </c>
      <c r="J487" s="1239"/>
      <c r="K487" s="1235" t="str">
        <f t="shared" si="34"/>
        <v>G - Royal</v>
      </c>
      <c r="L487" s="1239"/>
      <c r="M487" s="1235" t="str">
        <f t="shared" si="34"/>
        <v>R - Rugby</v>
      </c>
      <c r="N487" s="1239"/>
      <c r="O487" s="1235" t="str">
        <f t="shared" si="34"/>
        <v>M - Sol</v>
      </c>
      <c r="P487" s="1239"/>
      <c r="Q487" s="1235" t="str">
        <f t="shared" si="34"/>
        <v>D - Strat</v>
      </c>
      <c r="R487" s="1239"/>
      <c r="S487" s="1235" t="str">
        <f>S477</f>
        <v>F - Tam</v>
      </c>
      <c r="T487" s="1239"/>
      <c r="U487" s="1235" t="str">
        <f>U477</f>
        <v>Y - Worc</v>
      </c>
      <c r="V487" s="1238"/>
      <c r="W487" s="631"/>
      <c r="X487" s="631"/>
      <c r="Y487" s="631"/>
      <c r="Z487" s="631"/>
    </row>
    <row r="488" spans="1:30" x14ac:dyDescent="0.3">
      <c r="A488" s="419">
        <v>7</v>
      </c>
      <c r="B488" s="24">
        <v>82</v>
      </c>
      <c r="C488" s="221">
        <f>VLOOKUP(B488,EventsOrder,2,FALSE)</f>
        <v>4.5</v>
      </c>
      <c r="D488" s="479" t="str">
        <f>VLOOKUP(B488,EventsOrder,4,FALSE)</f>
        <v>U14 Female</v>
      </c>
      <c r="E488" s="515" t="s">
        <v>149</v>
      </c>
      <c r="F488" s="534">
        <v>1</v>
      </c>
      <c r="G488" s="638" t="str">
        <f>VLOOKUP($B489,IF($F487="F",TeamSheetFemale,TeamSheetMale),W488,FALSE)</f>
        <v>Darcy mcdaid</v>
      </c>
      <c r="H488" s="642"/>
      <c r="I488" s="419" t="str">
        <f>VLOOKUP($B489,IF($F487="F",TeamSheetFemale,TeamSheetMale),X488,FALSE)</f>
        <v>Matilda Kiernan</v>
      </c>
      <c r="J488" s="642"/>
      <c r="K488" s="419" t="str">
        <f>VLOOKUP($B489,IF($F487="F",TeamSheetFemale,TeamSheetMale),Y488,FALSE)</f>
        <v>Annabelle Ani</v>
      </c>
      <c r="L488" s="642"/>
      <c r="M488" s="419" t="str">
        <f>VLOOKUP($B489,IF($F487="F",TeamSheetFemale,TeamSheetMale),Z488,FALSE)</f>
        <v>Matilda Famuyiwa</v>
      </c>
      <c r="N488" s="642"/>
      <c r="O488" s="419" t="str">
        <f>VLOOKUP($B489,IF($F487="F",TeamSheetFemale,TeamSheetMale),AA488,FALSE)</f>
        <v>Ava Blundell</v>
      </c>
      <c r="P488" s="642"/>
      <c r="Q488" s="419" t="str">
        <f>VLOOKUP($B489,IF($F487="F",TeamSheetFemale,TeamSheetMale),AB488,FALSE)</f>
        <v>Elsie Pipitone</v>
      </c>
      <c r="R488" s="642"/>
      <c r="S488" s="419" t="str">
        <f>VLOOKUP($B489,IF($F487="F",TeamSheetFemale,TeamSheetMale),AC488,FALSE)</f>
        <v>Evie Smith</v>
      </c>
      <c r="T488" s="642"/>
      <c r="U488" s="419" t="str">
        <f>VLOOKUP($B489,IF($F487="F",TeamSheetFemale,TeamSheetMale),AD488,FALSE)</f>
        <v>Gracie Hodgkins</v>
      </c>
      <c r="V488" s="640"/>
      <c r="W488" s="32">
        <v>7</v>
      </c>
      <c r="X488" s="32">
        <v>12</v>
      </c>
      <c r="Y488" s="32">
        <v>17</v>
      </c>
      <c r="Z488" s="32">
        <v>22</v>
      </c>
      <c r="AA488" s="32">
        <v>27</v>
      </c>
      <c r="AB488" s="32">
        <v>32</v>
      </c>
      <c r="AC488" s="32">
        <v>37</v>
      </c>
      <c r="AD488" s="32">
        <v>42</v>
      </c>
    </row>
    <row r="489" spans="1:30" x14ac:dyDescent="0.3">
      <c r="A489" s="419">
        <v>8</v>
      </c>
      <c r="B489" s="506" t="str">
        <f>B488&amp;"R"</f>
        <v>82R</v>
      </c>
      <c r="D489" s="479"/>
      <c r="E489" s="515"/>
      <c r="F489" s="534">
        <v>2</v>
      </c>
      <c r="G489" s="638" t="str">
        <f>VLOOKUP($B489,IF($F487="F",TeamSheetFemale,TeamSheetMale),W489,FALSE)</f>
        <v>Agnes thomson</v>
      </c>
      <c r="H489" s="642"/>
      <c r="I489" s="419" t="str">
        <f>VLOOKUP($B489,IF($F487="F",TeamSheetFemale,TeamSheetMale),X489,FALSE)</f>
        <v>Lila Warwick</v>
      </c>
      <c r="J489" s="642"/>
      <c r="K489" s="419" t="str">
        <f>VLOOKUP($B489,IF($F487="F",TeamSheetFemale,TeamSheetMale),Y489,FALSE)</f>
        <v>Abigail Dilworth</v>
      </c>
      <c r="L489" s="642"/>
      <c r="M489" s="419" t="str">
        <f>VLOOKUP($B489,IF($F487="F",TeamSheetFemale,TeamSheetMale),Z489,FALSE)</f>
        <v>Taya Young</v>
      </c>
      <c r="N489" s="642"/>
      <c r="O489" s="419" t="str">
        <f>VLOOKUP($B489,IF($F487="F",TeamSheetFemale,TeamSheetMale),AA489,FALSE)</f>
        <v>Ava Collett</v>
      </c>
      <c r="P489" s="642"/>
      <c r="Q489" s="419" t="str">
        <f>VLOOKUP($B489,IF($F487="F",TeamSheetFemale,TeamSheetMale),AB489,FALSE)</f>
        <v>Lara Ryan-Gill</v>
      </c>
      <c r="R489" s="642"/>
      <c r="S489" s="419" t="str">
        <f>VLOOKUP($B489,IF($F487="F",TeamSheetFemale,TeamSheetMale),AC489,FALSE)</f>
        <v>Alice Smith</v>
      </c>
      <c r="T489" s="642"/>
      <c r="U489" s="419" t="str">
        <f>VLOOKUP($B489,IF($F487="F",TeamSheetFemale,TeamSheetMale),AD489,FALSE)</f>
        <v>Elsie Thornton</v>
      </c>
      <c r="V489" s="640"/>
      <c r="W489" s="643" t="s">
        <v>299</v>
      </c>
      <c r="X489" s="643" t="s">
        <v>300</v>
      </c>
      <c r="Y489" s="643" t="s">
        <v>301</v>
      </c>
      <c r="Z489" s="643" t="s">
        <v>302</v>
      </c>
      <c r="AA489" s="643" t="s">
        <v>303</v>
      </c>
      <c r="AB489" s="643" t="s">
        <v>304</v>
      </c>
      <c r="AC489" s="643" t="s">
        <v>305</v>
      </c>
      <c r="AD489" s="643" t="s">
        <v>306</v>
      </c>
    </row>
    <row r="490" spans="1:30" x14ac:dyDescent="0.3">
      <c r="A490" s="419">
        <v>9</v>
      </c>
      <c r="B490" s="506" t="str">
        <f>B488&amp;"S"</f>
        <v>82S</v>
      </c>
      <c r="D490" s="479" t="str">
        <f>VLOOKUP(B488,EventsOrder,3,FALSE)</f>
        <v>4 x 100m</v>
      </c>
      <c r="E490" s="515" t="s">
        <v>94</v>
      </c>
      <c r="F490" s="534">
        <v>3</v>
      </c>
      <c r="G490" s="638" t="str">
        <f>VLOOKUP($B490,IF($F487="F",TeamSheetFemale,TeamSheetMale),W490,FALSE)</f>
        <v>Rose Ricardo</v>
      </c>
      <c r="H490" s="642"/>
      <c r="I490" s="419" t="str">
        <f>VLOOKUP($B490,IF($F487="F",TeamSheetFemale,TeamSheetMale),X490,FALSE)</f>
        <v>Isabelle McCann</v>
      </c>
      <c r="J490" s="642"/>
      <c r="K490" s="419" t="str">
        <f>VLOOKUP($B490,IF($F487="F",TeamSheetFemale,TeamSheetMale),Y490,FALSE)</f>
        <v>Annabelle Pattinson</v>
      </c>
      <c r="L490" s="642"/>
      <c r="M490" s="419" t="str">
        <f>VLOOKUP($B490,IF($F487="F",TeamSheetFemale,TeamSheetMale),Z490,FALSE)</f>
        <v>Amber Butler</v>
      </c>
      <c r="N490" s="642"/>
      <c r="O490" s="419" t="str">
        <f>VLOOKUP($B490,IF($F487="F",TeamSheetFemale,TeamSheetMale),AA490,FALSE)</f>
        <v>Phoebe Ricketts</v>
      </c>
      <c r="P490" s="642"/>
      <c r="Q490" s="419" t="str">
        <f>VLOOKUP($B490,IF($F487="F",TeamSheetFemale,TeamSheetMale),AB490,FALSE)</f>
        <v>Martha Edwards</v>
      </c>
      <c r="R490" s="642"/>
      <c r="S490" s="419" t="str">
        <f>VLOOKUP($B490,IF($F487="F",TeamSheetFemale,TeamSheetMale),AC490,FALSE)</f>
        <v>Marlei Bignot</v>
      </c>
      <c r="T490" s="642"/>
      <c r="U490" s="419" t="str">
        <f>VLOOKUP($B490,IF($F487="F",TeamSheetFemale,TeamSheetMale),AD490,FALSE)</f>
        <v>Esme Dyer</v>
      </c>
      <c r="V490" s="640"/>
      <c r="W490" s="32">
        <v>7</v>
      </c>
      <c r="X490" s="32">
        <v>12</v>
      </c>
      <c r="Y490" s="32">
        <v>17</v>
      </c>
      <c r="Z490" s="32">
        <v>22</v>
      </c>
      <c r="AA490" s="32">
        <v>27</v>
      </c>
      <c r="AB490" s="32">
        <v>32</v>
      </c>
      <c r="AC490" s="32">
        <v>37</v>
      </c>
      <c r="AD490" s="32">
        <v>42</v>
      </c>
    </row>
    <row r="491" spans="1:30" ht="15" thickBot="1" x14ac:dyDescent="0.35">
      <c r="A491" s="419">
        <v>10</v>
      </c>
      <c r="B491" s="530"/>
      <c r="C491" s="501"/>
      <c r="D491" s="502"/>
      <c r="E491" s="523"/>
      <c r="F491" s="563">
        <v>4</v>
      </c>
      <c r="G491" s="648" t="str">
        <f>VLOOKUP($B490,IF($F487="F",TeamSheetFemale,TeamSheetMale),W491,FALSE)</f>
        <v>Savannah wedderburn</v>
      </c>
      <c r="H491" s="649"/>
      <c r="I491" s="624" t="str">
        <f>VLOOKUP($B490,IF($F487="F",TeamSheetFemale,TeamSheetMale),X491,FALSE)</f>
        <v>Pippa Richards</v>
      </c>
      <c r="J491" s="649"/>
      <c r="K491" s="650" t="str">
        <f>VLOOKUP($B490,IF($F487="F",TeamSheetFemale,TeamSheetMale),Y491,FALSE)</f>
        <v>Mabel Edgerton</v>
      </c>
      <c r="L491" s="651"/>
      <c r="M491" s="650" t="str">
        <f>VLOOKUP($B490,IF($F487="F",TeamSheetFemale,TeamSheetMale),Z491,FALSE)</f>
        <v>Reese Ridgway</v>
      </c>
      <c r="N491" s="651"/>
      <c r="O491" s="650" t="str">
        <f>VLOOKUP($B490,IF($F487="F",TeamSheetFemale,TeamSheetMale),AA491,FALSE)</f>
        <v>Abby Ruggles</v>
      </c>
      <c r="P491" s="651"/>
      <c r="Q491" s="650" t="str">
        <f>VLOOKUP($B490,IF($F487="F",TeamSheetFemale,TeamSheetMale),AB491,FALSE)</f>
        <v>Evangeline Harris</v>
      </c>
      <c r="R491" s="651"/>
      <c r="S491" s="650" t="str">
        <f>VLOOKUP($B490,IF($F487="F",TeamSheetFemale,TeamSheetMale),AC491,FALSE)</f>
        <v>Freya Draycott</v>
      </c>
      <c r="T491" s="651"/>
      <c r="U491" s="650" t="str">
        <f>VLOOKUP($B490,IF($F487="F",TeamSheetFemale,TeamSheetMale),AD491,FALSE)</f>
        <v>Rosie Groves</v>
      </c>
      <c r="V491" s="652"/>
      <c r="W491" s="643" t="s">
        <v>299</v>
      </c>
      <c r="X491" s="643" t="s">
        <v>300</v>
      </c>
      <c r="Y491" s="643" t="s">
        <v>301</v>
      </c>
      <c r="Z491" s="643" t="s">
        <v>302</v>
      </c>
      <c r="AA491" s="643" t="s">
        <v>303</v>
      </c>
      <c r="AB491" s="643" t="s">
        <v>304</v>
      </c>
      <c r="AC491" s="643" t="s">
        <v>305</v>
      </c>
      <c r="AD491" s="643" t="s">
        <v>306</v>
      </c>
    </row>
    <row r="492" spans="1:30" x14ac:dyDescent="0.3">
      <c r="A492" s="419">
        <v>11</v>
      </c>
      <c r="B492" s="619"/>
      <c r="C492" s="524"/>
      <c r="D492" s="635"/>
      <c r="E492" s="49"/>
      <c r="F492" s="37" t="str">
        <f>IF(MID(D493,5,1)="F","F","M")</f>
        <v>F</v>
      </c>
      <c r="G492" s="1236" t="str">
        <f>G487</f>
        <v>S - BRAT</v>
      </c>
      <c r="H492" s="1239"/>
      <c r="I492" s="1235" t="str">
        <f>I487</f>
        <v>U - K&amp;S</v>
      </c>
      <c r="J492" s="1239"/>
      <c r="K492" s="1235" t="str">
        <f>K487</f>
        <v>G - Royal</v>
      </c>
      <c r="L492" s="1239"/>
      <c r="M492" s="1235" t="str">
        <f>M487</f>
        <v>R - Rugby</v>
      </c>
      <c r="N492" s="1239"/>
      <c r="O492" s="1235" t="str">
        <f>O487</f>
        <v>M - Sol</v>
      </c>
      <c r="P492" s="1239"/>
      <c r="Q492" s="1235" t="str">
        <f>Q487</f>
        <v>D - Strat</v>
      </c>
      <c r="R492" s="1239"/>
      <c r="S492" s="1235" t="str">
        <f>S487</f>
        <v>F - Tam</v>
      </c>
      <c r="T492" s="1239"/>
      <c r="U492" s="1235" t="str">
        <f>U487</f>
        <v>Y - Worc</v>
      </c>
      <c r="V492" s="1238"/>
    </row>
    <row r="493" spans="1:30" x14ac:dyDescent="0.3">
      <c r="A493" s="419">
        <v>12</v>
      </c>
      <c r="B493" s="24">
        <v>83</v>
      </c>
      <c r="C493" s="221">
        <f>VLOOKUP(B493,EventsOrder,2,FALSE)</f>
        <v>4.55</v>
      </c>
      <c r="D493" s="479" t="str">
        <f>VLOOKUP(B493,EventsOrder,4,FALSE)</f>
        <v>U16 Female</v>
      </c>
      <c r="E493" s="515" t="s">
        <v>149</v>
      </c>
      <c r="F493" s="534">
        <v>1</v>
      </c>
      <c r="G493" s="638" t="str">
        <f>VLOOKUP($B494,IF($F492="F",TeamSheetFemale,TeamSheetMale),W493,FALSE)</f>
        <v>Alisia Scarlett-Thomas</v>
      </c>
      <c r="H493" s="642"/>
      <c r="I493" s="419" t="str">
        <f>VLOOKUP($B494,IF($F492="F",TeamSheetFemale,TeamSheetMale),X493,FALSE)</f>
        <v>Nicole Bevan</v>
      </c>
      <c r="J493" s="642"/>
      <c r="K493" s="419" t="str">
        <f>VLOOKUP($B494,IF($F492="F",TeamSheetFemale,TeamSheetMale),Y493,FALSE)</f>
        <v>Anisia Barton</v>
      </c>
      <c r="L493" s="642"/>
      <c r="M493" s="419" t="str">
        <f>VLOOKUP($B494,IF($F492="F",TeamSheetFemale,TeamSheetMale),Z493,FALSE)</f>
        <v>Millie-anna Snell</v>
      </c>
      <c r="N493" s="642"/>
      <c r="O493" s="419" t="str">
        <f>VLOOKUP($B494,IF($F492="F",TeamSheetFemale,TeamSheetMale),AA493,FALSE)</f>
        <v>Ada Masson</v>
      </c>
      <c r="P493" s="642"/>
      <c r="Q493" s="419" t="str">
        <f>VLOOKUP($B494,IF($F492="F",TeamSheetFemale,TeamSheetMale),AB493,FALSE)</f>
        <v xml:space="preserve">Niamh Williams </v>
      </c>
      <c r="R493" s="642"/>
      <c r="S493" s="419" t="str">
        <f>VLOOKUP($B494,IF($F492="F",TeamSheetFemale,TeamSheetMale),AC493,FALSE)</f>
        <v>Tiarna Walls</v>
      </c>
      <c r="T493" s="642"/>
      <c r="U493" s="419" t="str">
        <f>VLOOKUP($B494,IF($F492="F",TeamSheetFemale,TeamSheetMale),AD493,FALSE)</f>
        <v>Harriett Carey</v>
      </c>
      <c r="V493" s="640"/>
      <c r="W493" s="32">
        <v>7</v>
      </c>
      <c r="X493" s="32">
        <v>12</v>
      </c>
      <c r="Y493" s="32">
        <v>17</v>
      </c>
      <c r="Z493" s="32">
        <v>22</v>
      </c>
      <c r="AA493" s="32">
        <v>27</v>
      </c>
      <c r="AB493" s="32">
        <v>32</v>
      </c>
      <c r="AC493" s="32">
        <v>37</v>
      </c>
      <c r="AD493" s="32">
        <v>42</v>
      </c>
    </row>
    <row r="494" spans="1:30" x14ac:dyDescent="0.3">
      <c r="A494" s="419">
        <v>13</v>
      </c>
      <c r="B494" s="506" t="str">
        <f>B493&amp;"R"</f>
        <v>83R</v>
      </c>
      <c r="D494" s="479"/>
      <c r="E494" s="515"/>
      <c r="F494" s="534">
        <v>2</v>
      </c>
      <c r="G494" s="638" t="str">
        <f>VLOOKUP($B494,IF($F492="F",TeamSheetFemale,TeamSheetMale),W494,FALSE)</f>
        <v>Tamera Campbell</v>
      </c>
      <c r="H494" s="642"/>
      <c r="I494" s="419" t="str">
        <f>VLOOKUP($B494,IF($F492="F",TeamSheetFemale,TeamSheetMale),X494,FALSE)</f>
        <v>Sophia Llewellyn</v>
      </c>
      <c r="J494" s="642"/>
      <c r="K494" s="419" t="str">
        <f>VLOOKUP($B494,IF($F492="F",TeamSheetFemale,TeamSheetMale),Y494,FALSE)</f>
        <v>Zareen Ulhaq</v>
      </c>
      <c r="L494" s="642"/>
      <c r="M494" s="419" t="str">
        <f>VLOOKUP($B494,IF($F492="F",TeamSheetFemale,TeamSheetMale),Z494,FALSE)</f>
        <v>Phoebe Clark</v>
      </c>
      <c r="N494" s="642"/>
      <c r="O494" s="419" t="str">
        <f>VLOOKUP($B494,IF($F492="F",TeamSheetFemale,TeamSheetMale),AA494,FALSE)</f>
        <v>Gabrielle Blake</v>
      </c>
      <c r="P494" s="642"/>
      <c r="Q494" s="419" t="str">
        <f>VLOOKUP($B494,IF($F492="F",TeamSheetFemale,TeamSheetMale),AB494,FALSE)</f>
        <v>Lottie Willis</v>
      </c>
      <c r="R494" s="642"/>
      <c r="S494" s="419" t="str">
        <f>VLOOKUP($B494,IF($F492="F",TeamSheetFemale,TeamSheetMale),AC494,FALSE)</f>
        <v>Brodie Horler</v>
      </c>
      <c r="T494" s="642"/>
      <c r="U494" s="419" t="str">
        <f>VLOOKUP($B494,IF($F492="F",TeamSheetFemale,TeamSheetMale),AD494,FALSE)</f>
        <v>Lara Taylor</v>
      </c>
      <c r="V494" s="640"/>
      <c r="W494" s="643" t="s">
        <v>299</v>
      </c>
      <c r="X494" s="643" t="s">
        <v>300</v>
      </c>
      <c r="Y494" s="643" t="s">
        <v>301</v>
      </c>
      <c r="Z494" s="643" t="s">
        <v>302</v>
      </c>
      <c r="AA494" s="643" t="s">
        <v>303</v>
      </c>
      <c r="AB494" s="643" t="s">
        <v>304</v>
      </c>
      <c r="AC494" s="643" t="s">
        <v>305</v>
      </c>
      <c r="AD494" s="643" t="s">
        <v>306</v>
      </c>
    </row>
    <row r="495" spans="1:30" x14ac:dyDescent="0.3">
      <c r="A495" s="419">
        <v>14</v>
      </c>
      <c r="B495" s="506" t="str">
        <f>B493&amp;"S"</f>
        <v>83S</v>
      </c>
      <c r="D495" s="479" t="str">
        <f>VLOOKUP(B493,EventsOrder,3,FALSE)</f>
        <v>4 x 100m</v>
      </c>
      <c r="E495" s="515" t="s">
        <v>94</v>
      </c>
      <c r="F495" s="534">
        <v>3</v>
      </c>
      <c r="G495" s="638" t="str">
        <f>VLOOKUP($B495,IF($F492="F",TeamSheetFemale,TeamSheetMale),W495,FALSE)</f>
        <v xml:space="preserve">Erin Colclough </v>
      </c>
      <c r="H495" s="642"/>
      <c r="I495" s="419" t="str">
        <f>VLOOKUP($B495,IF($F492="F",TeamSheetFemale,TeamSheetMale),X495,FALSE)</f>
        <v>Florence Aspinall</v>
      </c>
      <c r="J495" s="642"/>
      <c r="K495" s="419" t="str">
        <f>VLOOKUP($B495,IF($F492="F",TeamSheetFemale,TeamSheetMale),Y495,FALSE)</f>
        <v>Gracie Young</v>
      </c>
      <c r="L495" s="642"/>
      <c r="M495" s="419" t="str">
        <f>VLOOKUP($B495,IF($F492="F",TeamSheetFemale,TeamSheetMale),Z495,FALSE)</f>
        <v>Isabella Atwell</v>
      </c>
      <c r="N495" s="642"/>
      <c r="O495" s="419" t="str">
        <f>VLOOKUP($B495,IF($F492="F",TeamSheetFemale,TeamSheetMale),AA495,FALSE)</f>
        <v>Alisa Preston</v>
      </c>
      <c r="P495" s="642"/>
      <c r="Q495" s="419" t="str">
        <f>VLOOKUP($B495,IF($F492="F",TeamSheetFemale,TeamSheetMale),AB495,FALSE)</f>
        <v>Lila Gallinagh</v>
      </c>
      <c r="R495" s="642"/>
      <c r="S495" s="419" t="str">
        <f>VLOOKUP($B495,IF($F492="F",TeamSheetFemale,TeamSheetMale),AC495,FALSE)</f>
        <v>Holly Hancock</v>
      </c>
      <c r="T495" s="642"/>
      <c r="U495" s="419" t="str">
        <f>VLOOKUP($B495,IF($F492="F",TeamSheetFemale,TeamSheetMale),AD495,FALSE)</f>
        <v>Isla Oldham</v>
      </c>
      <c r="V495" s="640"/>
      <c r="W495" s="32">
        <v>7</v>
      </c>
      <c r="X495" s="32">
        <v>12</v>
      </c>
      <c r="Y495" s="32">
        <v>17</v>
      </c>
      <c r="Z495" s="32">
        <v>22</v>
      </c>
      <c r="AA495" s="32">
        <v>27</v>
      </c>
      <c r="AB495" s="32">
        <v>32</v>
      </c>
      <c r="AC495" s="32">
        <v>37</v>
      </c>
      <c r="AD495" s="32">
        <v>42</v>
      </c>
    </row>
    <row r="496" spans="1:30" ht="15" thickBot="1" x14ac:dyDescent="0.35">
      <c r="A496" s="419">
        <v>15</v>
      </c>
      <c r="B496" s="530"/>
      <c r="C496" s="501"/>
      <c r="D496" s="502"/>
      <c r="E496" s="523"/>
      <c r="F496" s="563">
        <v>4</v>
      </c>
      <c r="G496" s="648" t="str">
        <f>VLOOKUP($B495,IF($F492="F",TeamSheetFemale,TeamSheetMale),W496,FALSE)</f>
        <v xml:space="preserve">Araya Williams </v>
      </c>
      <c r="H496" s="649"/>
      <c r="I496" s="624" t="str">
        <f>VLOOKUP($B495,IF($F492="F",TeamSheetFemale,TeamSheetMale),X496,FALSE)</f>
        <v>Georgia Kiernan</v>
      </c>
      <c r="J496" s="649"/>
      <c r="K496" s="650" t="str">
        <f>VLOOKUP($B495,IF($F492="F",TeamSheetFemale,TeamSheetMale),Y496,FALSE)</f>
        <v>Aiza Ulhaq</v>
      </c>
      <c r="L496" s="651"/>
      <c r="M496" s="650" t="str">
        <f>VLOOKUP($B495,IF($F492="F",TeamSheetFemale,TeamSheetMale),Z496,FALSE)</f>
        <v>Martha Kerr</v>
      </c>
      <c r="N496" s="651"/>
      <c r="O496" s="650" t="str">
        <f>VLOOKUP($B495,IF($F492="F",TeamSheetFemale,TeamSheetMale),AA496,FALSE)</f>
        <v>Isla Gerry</v>
      </c>
      <c r="P496" s="651"/>
      <c r="Q496" s="650" t="str">
        <f>VLOOKUP($B495,IF($F492="F",TeamSheetFemale,TeamSheetMale),AB496,FALSE)</f>
        <v>Annabel Stacey</v>
      </c>
      <c r="R496" s="651"/>
      <c r="S496" s="650" t="str">
        <f>VLOOKUP($B495,IF($F492="F",TeamSheetFemale,TeamSheetMale),AC496,FALSE)</f>
        <v>Rosa Farmer</v>
      </c>
      <c r="T496" s="651"/>
      <c r="U496" s="650" t="str">
        <f>VLOOKUP($B495,IF($F492="F",TeamSheetFemale,TeamSheetMale),AD496,FALSE)</f>
        <v>Felicity Moore</v>
      </c>
      <c r="V496" s="652"/>
      <c r="W496" s="643" t="s">
        <v>299</v>
      </c>
      <c r="X496" s="643" t="s">
        <v>300</v>
      </c>
      <c r="Y496" s="643" t="s">
        <v>301</v>
      </c>
      <c r="Z496" s="643" t="s">
        <v>302</v>
      </c>
      <c r="AA496" s="643" t="s">
        <v>303</v>
      </c>
      <c r="AB496" s="643" t="s">
        <v>304</v>
      </c>
      <c r="AC496" s="643" t="s">
        <v>305</v>
      </c>
      <c r="AD496" s="643" t="s">
        <v>306</v>
      </c>
    </row>
    <row r="497" spans="1:30" x14ac:dyDescent="0.3">
      <c r="A497" s="419">
        <v>16</v>
      </c>
      <c r="B497" s="619"/>
      <c r="C497" s="524"/>
      <c r="D497" s="635"/>
      <c r="E497" s="49"/>
      <c r="F497" s="37" t="str">
        <f>IF(MID(D498,5,1)="F","F","M")</f>
        <v>F</v>
      </c>
      <c r="G497" s="1236" t="str">
        <f>G492</f>
        <v>S - BRAT</v>
      </c>
      <c r="H497" s="1239"/>
      <c r="I497" s="1235" t="str">
        <f>I492</f>
        <v>U - K&amp;S</v>
      </c>
      <c r="J497" s="1239"/>
      <c r="K497" s="1235" t="str">
        <f>K492</f>
        <v>G - Royal</v>
      </c>
      <c r="L497" s="1239"/>
      <c r="M497" s="1235" t="str">
        <f>M492</f>
        <v>R - Rugby</v>
      </c>
      <c r="N497" s="1239"/>
      <c r="O497" s="1235" t="str">
        <f>O492</f>
        <v>M - Sol</v>
      </c>
      <c r="P497" s="1239"/>
      <c r="Q497" s="1235" t="str">
        <f>Q492</f>
        <v>D - Strat</v>
      </c>
      <c r="R497" s="1239"/>
      <c r="S497" s="1235" t="str">
        <f>S492</f>
        <v>F - Tam</v>
      </c>
      <c r="T497" s="1239"/>
      <c r="U497" s="1235" t="str">
        <f>U492</f>
        <v>Y - Worc</v>
      </c>
      <c r="V497" s="1238"/>
    </row>
    <row r="498" spans="1:30" x14ac:dyDescent="0.3">
      <c r="A498" s="419">
        <v>17</v>
      </c>
      <c r="B498" s="24">
        <v>84</v>
      </c>
      <c r="C498" s="221">
        <f>VLOOKUP(B498,EventsOrder,2,FALSE)</f>
        <v>5</v>
      </c>
      <c r="D498" s="479" t="str">
        <f>VLOOKUP(B498,EventsOrder,4,FALSE)</f>
        <v>U18 Female</v>
      </c>
      <c r="E498" s="515" t="s">
        <v>149</v>
      </c>
      <c r="F498" s="534">
        <v>1</v>
      </c>
      <c r="G498" s="638" t="str">
        <f>VLOOKUP($B499,IF($F497="F",TeamSheetFemale,TeamSheetMale),W498,FALSE)</f>
        <v xml:space="preserve">T’yana Josephs </v>
      </c>
      <c r="H498" s="642"/>
      <c r="I498" s="419">
        <f>VLOOKUP($B499,IF($F497="F",TeamSheetFemale,TeamSheetMale),X498,FALSE)</f>
        <v>0</v>
      </c>
      <c r="J498" s="642"/>
      <c r="K498" s="419">
        <f>VLOOKUP($B499,IF($F497="F",TeamSheetFemale,TeamSheetMale),Y498,FALSE)</f>
        <v>0</v>
      </c>
      <c r="L498" s="642"/>
      <c r="M498" s="419">
        <f>VLOOKUP($B499,IF($F497="F",TeamSheetFemale,TeamSheetMale),Z498,FALSE)</f>
        <v>0</v>
      </c>
      <c r="N498" s="642"/>
      <c r="O498" s="419">
        <f>VLOOKUP($B499,IF($F497="F",TeamSheetFemale,TeamSheetMale),AA498,FALSE)</f>
        <v>0</v>
      </c>
      <c r="P498" s="642"/>
      <c r="Q498" s="419" t="str">
        <f>VLOOKUP($B499,IF($F497="F",TeamSheetFemale,TeamSheetMale),AB498,FALSE)</f>
        <v>Darcie Nicholls</v>
      </c>
      <c r="R498" s="642"/>
      <c r="S498" s="419">
        <f>VLOOKUP($B499,IF($F497="F",TeamSheetFemale,TeamSheetMale),AC498,FALSE)</f>
        <v>0</v>
      </c>
      <c r="T498" s="642"/>
      <c r="U498" s="419">
        <f>VLOOKUP($B499,IF($F497="F",TeamSheetFemale,TeamSheetMale),AD498,FALSE)</f>
        <v>0</v>
      </c>
      <c r="V498" s="640"/>
      <c r="W498" s="32">
        <v>7</v>
      </c>
      <c r="X498" s="32">
        <v>12</v>
      </c>
      <c r="Y498" s="32">
        <v>17</v>
      </c>
      <c r="Z498" s="32">
        <v>22</v>
      </c>
      <c r="AA498" s="32">
        <v>27</v>
      </c>
      <c r="AB498" s="32">
        <v>32</v>
      </c>
      <c r="AC498" s="32">
        <v>37</v>
      </c>
      <c r="AD498" s="32">
        <v>42</v>
      </c>
    </row>
    <row r="499" spans="1:30" x14ac:dyDescent="0.3">
      <c r="A499" s="419">
        <v>18</v>
      </c>
      <c r="B499" s="506" t="str">
        <f>B498&amp;"R"</f>
        <v>84R</v>
      </c>
      <c r="D499" s="479"/>
      <c r="E499" s="515"/>
      <c r="F499" s="534">
        <v>2</v>
      </c>
      <c r="G499" s="638" t="str">
        <f>VLOOKUP($B499,IF($F497="F",TeamSheetFemale,TeamSheetMale),W499,FALSE)</f>
        <v xml:space="preserve">Hephzibah Emmanuel Kokoh </v>
      </c>
      <c r="H499" s="642"/>
      <c r="I499" s="419">
        <f>VLOOKUP($B499,IF($F497="F",TeamSheetFemale,TeamSheetMale),X499,FALSE)</f>
        <v>0</v>
      </c>
      <c r="J499" s="642"/>
      <c r="K499" s="419">
        <f>VLOOKUP($B499,IF($F497="F",TeamSheetFemale,TeamSheetMale),Y499,FALSE)</f>
        <v>0</v>
      </c>
      <c r="L499" s="642"/>
      <c r="M499" s="419">
        <f>VLOOKUP($B499,IF($F497="F",TeamSheetFemale,TeamSheetMale),Z499,FALSE)</f>
        <v>0</v>
      </c>
      <c r="N499" s="642"/>
      <c r="O499" s="419">
        <f>VLOOKUP($B499,IF($F497="F",TeamSheetFemale,TeamSheetMale),AA499,FALSE)</f>
        <v>0</v>
      </c>
      <c r="P499" s="642"/>
      <c r="Q499" s="419" t="str">
        <f>VLOOKUP($B499,IF($F497="F",TeamSheetFemale,TeamSheetMale),AB499,FALSE)</f>
        <v>Ella Smith</v>
      </c>
      <c r="R499" s="642"/>
      <c r="S499" s="419">
        <f>VLOOKUP($B499,IF($F497="F",TeamSheetFemale,TeamSheetMale),AC499,FALSE)</f>
        <v>0</v>
      </c>
      <c r="T499" s="642"/>
      <c r="U499" s="419">
        <f>VLOOKUP($B499,IF($F497="F",TeamSheetFemale,TeamSheetMale),AD499,FALSE)</f>
        <v>0</v>
      </c>
      <c r="V499" s="640"/>
      <c r="W499" s="643" t="s">
        <v>299</v>
      </c>
      <c r="X499" s="643" t="s">
        <v>300</v>
      </c>
      <c r="Y499" s="643" t="s">
        <v>301</v>
      </c>
      <c r="Z499" s="643" t="s">
        <v>302</v>
      </c>
      <c r="AA499" s="643" t="s">
        <v>303</v>
      </c>
      <c r="AB499" s="643" t="s">
        <v>304</v>
      </c>
      <c r="AC499" s="643" t="s">
        <v>305</v>
      </c>
      <c r="AD499" s="643" t="s">
        <v>306</v>
      </c>
    </row>
    <row r="500" spans="1:30" x14ac:dyDescent="0.3">
      <c r="A500" s="419">
        <v>19</v>
      </c>
      <c r="B500" s="506" t="str">
        <f>B498&amp;"S"</f>
        <v>84S</v>
      </c>
      <c r="D500" s="479" t="str">
        <f>VLOOKUP(B498,EventsOrder,3,FALSE)</f>
        <v>4 x 100m (U18/U20)</v>
      </c>
      <c r="E500" s="515" t="s">
        <v>94</v>
      </c>
      <c r="F500" s="534">
        <v>3</v>
      </c>
      <c r="G500" s="638" t="str">
        <f>VLOOKUP($B500,IF($F497="F",TeamSheetFemale,TeamSheetMale),W500,FALSE)</f>
        <v>Maryam Mohammed Hadi</v>
      </c>
      <c r="H500" s="642"/>
      <c r="I500" s="419">
        <f>VLOOKUP($B500,IF($F497="F",TeamSheetFemale,TeamSheetMale),X500,FALSE)</f>
        <v>0</v>
      </c>
      <c r="J500" s="642"/>
      <c r="K500" s="419">
        <f>VLOOKUP($B500,IF($F497="F",TeamSheetFemale,TeamSheetMale),Y500,FALSE)</f>
        <v>0</v>
      </c>
      <c r="L500" s="642"/>
      <c r="M500" s="419">
        <f>VLOOKUP($B500,IF($F497="F",TeamSheetFemale,TeamSheetMale),Z500,FALSE)</f>
        <v>0</v>
      </c>
      <c r="N500" s="642"/>
      <c r="O500" s="419">
        <f>VLOOKUP($B500,IF($F497="F",TeamSheetFemale,TeamSheetMale),AA500,FALSE)</f>
        <v>0</v>
      </c>
      <c r="P500" s="642"/>
      <c r="Q500" s="419" t="str">
        <f>VLOOKUP($B500,IF($F497="F",TeamSheetFemale,TeamSheetMale),AB500,FALSE)</f>
        <v>Ava Sheppard</v>
      </c>
      <c r="R500" s="642"/>
      <c r="S500" s="419">
        <f>VLOOKUP($B500,IF($F497="F",TeamSheetFemale,TeamSheetMale),AC500,FALSE)</f>
        <v>0</v>
      </c>
      <c r="T500" s="642"/>
      <c r="U500" s="419">
        <f>VLOOKUP($B500,IF($F497="F",TeamSheetFemale,TeamSheetMale),AD500,FALSE)</f>
        <v>0</v>
      </c>
      <c r="V500" s="640"/>
      <c r="W500" s="32">
        <v>7</v>
      </c>
      <c r="X500" s="32">
        <v>12</v>
      </c>
      <c r="Y500" s="32">
        <v>17</v>
      </c>
      <c r="Z500" s="32">
        <v>22</v>
      </c>
      <c r="AA500" s="32">
        <v>27</v>
      </c>
      <c r="AB500" s="32">
        <v>32</v>
      </c>
      <c r="AC500" s="32">
        <v>37</v>
      </c>
      <c r="AD500" s="32">
        <v>42</v>
      </c>
    </row>
    <row r="501" spans="1:30" ht="15" thickBot="1" x14ac:dyDescent="0.35">
      <c r="A501" s="419">
        <v>20</v>
      </c>
      <c r="B501" s="530"/>
      <c r="C501" s="501"/>
      <c r="D501" s="502"/>
      <c r="E501" s="523"/>
      <c r="F501" s="563">
        <v>4</v>
      </c>
      <c r="G501" s="648" t="str">
        <f>VLOOKUP($B500,IF($F497="F",TeamSheetFemale,TeamSheetMale),W501,FALSE)</f>
        <v xml:space="preserve">Daniella Anozie </v>
      </c>
      <c r="H501" s="649"/>
      <c r="I501" s="624">
        <f>VLOOKUP($B500,IF($F497="F",TeamSheetFemale,TeamSheetMale),X501,FALSE)</f>
        <v>0</v>
      </c>
      <c r="J501" s="649"/>
      <c r="K501" s="650">
        <f>VLOOKUP($B500,IF($F497="F",TeamSheetFemale,TeamSheetMale),Y501,FALSE)</f>
        <v>0</v>
      </c>
      <c r="L501" s="651"/>
      <c r="M501" s="650">
        <f>VLOOKUP($B500,IF($F497="F",TeamSheetFemale,TeamSheetMale),Z501,FALSE)</f>
        <v>0</v>
      </c>
      <c r="N501" s="651"/>
      <c r="O501" s="650">
        <f>VLOOKUP($B500,IF($F497="F",TeamSheetFemale,TeamSheetMale),AA501,FALSE)</f>
        <v>0</v>
      </c>
      <c r="P501" s="651"/>
      <c r="Q501" s="650" t="str">
        <f>VLOOKUP($B500,IF($F497="F",TeamSheetFemale,TeamSheetMale),AB501,FALSE)</f>
        <v>Scarlett Dawson</v>
      </c>
      <c r="R501" s="651"/>
      <c r="S501" s="650">
        <f>VLOOKUP($B500,IF($F497="F",TeamSheetFemale,TeamSheetMale),AC501,FALSE)</f>
        <v>0</v>
      </c>
      <c r="T501" s="651"/>
      <c r="U501" s="650">
        <f>VLOOKUP($B500,IF($F497="F",TeamSheetFemale,TeamSheetMale),AD501,FALSE)</f>
        <v>0</v>
      </c>
      <c r="V501" s="652"/>
      <c r="W501" s="643" t="s">
        <v>299</v>
      </c>
      <c r="X501" s="643" t="s">
        <v>300</v>
      </c>
      <c r="Y501" s="643" t="s">
        <v>301</v>
      </c>
      <c r="Z501" s="643" t="s">
        <v>302</v>
      </c>
      <c r="AA501" s="643" t="s">
        <v>303</v>
      </c>
      <c r="AB501" s="643" t="s">
        <v>304</v>
      </c>
      <c r="AC501" s="643" t="s">
        <v>305</v>
      </c>
      <c r="AD501" s="643" t="s">
        <v>306</v>
      </c>
    </row>
    <row r="502" spans="1:30" x14ac:dyDescent="0.3">
      <c r="A502" s="419">
        <v>21</v>
      </c>
      <c r="B502" s="619"/>
      <c r="C502" s="524"/>
      <c r="D502" s="635"/>
      <c r="E502" s="49"/>
      <c r="F502" s="37" t="str">
        <f>IF(MID(D503,5,1)="F","F","M")</f>
        <v>M</v>
      </c>
      <c r="G502" s="1236" t="str">
        <f>G497</f>
        <v>S - BRAT</v>
      </c>
      <c r="H502" s="1239"/>
      <c r="I502" s="1235" t="str">
        <f>I497</f>
        <v>U - K&amp;S</v>
      </c>
      <c r="J502" s="1239"/>
      <c r="K502" s="1235" t="str">
        <f>K497</f>
        <v>G - Royal</v>
      </c>
      <c r="L502" s="1239"/>
      <c r="M502" s="1235" t="str">
        <f>M497</f>
        <v>R - Rugby</v>
      </c>
      <c r="N502" s="1239"/>
      <c r="O502" s="1235" t="str">
        <f>O497</f>
        <v>M - Sol</v>
      </c>
      <c r="P502" s="1239"/>
      <c r="Q502" s="1235" t="str">
        <f>Q497</f>
        <v>D - Strat</v>
      </c>
      <c r="R502" s="1239"/>
      <c r="S502" s="1235" t="str">
        <f>S497</f>
        <v>F - Tam</v>
      </c>
      <c r="T502" s="1239"/>
      <c r="U502" s="1235" t="str">
        <f>U497</f>
        <v>Y - Worc</v>
      </c>
      <c r="V502" s="636"/>
    </row>
    <row r="503" spans="1:30" x14ac:dyDescent="0.3">
      <c r="A503" s="419">
        <v>22</v>
      </c>
      <c r="B503" s="24">
        <v>85</v>
      </c>
      <c r="C503" s="221">
        <f>VLOOKUP(B503,EventsOrder,2,FALSE)</f>
        <v>5.05</v>
      </c>
      <c r="D503" s="479" t="str">
        <f>VLOOKUP(B503,EventsOrder,4,FALSE)</f>
        <v>U14 Male</v>
      </c>
      <c r="E503" s="56" t="s">
        <v>149</v>
      </c>
      <c r="F503" s="534">
        <v>1</v>
      </c>
      <c r="G503" s="638" t="str">
        <f>VLOOKUP($B504,IF($F502="F",TeamSheetFemale,TeamSheetMale),W503,FALSE)</f>
        <v xml:space="preserve">William Tse </v>
      </c>
      <c r="H503" s="642"/>
      <c r="I503" s="419">
        <f>VLOOKUP($B504,IF($F502="F",TeamSheetFemale,TeamSheetMale),X503,FALSE)</f>
        <v>0</v>
      </c>
      <c r="J503" s="642"/>
      <c r="K503" s="419" t="str">
        <f>VLOOKUP($B504,IF($F502="F",TeamSheetFemale,TeamSheetMale),Y503,FALSE)</f>
        <v>Joshua Smith</v>
      </c>
      <c r="L503" s="642"/>
      <c r="M503" s="419" t="str">
        <f>VLOOKUP($B504,IF($F502="F",TeamSheetFemale,TeamSheetMale),Z503,FALSE)</f>
        <v>Joe Walden</v>
      </c>
      <c r="N503" s="642"/>
      <c r="O503" s="419" t="str">
        <f>VLOOKUP($B504,IF($F502="F",TeamSheetFemale,TeamSheetMale),AA503,FALSE)</f>
        <v>Joshua Baylis</v>
      </c>
      <c r="P503" s="642"/>
      <c r="Q503" s="419" t="str">
        <f>VLOOKUP($B504,IF($F502="F",TeamSheetFemale,TeamSheetMale),AB503,FALSE)</f>
        <v>Charlie Castle</v>
      </c>
      <c r="R503" s="642"/>
      <c r="S503" s="419" t="str">
        <f>VLOOKUP($B504,IF($F502="F",TeamSheetFemale,TeamSheetMale),AC503,FALSE)</f>
        <v>Joseph Sizer</v>
      </c>
      <c r="T503" s="642"/>
      <c r="U503" s="419">
        <f>VLOOKUP($B504,IF($F502="F",TeamSheetFemale,TeamSheetMale),AD503,FALSE)</f>
        <v>0</v>
      </c>
      <c r="V503" s="640"/>
      <c r="W503" s="32">
        <v>7</v>
      </c>
      <c r="X503" s="32">
        <v>12</v>
      </c>
      <c r="Y503" s="32">
        <v>17</v>
      </c>
      <c r="Z503" s="32">
        <v>22</v>
      </c>
      <c r="AA503" s="32">
        <v>27</v>
      </c>
      <c r="AB503" s="32">
        <v>32</v>
      </c>
      <c r="AC503" s="32">
        <v>37</v>
      </c>
      <c r="AD503" s="32">
        <v>42</v>
      </c>
    </row>
    <row r="504" spans="1:30" x14ac:dyDescent="0.3">
      <c r="A504" s="419">
        <v>23</v>
      </c>
      <c r="B504" s="506" t="str">
        <f>B503&amp;"R"</f>
        <v>85R</v>
      </c>
      <c r="D504" s="479"/>
      <c r="E504" s="56"/>
      <c r="F504" s="534">
        <v>2</v>
      </c>
      <c r="G504" s="638" t="str">
        <f>VLOOKUP($B504,IF($F502="F",TeamSheetFemale,TeamSheetMale),W504,FALSE)</f>
        <v>Elliot Jones</v>
      </c>
      <c r="H504" s="642"/>
      <c r="I504" s="419">
        <f>VLOOKUP($B504,IF($F502="F",TeamSheetFemale,TeamSheetMale),X504,FALSE)</f>
        <v>0</v>
      </c>
      <c r="J504" s="642"/>
      <c r="K504" s="419" t="str">
        <f>VLOOKUP($B504,IF($F502="F",TeamSheetFemale,TeamSheetMale),Y504,FALSE)</f>
        <v>Karram Sahota</v>
      </c>
      <c r="L504" s="642"/>
      <c r="M504" s="419" t="str">
        <f>VLOOKUP($B504,IF($F502="F",TeamSheetFemale,TeamSheetMale),Z504,FALSE)</f>
        <v>Ademiposi (Gideon) Aderibigbe</v>
      </c>
      <c r="N504" s="642"/>
      <c r="O504" s="419" t="str">
        <f>VLOOKUP($B504,IF($F502="F",TeamSheetFemale,TeamSheetMale),AA504,FALSE)</f>
        <v>Peter Holdsworth</v>
      </c>
      <c r="P504" s="642"/>
      <c r="Q504" s="419" t="str">
        <f>VLOOKUP($B504,IF($F502="F",TeamSheetFemale,TeamSheetMale),AB504,FALSE)</f>
        <v>Fynn Allen</v>
      </c>
      <c r="R504" s="642"/>
      <c r="S504" s="419" t="str">
        <f>VLOOKUP($B504,IF($F502="F",TeamSheetFemale,TeamSheetMale),AC504,FALSE)</f>
        <v>Alfie Kemp</v>
      </c>
      <c r="T504" s="642"/>
      <c r="U504" s="419">
        <f>VLOOKUP($B504,IF($F502="F",TeamSheetFemale,TeamSheetMale),AD504,FALSE)</f>
        <v>0</v>
      </c>
      <c r="V504" s="640"/>
      <c r="W504" s="643" t="s">
        <v>299</v>
      </c>
      <c r="X504" s="643" t="s">
        <v>300</v>
      </c>
      <c r="Y504" s="643" t="s">
        <v>301</v>
      </c>
      <c r="Z504" s="643" t="s">
        <v>302</v>
      </c>
      <c r="AA504" s="643" t="s">
        <v>303</v>
      </c>
      <c r="AB504" s="643" t="s">
        <v>304</v>
      </c>
      <c r="AC504" s="643" t="s">
        <v>305</v>
      </c>
      <c r="AD504" s="643" t="s">
        <v>306</v>
      </c>
    </row>
    <row r="505" spans="1:30" x14ac:dyDescent="0.3">
      <c r="A505" s="419">
        <v>24</v>
      </c>
      <c r="B505" s="506" t="str">
        <f>B503&amp;"S"</f>
        <v>85S</v>
      </c>
      <c r="D505" s="479" t="str">
        <f>VLOOKUP(B503,EventsOrder,3,FALSE)</f>
        <v>4 x 100m</v>
      </c>
      <c r="E505" s="56" t="s">
        <v>94</v>
      </c>
      <c r="F505" s="534">
        <v>3</v>
      </c>
      <c r="G505" s="638" t="str">
        <f>VLOOKUP($B505,IF($F502="F",TeamSheetFemale,TeamSheetMale),W505,FALSE)</f>
        <v>Ethan Jatta</v>
      </c>
      <c r="H505" s="642"/>
      <c r="I505" s="419">
        <f>VLOOKUP($B505,IF($F502="F",TeamSheetFemale,TeamSheetMale),X505,FALSE)</f>
        <v>0</v>
      </c>
      <c r="J505" s="642"/>
      <c r="K505" s="419" t="str">
        <f>VLOOKUP($B505,IF($F502="F",TeamSheetFemale,TeamSheetMale),Y505,FALSE)</f>
        <v>Oliver Marsh</v>
      </c>
      <c r="L505" s="642"/>
      <c r="M505" s="419" t="str">
        <f>VLOOKUP($B505,IF($F502="F",TeamSheetFemale,TeamSheetMale),Z505,FALSE)</f>
        <v>Robert Copeland</v>
      </c>
      <c r="N505" s="642"/>
      <c r="O505" s="419" t="str">
        <f>VLOOKUP($B505,IF($F502="F",TeamSheetFemale,TeamSheetMale),AA505,FALSE)</f>
        <v>Jacob Austerberry</v>
      </c>
      <c r="P505" s="642"/>
      <c r="Q505" s="419" t="str">
        <f>VLOOKUP($B505,IF($F502="F",TeamSheetFemale,TeamSheetMale),AB505,FALSE)</f>
        <v>Casper Willis</v>
      </c>
      <c r="R505" s="642"/>
      <c r="S505" s="419" t="str">
        <f>VLOOKUP($B505,IF($F502="F",TeamSheetFemale,TeamSheetMale),AC505,FALSE)</f>
        <v>Felix Hickman</v>
      </c>
      <c r="T505" s="642"/>
      <c r="U505" s="419">
        <f>VLOOKUP($B505,IF($F502="F",TeamSheetFemale,TeamSheetMale),AD505,FALSE)</f>
        <v>0</v>
      </c>
      <c r="V505" s="640"/>
      <c r="W505" s="32">
        <v>7</v>
      </c>
      <c r="X505" s="32">
        <v>12</v>
      </c>
      <c r="Y505" s="32">
        <v>17</v>
      </c>
      <c r="Z505" s="32">
        <v>22</v>
      </c>
      <c r="AA505" s="32">
        <v>27</v>
      </c>
      <c r="AB505" s="32">
        <v>32</v>
      </c>
      <c r="AC505" s="32">
        <v>37</v>
      </c>
      <c r="AD505" s="32">
        <v>42</v>
      </c>
    </row>
    <row r="506" spans="1:30" ht="15" thickBot="1" x14ac:dyDescent="0.35">
      <c r="A506" s="419">
        <v>25</v>
      </c>
      <c r="B506" s="530"/>
      <c r="C506" s="501"/>
      <c r="D506" s="502"/>
      <c r="E506" s="116"/>
      <c r="F506" s="563">
        <v>4</v>
      </c>
      <c r="G506" s="648" t="str">
        <f>VLOOKUP($B505,IF($F502="F",TeamSheetFemale,TeamSheetMale),W506,FALSE)</f>
        <v>Adam Makame</v>
      </c>
      <c r="H506" s="649"/>
      <c r="I506" s="624">
        <f>VLOOKUP($B505,IF($F502="F",TeamSheetFemale,TeamSheetMale),X506,FALSE)</f>
        <v>0</v>
      </c>
      <c r="J506" s="649"/>
      <c r="K506" s="650" t="str">
        <f>VLOOKUP($B505,IF($F502="F",TeamSheetFemale,TeamSheetMale),Y506,FALSE)</f>
        <v>Finley Aldridge-Cox</v>
      </c>
      <c r="L506" s="651"/>
      <c r="M506" s="650" t="str">
        <f>VLOOKUP($B505,IF($F502="F",TeamSheetFemale,TeamSheetMale),Z506,FALSE)</f>
        <v>Hugo Fernandez</v>
      </c>
      <c r="N506" s="651"/>
      <c r="O506" s="650" t="str">
        <f>VLOOKUP($B505,IF($F502="F",TeamSheetFemale,TeamSheetMale),AA506,FALSE)</f>
        <v>Andre Albarel</v>
      </c>
      <c r="P506" s="651"/>
      <c r="Q506" s="650" t="str">
        <f>VLOOKUP($B505,IF($F502="F",TeamSheetFemale,TeamSheetMale),AB506,FALSE)</f>
        <v>Jasper Hadley</v>
      </c>
      <c r="R506" s="651"/>
      <c r="S506" s="650" t="str">
        <f>VLOOKUP($B505,IF($F502="F",TeamSheetFemale,TeamSheetMale),AC506,FALSE)</f>
        <v>Elijah Brockway</v>
      </c>
      <c r="T506" s="651"/>
      <c r="U506" s="650">
        <f>VLOOKUP($B505,IF($F502="F",TeamSheetFemale,TeamSheetMale),AD506,FALSE)</f>
        <v>0</v>
      </c>
      <c r="V506" s="652"/>
      <c r="W506" s="643" t="s">
        <v>299</v>
      </c>
      <c r="X506" s="643" t="s">
        <v>300</v>
      </c>
      <c r="Y506" s="643" t="s">
        <v>301</v>
      </c>
      <c r="Z506" s="643" t="s">
        <v>302</v>
      </c>
      <c r="AA506" s="643" t="s">
        <v>303</v>
      </c>
      <c r="AB506" s="643" t="s">
        <v>304</v>
      </c>
      <c r="AC506" s="643" t="s">
        <v>305</v>
      </c>
      <c r="AD506" s="643" t="s">
        <v>306</v>
      </c>
    </row>
    <row r="507" spans="1:30" x14ac:dyDescent="0.3">
      <c r="A507" s="419">
        <v>26</v>
      </c>
      <c r="B507" s="619"/>
      <c r="C507" s="524"/>
      <c r="D507" s="635"/>
      <c r="E507" s="49"/>
      <c r="F507" s="37" t="str">
        <f>IF(MID(D508,5,1)="F","F","M")</f>
        <v>M</v>
      </c>
      <c r="G507" s="1236" t="str">
        <f>G502</f>
        <v>S - BRAT</v>
      </c>
      <c r="H507" s="1239"/>
      <c r="I507" s="1235" t="str">
        <f>I502</f>
        <v>U - K&amp;S</v>
      </c>
      <c r="J507" s="1239"/>
      <c r="K507" s="1235" t="str">
        <f>K502</f>
        <v>G - Royal</v>
      </c>
      <c r="L507" s="1239"/>
      <c r="M507" s="1235" t="str">
        <f>M502</f>
        <v>R - Rugby</v>
      </c>
      <c r="N507" s="1239"/>
      <c r="O507" s="1235" t="str">
        <f>O502</f>
        <v>M - Sol</v>
      </c>
      <c r="P507" s="1239"/>
      <c r="Q507" s="1235" t="str">
        <f>Q502</f>
        <v>D - Strat</v>
      </c>
      <c r="R507" s="1239"/>
      <c r="S507" s="1235" t="str">
        <f>S502</f>
        <v>F - Tam</v>
      </c>
      <c r="T507" s="1239"/>
      <c r="U507" s="1235" t="str">
        <f>U502</f>
        <v>Y - Worc</v>
      </c>
      <c r="V507" s="1238"/>
    </row>
    <row r="508" spans="1:30" x14ac:dyDescent="0.3">
      <c r="A508" s="419">
        <v>27</v>
      </c>
      <c r="B508" s="24">
        <v>86</v>
      </c>
      <c r="C508" s="221">
        <f>VLOOKUP(B508,EventsOrder,2,FALSE)</f>
        <v>5.0999999999999996</v>
      </c>
      <c r="D508" s="479" t="str">
        <f>VLOOKUP(B508,EventsOrder,4,FALSE)</f>
        <v>U16 Male</v>
      </c>
      <c r="E508" s="515" t="s">
        <v>149</v>
      </c>
      <c r="F508" s="534">
        <v>1</v>
      </c>
      <c r="G508" s="638" t="str">
        <f>VLOOKUP($B509,IF($F507="F",TeamSheetFemale,TeamSheetMale),W508,FALSE)</f>
        <v>Dominic Francis-Gordon</v>
      </c>
      <c r="H508" s="642"/>
      <c r="I508" s="419">
        <f>VLOOKUP($B509,IF($F507="F",TeamSheetFemale,TeamSheetMale),X508,FALSE)</f>
        <v>0</v>
      </c>
      <c r="J508" s="642"/>
      <c r="K508" s="419" t="str">
        <f>VLOOKUP($B509,IF($F507="F",TeamSheetFemale,TeamSheetMale),Y508,FALSE)</f>
        <v>Louis Matthews</v>
      </c>
      <c r="L508" s="642"/>
      <c r="M508" s="419" t="str">
        <f>VLOOKUP($B509,IF($F507="F",TeamSheetFemale,TeamSheetMale),Z508,FALSE)</f>
        <v>Matei Cosciug</v>
      </c>
      <c r="N508" s="642"/>
      <c r="O508" s="419" t="str">
        <f>VLOOKUP($B509,IF($F507="F",TeamSheetFemale,TeamSheetMale),AA508,FALSE)</f>
        <v>Charlie Hughes</v>
      </c>
      <c r="P508" s="642"/>
      <c r="Q508" s="419" t="str">
        <f>VLOOKUP($B509,IF($F507="F",TeamSheetFemale,TeamSheetMale),AB508,FALSE)</f>
        <v>Carter McKenzie</v>
      </c>
      <c r="R508" s="642"/>
      <c r="S508" s="419" t="str">
        <f>VLOOKUP($B509,IF($F507="F",TeamSheetFemale,TeamSheetMale),AC508,FALSE)</f>
        <v>Arjun Singh Hira</v>
      </c>
      <c r="T508" s="642"/>
      <c r="U508" s="419" t="str">
        <f>VLOOKUP($B509,IF($F507="F",TeamSheetFemale,TeamSheetMale),AD508,FALSE)</f>
        <v>Huw Mabey</v>
      </c>
      <c r="V508" s="640"/>
      <c r="W508" s="32">
        <v>7</v>
      </c>
      <c r="X508" s="32">
        <v>12</v>
      </c>
      <c r="Y508" s="32">
        <v>17</v>
      </c>
      <c r="Z508" s="32">
        <v>22</v>
      </c>
      <c r="AA508" s="32">
        <v>27</v>
      </c>
      <c r="AB508" s="32">
        <v>32</v>
      </c>
      <c r="AC508" s="32">
        <v>37</v>
      </c>
      <c r="AD508" s="32">
        <v>42</v>
      </c>
    </row>
    <row r="509" spans="1:30" x14ac:dyDescent="0.3">
      <c r="A509" s="419">
        <v>28</v>
      </c>
      <c r="B509" s="506" t="str">
        <f>B508&amp;"R"</f>
        <v>86R</v>
      </c>
      <c r="D509" s="479"/>
      <c r="E509" s="515"/>
      <c r="F509" s="534">
        <v>2</v>
      </c>
      <c r="G509" s="638" t="str">
        <f>VLOOKUP($B509,IF($F507="F",TeamSheetFemale,TeamSheetMale),W509,FALSE)</f>
        <v>Heinrich</v>
      </c>
      <c r="H509" s="642"/>
      <c r="I509" s="419">
        <f>VLOOKUP($B509,IF($F507="F",TeamSheetFemale,TeamSheetMale),X509,FALSE)</f>
        <v>0</v>
      </c>
      <c r="J509" s="642"/>
      <c r="K509" s="419" t="str">
        <f>VLOOKUP($B509,IF($F507="F",TeamSheetFemale,TeamSheetMale),Y509,FALSE)</f>
        <v>Reuban Higgins</v>
      </c>
      <c r="L509" s="642"/>
      <c r="M509" s="419" t="str">
        <f>VLOOKUP($B509,IF($F507="F",TeamSheetFemale,TeamSheetMale),Z509,FALSE)</f>
        <v>Joe White</v>
      </c>
      <c r="N509" s="642"/>
      <c r="O509" s="419" t="str">
        <f>VLOOKUP($B509,IF($F507="F",TeamSheetFemale,TeamSheetMale),AA509,FALSE)</f>
        <v>Jason Bedford</v>
      </c>
      <c r="P509" s="642"/>
      <c r="Q509" s="419" t="str">
        <f>VLOOKUP($B509,IF($F507="F",TeamSheetFemale,TeamSheetMale),AB509,FALSE)</f>
        <v>Zac Birch</v>
      </c>
      <c r="R509" s="642"/>
      <c r="S509" s="419" t="str">
        <f>VLOOKUP($B509,IF($F507="F",TeamSheetFemale,TeamSheetMale),AC509,FALSE)</f>
        <v>Alex Hall</v>
      </c>
      <c r="T509" s="642"/>
      <c r="U509" s="419" t="str">
        <f>VLOOKUP($B509,IF($F507="F",TeamSheetFemale,TeamSheetMale),AD509,FALSE)</f>
        <v>Oscar Farmer</v>
      </c>
      <c r="V509" s="640"/>
      <c r="W509" s="643" t="s">
        <v>299</v>
      </c>
      <c r="X509" s="643" t="s">
        <v>300</v>
      </c>
      <c r="Y509" s="643" t="s">
        <v>301</v>
      </c>
      <c r="Z509" s="643" t="s">
        <v>302</v>
      </c>
      <c r="AA509" s="643" t="s">
        <v>303</v>
      </c>
      <c r="AB509" s="643" t="s">
        <v>304</v>
      </c>
      <c r="AC509" s="643" t="s">
        <v>305</v>
      </c>
      <c r="AD509" s="643" t="s">
        <v>306</v>
      </c>
    </row>
    <row r="510" spans="1:30" x14ac:dyDescent="0.3">
      <c r="A510" s="419">
        <v>29</v>
      </c>
      <c r="B510" s="506" t="str">
        <f>B508&amp;"S"</f>
        <v>86S</v>
      </c>
      <c r="D510" s="479" t="str">
        <f>VLOOKUP(B508,EventsOrder,3,FALSE)</f>
        <v>4 x 100m</v>
      </c>
      <c r="E510" s="515" t="s">
        <v>94</v>
      </c>
      <c r="F510" s="534">
        <v>3</v>
      </c>
      <c r="G510" s="638" t="str">
        <f>VLOOKUP($B510,IF($F507="F",TeamSheetFemale,TeamSheetMale),W510,FALSE)</f>
        <v xml:space="preserve">JAYARD VALERIO </v>
      </c>
      <c r="H510" s="642"/>
      <c r="I510" s="419">
        <f>VLOOKUP($B510,IF($F507="F",TeamSheetFemale,TeamSheetMale),X510,FALSE)</f>
        <v>0</v>
      </c>
      <c r="J510" s="642"/>
      <c r="K510" s="419" t="str">
        <f>VLOOKUP($B510,IF($F507="F",TeamSheetFemale,TeamSheetMale),Y510,FALSE)</f>
        <v>Alex Taylor</v>
      </c>
      <c r="L510" s="642"/>
      <c r="M510" s="419" t="str">
        <f>VLOOKUP($B510,IF($F507="F",TeamSheetFemale,TeamSheetMale),Z510,FALSE)</f>
        <v>Tommy McGuire</v>
      </c>
      <c r="N510" s="642"/>
      <c r="O510" s="419" t="str">
        <f>VLOOKUP($B510,IF($F507="F",TeamSheetFemale,TeamSheetMale),AA510,FALSE)</f>
        <v>Luke Ager</v>
      </c>
      <c r="P510" s="642"/>
      <c r="Q510" s="419" t="str">
        <f>VLOOKUP($B510,IF($F507="F",TeamSheetFemale,TeamSheetMale),AB510,FALSE)</f>
        <v>Toby Hughes Webb</v>
      </c>
      <c r="R510" s="642"/>
      <c r="S510" s="419" t="str">
        <f>VLOOKUP($B510,IF($F507="F",TeamSheetFemale,TeamSheetMale),AC510,FALSE)</f>
        <v>Lucas Lee</v>
      </c>
      <c r="T510" s="642"/>
      <c r="U510" s="419" t="str">
        <f>VLOOKUP($B510,IF($F507="F",TeamSheetFemale,TeamSheetMale),AD510,FALSE)</f>
        <v>Harry Groves</v>
      </c>
      <c r="V510" s="640"/>
      <c r="W510" s="32">
        <v>7</v>
      </c>
      <c r="X510" s="32">
        <v>12</v>
      </c>
      <c r="Y510" s="32">
        <v>17</v>
      </c>
      <c r="Z510" s="32">
        <v>22</v>
      </c>
      <c r="AA510" s="32">
        <v>27</v>
      </c>
      <c r="AB510" s="32">
        <v>32</v>
      </c>
      <c r="AC510" s="32">
        <v>37</v>
      </c>
      <c r="AD510" s="32">
        <v>42</v>
      </c>
    </row>
    <row r="511" spans="1:30" ht="15" thickBot="1" x14ac:dyDescent="0.35">
      <c r="A511" s="419">
        <v>30</v>
      </c>
      <c r="B511" s="530"/>
      <c r="C511" s="501"/>
      <c r="D511" s="502"/>
      <c r="E511" s="523"/>
      <c r="F511" s="563">
        <v>4</v>
      </c>
      <c r="G511" s="648" t="str">
        <f>VLOOKUP($B510,IF($F507="F",TeamSheetFemale,TeamSheetMale),W511,FALSE)</f>
        <v xml:space="preserve">Austin Demanya </v>
      </c>
      <c r="H511" s="649"/>
      <c r="I511" s="624">
        <f>VLOOKUP($B510,IF($F507="F",TeamSheetFemale,TeamSheetMale),X511,FALSE)</f>
        <v>0</v>
      </c>
      <c r="J511" s="649"/>
      <c r="K511" s="650" t="str">
        <f>VLOOKUP($B510,IF($F507="F",TeamSheetFemale,TeamSheetMale),Y511,FALSE)</f>
        <v>Joseph Smith</v>
      </c>
      <c r="L511" s="651"/>
      <c r="M511" s="650" t="str">
        <f>VLOOKUP($B510,IF($F507="F",TeamSheetFemale,TeamSheetMale),Z511,FALSE)</f>
        <v>Alfie Goodman</v>
      </c>
      <c r="N511" s="651"/>
      <c r="O511" s="650" t="str">
        <f>VLOOKUP($B510,IF($F507="F",TeamSheetFemale,TeamSheetMale),AA511,FALSE)</f>
        <v>Luca Woodley</v>
      </c>
      <c r="P511" s="651"/>
      <c r="Q511" s="650" t="str">
        <f>VLOOKUP($B510,IF($F507="F",TeamSheetFemale,TeamSheetMale),AB511,FALSE)</f>
        <v xml:space="preserve">Jasper Cooper </v>
      </c>
      <c r="R511" s="651"/>
      <c r="S511" s="650" t="str">
        <f>VLOOKUP($B510,IF($F507="F",TeamSheetFemale,TeamSheetMale),AC511,FALSE)</f>
        <v>Oscar Brehler</v>
      </c>
      <c r="T511" s="651"/>
      <c r="U511" s="650" t="str">
        <f>VLOOKUP($B510,IF($F507="F",TeamSheetFemale,TeamSheetMale),AD511,FALSE)</f>
        <v>Hayden Helme</v>
      </c>
      <c r="V511" s="652"/>
      <c r="W511" s="643" t="s">
        <v>299</v>
      </c>
      <c r="X511" s="643" t="s">
        <v>300</v>
      </c>
      <c r="Y511" s="643" t="s">
        <v>301</v>
      </c>
      <c r="Z511" s="643" t="s">
        <v>302</v>
      </c>
      <c r="AA511" s="643" t="s">
        <v>303</v>
      </c>
      <c r="AB511" s="643" t="s">
        <v>304</v>
      </c>
      <c r="AC511" s="643" t="s">
        <v>305</v>
      </c>
      <c r="AD511" s="643" t="s">
        <v>306</v>
      </c>
    </row>
    <row r="512" spans="1:30" x14ac:dyDescent="0.3">
      <c r="A512" s="419">
        <v>31</v>
      </c>
      <c r="B512" s="619"/>
      <c r="C512" s="524"/>
      <c r="D512" s="635"/>
      <c r="E512" s="49"/>
      <c r="F512" s="37" t="str">
        <f>IF(MID(D513,5,1)="F","F","M")</f>
        <v>M</v>
      </c>
      <c r="G512" s="1236" t="str">
        <f>G507</f>
        <v>S - BRAT</v>
      </c>
      <c r="H512" s="1239"/>
      <c r="I512" s="1235" t="str">
        <f>I507</f>
        <v>U - K&amp;S</v>
      </c>
      <c r="J512" s="1239"/>
      <c r="K512" s="1235" t="str">
        <f>K507</f>
        <v>G - Royal</v>
      </c>
      <c r="L512" s="1239"/>
      <c r="M512" s="1235" t="str">
        <f>M507</f>
        <v>R - Rugby</v>
      </c>
      <c r="N512" s="1239"/>
      <c r="O512" s="1235" t="str">
        <f>O507</f>
        <v>M - Sol</v>
      </c>
      <c r="P512" s="1239"/>
      <c r="Q512" s="1235" t="str">
        <f>Q507</f>
        <v>D - Strat</v>
      </c>
      <c r="R512" s="1239"/>
      <c r="S512" s="1235" t="str">
        <f>S507</f>
        <v>F - Tam</v>
      </c>
      <c r="T512" s="1239"/>
      <c r="U512" s="1235" t="str">
        <f>U507</f>
        <v>Y - Worc</v>
      </c>
      <c r="V512" s="1238"/>
    </row>
    <row r="513" spans="1:30" x14ac:dyDescent="0.3">
      <c r="A513" s="419">
        <v>32</v>
      </c>
      <c r="B513" s="24">
        <v>87</v>
      </c>
      <c r="C513" s="221">
        <f>VLOOKUP(B513,EventsOrder,2,FALSE)</f>
        <v>5.15</v>
      </c>
      <c r="D513" s="479" t="str">
        <f>VLOOKUP(B513,EventsOrder,4,FALSE)</f>
        <v>U18 Men</v>
      </c>
      <c r="E513" s="515" t="s">
        <v>149</v>
      </c>
      <c r="F513" s="534">
        <v>1</v>
      </c>
      <c r="G513" s="638">
        <f>VLOOKUP($B514,IF($F512="F",TeamSheetFemale,TeamSheetMale),W513,FALSE)</f>
        <v>0</v>
      </c>
      <c r="H513" s="642"/>
      <c r="I513" s="419">
        <f>VLOOKUP($B514,IF($F512="F",TeamSheetFemale,TeamSheetMale),X513,FALSE)</f>
        <v>0</v>
      </c>
      <c r="J513" s="642"/>
      <c r="K513" s="419" t="str">
        <f>VLOOKUP($B514,IF($F512="F",TeamSheetFemale,TeamSheetMale),Y513,FALSE)</f>
        <v>K'Shein Radcliffe</v>
      </c>
      <c r="L513" s="642"/>
      <c r="M513" s="419">
        <f>VLOOKUP($B514,IF($F512="F",TeamSheetFemale,TeamSheetMale),Z513,FALSE)</f>
        <v>0</v>
      </c>
      <c r="N513" s="642"/>
      <c r="O513" s="419">
        <f>VLOOKUP($B514,IF($F512="F",TeamSheetFemale,TeamSheetMale),AA513,FALSE)</f>
        <v>0</v>
      </c>
      <c r="P513" s="642"/>
      <c r="Q513" s="419" t="str">
        <f>VLOOKUP($B514,IF($F512="F",TeamSheetFemale,TeamSheetMale),AB513,FALSE)</f>
        <v>Toby Thomas</v>
      </c>
      <c r="R513" s="642"/>
      <c r="S513" s="419">
        <f>VLOOKUP($B514,IF($F512="F",TeamSheetFemale,TeamSheetMale),AC513,FALSE)</f>
        <v>0</v>
      </c>
      <c r="T513" s="642"/>
      <c r="U513" s="419">
        <f>VLOOKUP($B514,IF($F512="F",TeamSheetFemale,TeamSheetMale),AD513,FALSE)</f>
        <v>0</v>
      </c>
      <c r="V513" s="640"/>
      <c r="W513" s="32">
        <v>7</v>
      </c>
      <c r="X513" s="32">
        <v>12</v>
      </c>
      <c r="Y513" s="32">
        <v>17</v>
      </c>
      <c r="Z513" s="32">
        <v>22</v>
      </c>
      <c r="AA513" s="32">
        <v>27</v>
      </c>
      <c r="AB513" s="32">
        <v>32</v>
      </c>
      <c r="AC513" s="32">
        <v>37</v>
      </c>
      <c r="AD513" s="32">
        <v>42</v>
      </c>
    </row>
    <row r="514" spans="1:30" x14ac:dyDescent="0.3">
      <c r="A514" s="419">
        <v>33</v>
      </c>
      <c r="B514" s="506" t="str">
        <f>B513&amp;"R"</f>
        <v>87R</v>
      </c>
      <c r="D514" s="479"/>
      <c r="E514" s="515"/>
      <c r="F514" s="534">
        <v>2</v>
      </c>
      <c r="G514" s="638">
        <f>VLOOKUP($B514,IF($F512="F",TeamSheetFemale,TeamSheetMale),W514,FALSE)</f>
        <v>0</v>
      </c>
      <c r="H514" s="642"/>
      <c r="I514" s="419">
        <f>VLOOKUP($B514,IF($F512="F",TeamSheetFemale,TeamSheetMale),X514,FALSE)</f>
        <v>0</v>
      </c>
      <c r="J514" s="642"/>
      <c r="K514" s="419" t="str">
        <f>VLOOKUP($B514,IF($F512="F",TeamSheetFemale,TeamSheetMale),Y514,FALSE)</f>
        <v>Jamie Millichamp</v>
      </c>
      <c r="L514" s="642"/>
      <c r="M514" s="419">
        <f>VLOOKUP($B514,IF($F512="F",TeamSheetFemale,TeamSheetMale),Z514,FALSE)</f>
        <v>0</v>
      </c>
      <c r="N514" s="642"/>
      <c r="O514" s="419">
        <f>VLOOKUP($B514,IF($F512="F",TeamSheetFemale,TeamSheetMale),AA514,FALSE)</f>
        <v>0</v>
      </c>
      <c r="P514" s="642"/>
      <c r="Q514" s="419" t="str">
        <f>VLOOKUP($B514,IF($F512="F",TeamSheetFemale,TeamSheetMale),AB514,FALSE)</f>
        <v>Tom Stanton</v>
      </c>
      <c r="R514" s="642"/>
      <c r="S514" s="419">
        <f>VLOOKUP($B514,IF($F512="F",TeamSheetFemale,TeamSheetMale),AC514,FALSE)</f>
        <v>0</v>
      </c>
      <c r="T514" s="642"/>
      <c r="U514" s="419">
        <f>VLOOKUP($B514,IF($F512="F",TeamSheetFemale,TeamSheetMale),AD514,FALSE)</f>
        <v>0</v>
      </c>
      <c r="V514" s="640"/>
      <c r="W514" s="643" t="s">
        <v>299</v>
      </c>
      <c r="X514" s="643" t="s">
        <v>300</v>
      </c>
      <c r="Y514" s="643" t="s">
        <v>301</v>
      </c>
      <c r="Z514" s="643" t="s">
        <v>302</v>
      </c>
      <c r="AA514" s="643" t="s">
        <v>303</v>
      </c>
      <c r="AB514" s="643" t="s">
        <v>304</v>
      </c>
      <c r="AC514" s="643" t="s">
        <v>305</v>
      </c>
      <c r="AD514" s="643" t="s">
        <v>306</v>
      </c>
    </row>
    <row r="515" spans="1:30" x14ac:dyDescent="0.3">
      <c r="A515" s="419">
        <v>34</v>
      </c>
      <c r="B515" s="506" t="str">
        <f>B513&amp;"S"</f>
        <v>87S</v>
      </c>
      <c r="D515" s="479" t="str">
        <f>VLOOKUP(B513,EventsOrder,3,FALSE)</f>
        <v>4 x 100m (U18/U20)</v>
      </c>
      <c r="E515" s="515" t="s">
        <v>94</v>
      </c>
      <c r="F515" s="534">
        <v>3</v>
      </c>
      <c r="G515" s="638">
        <f>VLOOKUP($B515,IF($F512="F",TeamSheetFemale,TeamSheetMale),W515,FALSE)</f>
        <v>0</v>
      </c>
      <c r="H515" s="642"/>
      <c r="I515" s="419">
        <f>VLOOKUP($B515,IF($F512="F",TeamSheetFemale,TeamSheetMale),X515,FALSE)</f>
        <v>0</v>
      </c>
      <c r="J515" s="642"/>
      <c r="K515" s="419" t="str">
        <f>VLOOKUP($B515,IF($F512="F",TeamSheetFemale,TeamSheetMale),Y515,FALSE)</f>
        <v>Isaiah Dominique</v>
      </c>
      <c r="L515" s="642"/>
      <c r="M515" s="419">
        <f>VLOOKUP($B515,IF($F512="F",TeamSheetFemale,TeamSheetMale),Z515,FALSE)</f>
        <v>0</v>
      </c>
      <c r="N515" s="642"/>
      <c r="O515" s="419">
        <f>VLOOKUP($B515,IF($F512="F",TeamSheetFemale,TeamSheetMale),AA515,FALSE)</f>
        <v>0</v>
      </c>
      <c r="P515" s="642"/>
      <c r="Q515" s="419" t="str">
        <f>VLOOKUP($B515,IF($F512="F",TeamSheetFemale,TeamSheetMale),AB515,FALSE)</f>
        <v>Will Hovell</v>
      </c>
      <c r="R515" s="642"/>
      <c r="S515" s="419">
        <f>VLOOKUP($B515,IF($F512="F",TeamSheetFemale,TeamSheetMale),AC515,FALSE)</f>
        <v>0</v>
      </c>
      <c r="T515" s="642"/>
      <c r="U515" s="419">
        <f>VLOOKUP($B515,IF($F512="F",TeamSheetFemale,TeamSheetMale),AD515,FALSE)</f>
        <v>0</v>
      </c>
      <c r="V515" s="640"/>
      <c r="W515" s="32">
        <v>7</v>
      </c>
      <c r="X515" s="32">
        <v>12</v>
      </c>
      <c r="Y515" s="32">
        <v>17</v>
      </c>
      <c r="Z515" s="32">
        <v>22</v>
      </c>
      <c r="AA515" s="32">
        <v>27</v>
      </c>
      <c r="AB515" s="32">
        <v>32</v>
      </c>
      <c r="AC515" s="32">
        <v>37</v>
      </c>
      <c r="AD515" s="32">
        <v>42</v>
      </c>
    </row>
    <row r="516" spans="1:30" ht="15" thickBot="1" x14ac:dyDescent="0.35">
      <c r="A516" s="419">
        <v>35</v>
      </c>
      <c r="B516" s="530"/>
      <c r="C516" s="501"/>
      <c r="D516" s="502"/>
      <c r="E516" s="523"/>
      <c r="F516" s="563">
        <v>4</v>
      </c>
      <c r="G516" s="648">
        <f>VLOOKUP($B515,IF($F512="F",TeamSheetFemale,TeamSheetMale),W516,FALSE)</f>
        <v>0</v>
      </c>
      <c r="H516" s="649"/>
      <c r="I516" s="624">
        <f>VLOOKUP($B515,IF($F512="F",TeamSheetFemale,TeamSheetMale),X516,FALSE)</f>
        <v>0</v>
      </c>
      <c r="J516" s="649"/>
      <c r="K516" s="650">
        <f>VLOOKUP($B515,IF($F512="F",TeamSheetFemale,TeamSheetMale),Y516,FALSE)</f>
        <v>0</v>
      </c>
      <c r="L516" s="651"/>
      <c r="M516" s="650">
        <f>VLOOKUP($B515,IF($F512="F",TeamSheetFemale,TeamSheetMale),Z516,FALSE)</f>
        <v>0</v>
      </c>
      <c r="N516" s="651"/>
      <c r="O516" s="650">
        <f>VLOOKUP($B515,IF($F512="F",TeamSheetFemale,TeamSheetMale),AA516,FALSE)</f>
        <v>0</v>
      </c>
      <c r="P516" s="651"/>
      <c r="Q516" s="650" t="str">
        <f>VLOOKUP($B515,IF($F512="F",TeamSheetFemale,TeamSheetMale),AB516,FALSE)</f>
        <v>George Wright</v>
      </c>
      <c r="R516" s="651"/>
      <c r="S516" s="650">
        <f>VLOOKUP($B515,IF($F512="F",TeamSheetFemale,TeamSheetMale),AC516,FALSE)</f>
        <v>0</v>
      </c>
      <c r="T516" s="651"/>
      <c r="U516" s="650">
        <f>VLOOKUP($B515,IF($F512="F",TeamSheetFemale,TeamSheetMale),AD516,FALSE)</f>
        <v>0</v>
      </c>
      <c r="V516" s="652"/>
      <c r="W516" s="643" t="s">
        <v>299</v>
      </c>
      <c r="X516" s="643" t="s">
        <v>300</v>
      </c>
      <c r="Y516" s="643" t="s">
        <v>301</v>
      </c>
      <c r="Z516" s="643" t="s">
        <v>302</v>
      </c>
      <c r="AA516" s="643" t="s">
        <v>303</v>
      </c>
      <c r="AB516" s="643" t="s">
        <v>304</v>
      </c>
      <c r="AC516" s="643" t="s">
        <v>305</v>
      </c>
      <c r="AD516" s="643" t="s">
        <v>306</v>
      </c>
    </row>
  </sheetData>
  <sheetProtection sheet="1" objects="1" scenarios="1"/>
  <mergeCells count="172">
    <mergeCell ref="AD5:AD6"/>
    <mergeCell ref="G7:H7"/>
    <mergeCell ref="I7:J7"/>
    <mergeCell ref="K7:L7"/>
    <mergeCell ref="M7:N7"/>
    <mergeCell ref="O7:P7"/>
    <mergeCell ref="Q7:R7"/>
    <mergeCell ref="F2:I2"/>
    <mergeCell ref="B5:B6"/>
    <mergeCell ref="W5:W6"/>
    <mergeCell ref="X5:X6"/>
    <mergeCell ref="Y5:Y6"/>
    <mergeCell ref="Z5:Z6"/>
    <mergeCell ref="S7:T7"/>
    <mergeCell ref="U7:V7"/>
    <mergeCell ref="B8:B9"/>
    <mergeCell ref="W8:W9"/>
    <mergeCell ref="X8:X9"/>
    <mergeCell ref="Y8:Y9"/>
    <mergeCell ref="AA5:AA6"/>
    <mergeCell ref="AB5:AB6"/>
    <mergeCell ref="AC5:AC6"/>
    <mergeCell ref="B50:B51"/>
    <mergeCell ref="W50:W51"/>
    <mergeCell ref="X50:X51"/>
    <mergeCell ref="Z8:Z9"/>
    <mergeCell ref="AA8:AA9"/>
    <mergeCell ref="AB8:AB9"/>
    <mergeCell ref="AC8:AC9"/>
    <mergeCell ref="AD8:AD9"/>
    <mergeCell ref="G10:H10"/>
    <mergeCell ref="I10:J10"/>
    <mergeCell ref="K10:L10"/>
    <mergeCell ref="M10:N10"/>
    <mergeCell ref="O10:P10"/>
    <mergeCell ref="Y50:Y51"/>
    <mergeCell ref="Z50:Z51"/>
    <mergeCell ref="AA50:AA51"/>
    <mergeCell ref="AB50:AB51"/>
    <mergeCell ref="AC50:AC51"/>
    <mergeCell ref="AD50:AD51"/>
    <mergeCell ref="Q10:R10"/>
    <mergeCell ref="S10:T10"/>
    <mergeCell ref="U10:V10"/>
    <mergeCell ref="S52:T52"/>
    <mergeCell ref="U52:V52"/>
    <mergeCell ref="B99:B100"/>
    <mergeCell ref="W99:W100"/>
    <mergeCell ref="X99:X100"/>
    <mergeCell ref="Y99:Y100"/>
    <mergeCell ref="G52:H52"/>
    <mergeCell ref="I52:J52"/>
    <mergeCell ref="K52:L52"/>
    <mergeCell ref="M52:N52"/>
    <mergeCell ref="O52:P52"/>
    <mergeCell ref="Q52:R52"/>
    <mergeCell ref="B153:B154"/>
    <mergeCell ref="W153:W154"/>
    <mergeCell ref="X153:X154"/>
    <mergeCell ref="Z99:Z100"/>
    <mergeCell ref="AA99:AA100"/>
    <mergeCell ref="AB99:AB100"/>
    <mergeCell ref="AC99:AC100"/>
    <mergeCell ref="AD99:AD100"/>
    <mergeCell ref="G101:H101"/>
    <mergeCell ref="I101:J101"/>
    <mergeCell ref="K101:L101"/>
    <mergeCell ref="M101:N101"/>
    <mergeCell ref="O101:P101"/>
    <mergeCell ref="Y153:Y154"/>
    <mergeCell ref="Z153:Z154"/>
    <mergeCell ref="AA153:AA154"/>
    <mergeCell ref="AB153:AB154"/>
    <mergeCell ref="AC153:AC154"/>
    <mergeCell ref="AD153:AD154"/>
    <mergeCell ref="Q101:R101"/>
    <mergeCell ref="S101:T101"/>
    <mergeCell ref="U101:V101"/>
    <mergeCell ref="S155:T155"/>
    <mergeCell ref="U155:V155"/>
    <mergeCell ref="B207:B208"/>
    <mergeCell ref="W207:W208"/>
    <mergeCell ref="X207:X208"/>
    <mergeCell ref="Y207:Y208"/>
    <mergeCell ref="G155:H155"/>
    <mergeCell ref="I155:J155"/>
    <mergeCell ref="K155:L155"/>
    <mergeCell ref="M155:N155"/>
    <mergeCell ref="O155:P155"/>
    <mergeCell ref="Q155:R155"/>
    <mergeCell ref="B264:B265"/>
    <mergeCell ref="W264:W265"/>
    <mergeCell ref="X264:X265"/>
    <mergeCell ref="Z207:Z208"/>
    <mergeCell ref="AA207:AA208"/>
    <mergeCell ref="AB207:AB208"/>
    <mergeCell ref="AC207:AC208"/>
    <mergeCell ref="AD207:AD208"/>
    <mergeCell ref="G209:H209"/>
    <mergeCell ref="I209:J209"/>
    <mergeCell ref="K209:L209"/>
    <mergeCell ref="M209:N209"/>
    <mergeCell ref="O209:P209"/>
    <mergeCell ref="Y264:Y265"/>
    <mergeCell ref="Z264:Z265"/>
    <mergeCell ref="AA264:AA265"/>
    <mergeCell ref="AB264:AB265"/>
    <mergeCell ref="AC264:AC265"/>
    <mergeCell ref="AD264:AD265"/>
    <mergeCell ref="Q209:R209"/>
    <mergeCell ref="S209:T209"/>
    <mergeCell ref="U209:V209"/>
    <mergeCell ref="S266:T266"/>
    <mergeCell ref="U266:V266"/>
    <mergeCell ref="B321:B322"/>
    <mergeCell ref="W321:W322"/>
    <mergeCell ref="X321:X322"/>
    <mergeCell ref="Y321:Y322"/>
    <mergeCell ref="G266:H266"/>
    <mergeCell ref="I266:J266"/>
    <mergeCell ref="K266:L266"/>
    <mergeCell ref="M266:N266"/>
    <mergeCell ref="O266:P266"/>
    <mergeCell ref="Q266:R266"/>
    <mergeCell ref="B378:B379"/>
    <mergeCell ref="W378:W379"/>
    <mergeCell ref="X378:X379"/>
    <mergeCell ref="Z321:Z322"/>
    <mergeCell ref="AA321:AA322"/>
    <mergeCell ref="AB321:AB322"/>
    <mergeCell ref="AC321:AC322"/>
    <mergeCell ref="AD321:AD322"/>
    <mergeCell ref="G323:H323"/>
    <mergeCell ref="I323:J323"/>
    <mergeCell ref="K323:L323"/>
    <mergeCell ref="M323:N323"/>
    <mergeCell ref="O323:P323"/>
    <mergeCell ref="Y378:Y379"/>
    <mergeCell ref="Z378:Z379"/>
    <mergeCell ref="AA378:AA379"/>
    <mergeCell ref="AB378:AB379"/>
    <mergeCell ref="AC378:AC379"/>
    <mergeCell ref="AD378:AD379"/>
    <mergeCell ref="Q323:R323"/>
    <mergeCell ref="S323:T323"/>
    <mergeCell ref="U323:V323"/>
    <mergeCell ref="S380:T380"/>
    <mergeCell ref="U380:V380"/>
    <mergeCell ref="B435:B436"/>
    <mergeCell ref="W435:W436"/>
    <mergeCell ref="G380:H380"/>
    <mergeCell ref="I380:J380"/>
    <mergeCell ref="K380:L380"/>
    <mergeCell ref="M380:N380"/>
    <mergeCell ref="O380:P380"/>
    <mergeCell ref="Q380:R380"/>
    <mergeCell ref="W477:AD477"/>
    <mergeCell ref="Z435:Z436"/>
    <mergeCell ref="AA435:AA436"/>
    <mergeCell ref="AB435:AB436"/>
    <mergeCell ref="AC435:AC436"/>
    <mergeCell ref="AD435:AD436"/>
    <mergeCell ref="X435:X436"/>
    <mergeCell ref="Y435:Y436"/>
    <mergeCell ref="G437:H437"/>
    <mergeCell ref="I437:J437"/>
    <mergeCell ref="K437:L437"/>
    <mergeCell ref="M437:N437"/>
    <mergeCell ref="O437:P437"/>
    <mergeCell ref="Q437:R437"/>
    <mergeCell ref="S437:T437"/>
    <mergeCell ref="U437:V437"/>
  </mergeCells>
  <conditionalFormatting sqref="D11 D13 D407 D409 D15 D17 D19 D21 D39 D411 F13 F17 F39 D81 D53 D55 F55 F59 D57 D59 D61 D63 D65 D67 D78 D87 F81 F63 F94 F21 D93 D84 D102 D104 D490 D488 D106 D108 D110 D112 D114 D116 D122 D124 D126 D128 D134 D136 D138 D140 D118 D120 D156 D158 D146 D144 D160 D162 D164 D166 D168 D170 D176 D178 D180 D182 D188 D190 D192 D194 D172 D174 D210 D212 D230 D232 D214 D216 D218 D220 D222 D224 D513 D234 D236 D246 D248 D250 D252 D226 D228 D267 D269 D255 F258 D271 D273 D275 D277 D279 D281 D291 D293 D299 D301 D303 D305 D307 D309 D287 D289 D324 D326 D344 D346 D328 D330 D332 D334 D336 D338 F315 D314 D356 D358 D360 D362 D364 D366 D340 D342 D381 D383 D401 D403 D385 D387 D389 D391 D393 D395 D371 D369 D413 D415 D417 D419 D421 D423 D397 D399 D130 D132 D184 D186 D242 D244 D238 D240 D295 D297 D348 D350 D352 D354 D405 F25 F87 F67 D23 D25 D91 D480 D478 F480 F147 D200 D198 F201 D495 D493 D500 D498 D505 D503 D510 D508 F505 D515 D257 D312 F372 D428 D426 F429 D283 D285 F283 F285 F397 F399 D439 D442 D445 D448 D451 D454 D457 D460 D463 D466 D469 D472 D27 D29 F29 D69 D71 F71 D73 D75 F75 F45 D44 D42 F33 D31 D33 D35 D37 F37">
    <cfRule type="cellIs" dxfId="74" priority="82" stopIfTrue="1" operator="equal">
      <formula>"""U17M"""</formula>
    </cfRule>
    <cfRule type="cellIs" dxfId="73" priority="83" stopIfTrue="1" operator="equal">
      <formula>"""U15B"""</formula>
    </cfRule>
    <cfRule type="cellIs" dxfId="72" priority="84" stopIfTrue="1" operator="equal">
      <formula>"""U13B"""</formula>
    </cfRule>
  </conditionalFormatting>
  <conditionalFormatting sqref="F500">
    <cfRule type="cellIs" dxfId="71" priority="79" stopIfTrue="1" operator="equal">
      <formula>"""U17M"""</formula>
    </cfRule>
    <cfRule type="cellIs" dxfId="70" priority="80" stopIfTrue="1" operator="equal">
      <formula>"""U15B"""</formula>
    </cfRule>
    <cfRule type="cellIs" dxfId="69" priority="81" stopIfTrue="1" operator="equal">
      <formula>"""U13B"""</formula>
    </cfRule>
  </conditionalFormatting>
  <conditionalFormatting sqref="F495">
    <cfRule type="cellIs" dxfId="68" priority="76" stopIfTrue="1" operator="equal">
      <formula>"""U17M"""</formula>
    </cfRule>
    <cfRule type="cellIs" dxfId="67" priority="77" stopIfTrue="1" operator="equal">
      <formula>"""U15B"""</formula>
    </cfRule>
    <cfRule type="cellIs" dxfId="66" priority="78" stopIfTrue="1" operator="equal">
      <formula>"""U13B"""</formula>
    </cfRule>
  </conditionalFormatting>
  <conditionalFormatting sqref="F490">
    <cfRule type="cellIs" dxfId="65" priority="73" stopIfTrue="1" operator="equal">
      <formula>"""U17M"""</formula>
    </cfRule>
    <cfRule type="cellIs" dxfId="64" priority="74" stopIfTrue="1" operator="equal">
      <formula>"""U15B"""</formula>
    </cfRule>
    <cfRule type="cellIs" dxfId="63" priority="75" stopIfTrue="1" operator="equal">
      <formula>"""U13B"""</formula>
    </cfRule>
  </conditionalFormatting>
  <conditionalFormatting sqref="F487">
    <cfRule type="cellIs" dxfId="62" priority="70" stopIfTrue="1" operator="equal">
      <formula>"""U17M"""</formula>
    </cfRule>
    <cfRule type="cellIs" dxfId="61" priority="71" stopIfTrue="1" operator="equal">
      <formula>"""U15B"""</formula>
    </cfRule>
    <cfRule type="cellIs" dxfId="60" priority="72" stopIfTrue="1" operator="equal">
      <formula>"""U13B"""</formula>
    </cfRule>
  </conditionalFormatting>
  <conditionalFormatting sqref="F510">
    <cfRule type="cellIs" dxfId="59" priority="67" stopIfTrue="1" operator="equal">
      <formula>"""U17M"""</formula>
    </cfRule>
    <cfRule type="cellIs" dxfId="58" priority="68" stopIfTrue="1" operator="equal">
      <formula>"""U15B"""</formula>
    </cfRule>
    <cfRule type="cellIs" dxfId="57" priority="69" stopIfTrue="1" operator="equal">
      <formula>"""U13B"""</formula>
    </cfRule>
  </conditionalFormatting>
  <conditionalFormatting sqref="F515">
    <cfRule type="cellIs" dxfId="56" priority="64" stopIfTrue="1" operator="equal">
      <formula>"""U17M"""</formula>
    </cfRule>
    <cfRule type="cellIs" dxfId="55" priority="65" stopIfTrue="1" operator="equal">
      <formula>"""U15B"""</formula>
    </cfRule>
    <cfRule type="cellIs" dxfId="54" priority="66" stopIfTrue="1" operator="equal">
      <formula>"""U13B"""</formula>
    </cfRule>
  </conditionalFormatting>
  <conditionalFormatting sqref="F512 F507 F502 F497 F492 F477">
    <cfRule type="cellIs" dxfId="53" priority="61" stopIfTrue="1" operator="equal">
      <formula>"""U17M"""</formula>
    </cfRule>
    <cfRule type="cellIs" dxfId="52" priority="62" stopIfTrue="1" operator="equal">
      <formula>"""U15B"""</formula>
    </cfRule>
    <cfRule type="cellIs" dxfId="51" priority="63" stopIfTrue="1" operator="equal">
      <formula>"""U13B"""</formula>
    </cfRule>
  </conditionalFormatting>
  <conditionalFormatting sqref="D459 D438 D453 D441 D444 D447 D462 D468 D471 D450 D456 F450:F451">
    <cfRule type="cellIs" dxfId="50" priority="58" stopIfTrue="1" operator="equal">
      <formula>"""U17M"""</formula>
    </cfRule>
    <cfRule type="cellIs" dxfId="49" priority="59" stopIfTrue="1" operator="equal">
      <formula>"""U15B"""</formula>
    </cfRule>
    <cfRule type="cellIs" dxfId="48" priority="60" stopIfTrue="1" operator="equal">
      <formula>"""U13B"""</formula>
    </cfRule>
  </conditionalFormatting>
  <conditionalFormatting sqref="D465">
    <cfRule type="cellIs" dxfId="47" priority="55" stopIfTrue="1" operator="equal">
      <formula>"""U17M"""</formula>
    </cfRule>
    <cfRule type="cellIs" dxfId="46" priority="56" stopIfTrue="1" operator="equal">
      <formula>"""U15B"""</formula>
    </cfRule>
    <cfRule type="cellIs" dxfId="45" priority="57" stopIfTrue="1" operator="equal">
      <formula>"""U13B"""</formula>
    </cfRule>
  </conditionalFormatting>
  <conditionalFormatting sqref="D485 D483 F485">
    <cfRule type="cellIs" dxfId="44" priority="4" stopIfTrue="1" operator="equal">
      <formula>"""U17M"""</formula>
    </cfRule>
    <cfRule type="cellIs" dxfId="43" priority="5" stopIfTrue="1" operator="equal">
      <formula>"""U15B"""</formula>
    </cfRule>
    <cfRule type="cellIs" dxfId="42" priority="6" stopIfTrue="1" operator="equal">
      <formula>"""U13B"""</formula>
    </cfRule>
  </conditionalFormatting>
  <conditionalFormatting sqref="F482">
    <cfRule type="cellIs" dxfId="41" priority="1" stopIfTrue="1" operator="equal">
      <formula>"""U17M"""</formula>
    </cfRule>
    <cfRule type="cellIs" dxfId="40" priority="2" stopIfTrue="1" operator="equal">
      <formula>"""U15B"""</formula>
    </cfRule>
    <cfRule type="cellIs" dxfId="39" priority="3" stopIfTrue="1" operator="equal">
      <formula>"""U13B"""</formula>
    </cfRule>
  </conditionalFormatting>
  <pageMargins left="0.51181102362204722" right="0.51181102362204722" top="0.35433070866141736" bottom="0.55118110236220474" header="0.11811023622047245" footer="0.11811023622047245"/>
  <pageSetup paperSize="9" scale="60" fitToHeight="0" orientation="landscape" horizontalDpi="360" verticalDpi="360" r:id="rId1"/>
  <headerFooter>
    <oddFooter>&amp;C&amp;P</oddFooter>
  </headerFooter>
  <rowBreaks count="9" manualBreakCount="9">
    <brk id="48" min="1" max="29" man="1"/>
    <brk id="97" min="1" max="29" man="1"/>
    <brk id="151" min="1" max="29" man="1"/>
    <brk id="205" min="1" max="29" man="1"/>
    <brk id="262" min="1" max="29" man="1"/>
    <brk id="319" min="1" max="29" man="1"/>
    <brk id="376" min="1" max="29" man="1"/>
    <brk id="433" min="1" max="29" man="1"/>
    <brk id="473" max="16383" man="1"/>
  </rowBreaks>
  <colBreaks count="1" manualBreakCount="1">
    <brk id="1" max="1048575" man="1"/>
  </colBreaks>
  <extLst>
    <ext xmlns:x14="http://schemas.microsoft.com/office/spreadsheetml/2009/9/main" uri="{78C0D931-6437-407d-A8EE-F0AAD7539E65}">
      <x14:conditionalFormattings>
        <x14:conditionalFormatting xmlns:xm="http://schemas.microsoft.com/office/excel/2006/main">
          <x14:cfRule type="containsText" priority="53" operator="containsText" id="{6FE26399-09E4-4421-8724-0551B8B2920D}">
            <xm:f>NOT(ISERROR(SEARCH($I$5,G89)))</xm:f>
            <xm:f>$I$5</xm:f>
            <x14:dxf>
              <fill>
                <patternFill>
                  <bgColor rgb="FFFFFF00"/>
                </patternFill>
              </fill>
            </x14:dxf>
          </x14:cfRule>
          <xm:sqref>G89:V91</xm:sqref>
        </x14:conditionalFormatting>
        <x14:conditionalFormatting xmlns:xm="http://schemas.microsoft.com/office/excel/2006/main">
          <x14:cfRule type="containsText" priority="52" operator="containsText" id="{EC4C893A-FDB7-4E36-89DA-E575FB1EF230}">
            <xm:f>NOT(ISERROR(SEARCH($I$5,G102)))</xm:f>
            <xm:f>$I$5</xm:f>
            <x14:dxf>
              <fill>
                <patternFill>
                  <bgColor rgb="FFFFFF00"/>
                </patternFill>
              </fill>
            </x14:dxf>
          </x14:cfRule>
          <xm:sqref>G102:V144</xm:sqref>
        </x14:conditionalFormatting>
        <x14:conditionalFormatting xmlns:xm="http://schemas.microsoft.com/office/excel/2006/main">
          <x14:cfRule type="containsText" priority="51" operator="containsText" id="{7376B38F-39AC-411A-826F-DBE3EAAECC02}">
            <xm:f>NOT(ISERROR(SEARCH($I$5,G156)))</xm:f>
            <xm:f>$I$5</xm:f>
            <x14:dxf>
              <fill>
                <patternFill>
                  <bgColor rgb="FFFFFF00"/>
                </patternFill>
              </fill>
            </x14:dxf>
          </x14:cfRule>
          <xm:sqref>G156:V198</xm:sqref>
        </x14:conditionalFormatting>
        <x14:conditionalFormatting xmlns:xm="http://schemas.microsoft.com/office/excel/2006/main">
          <x14:cfRule type="containsText" priority="50" operator="containsText" id="{1E79E69F-5145-41F4-ACED-F3D76316373E}">
            <xm:f>NOT(ISERROR(SEARCH($I$5,G210)))</xm:f>
            <xm:f>$I$5</xm:f>
            <x14:dxf>
              <fill>
                <patternFill>
                  <bgColor rgb="FFFFFF00"/>
                </patternFill>
              </fill>
            </x14:dxf>
          </x14:cfRule>
          <xm:sqref>G210:V255</xm:sqref>
        </x14:conditionalFormatting>
        <x14:conditionalFormatting xmlns:xm="http://schemas.microsoft.com/office/excel/2006/main">
          <x14:cfRule type="containsText" priority="49" operator="containsText" id="{07D4A6A5-FABA-4621-9F8D-E2B5FD32390B}">
            <xm:f>NOT(ISERROR(SEARCH($I$5,G267)))</xm:f>
            <xm:f>$I$5</xm:f>
            <x14:dxf>
              <fill>
                <patternFill>
                  <bgColor rgb="FFFFFF00"/>
                </patternFill>
              </fill>
            </x14:dxf>
          </x14:cfRule>
          <xm:sqref>G267:V312</xm:sqref>
        </x14:conditionalFormatting>
        <x14:conditionalFormatting xmlns:xm="http://schemas.microsoft.com/office/excel/2006/main">
          <x14:cfRule type="containsText" priority="48" operator="containsText" id="{CA7AB7D0-FCCD-4D94-AF9F-3318CE654CAF}">
            <xm:f>NOT(ISERROR(SEARCH($I$5,G324)))</xm:f>
            <xm:f>$I$5</xm:f>
            <x14:dxf>
              <fill>
                <patternFill>
                  <bgColor rgb="FFFFFF00"/>
                </patternFill>
              </fill>
            </x14:dxf>
          </x14:cfRule>
          <xm:sqref>G324:V369</xm:sqref>
        </x14:conditionalFormatting>
        <x14:conditionalFormatting xmlns:xm="http://schemas.microsoft.com/office/excel/2006/main">
          <x14:cfRule type="containsText" priority="47" operator="containsText" id="{1B41B15E-6629-46B8-9C4F-68B70E36429B}">
            <xm:f>NOT(ISERROR(SEARCH($I$5,G381)))</xm:f>
            <xm:f>$I$5</xm:f>
            <x14:dxf>
              <fill>
                <patternFill>
                  <bgColor rgb="FFFFFF00"/>
                </patternFill>
              </fill>
            </x14:dxf>
          </x14:cfRule>
          <xm:sqref>G381:V426</xm:sqref>
        </x14:conditionalFormatting>
        <x14:conditionalFormatting xmlns:xm="http://schemas.microsoft.com/office/excel/2006/main">
          <x14:cfRule type="containsText" priority="46" operator="containsText" id="{037B71AE-A2EF-4660-A540-37F86D3DAD12}">
            <xm:f>NOT(ISERROR(SEARCH($I$5,G438)))</xm:f>
            <xm:f>$I$5</xm:f>
            <x14:dxf>
              <fill>
                <patternFill>
                  <bgColor rgb="FFFFFF00"/>
                </patternFill>
              </fill>
            </x14:dxf>
          </x14:cfRule>
          <xm:sqref>G438:V473</xm:sqref>
        </x14:conditionalFormatting>
        <x14:conditionalFormatting xmlns:xm="http://schemas.microsoft.com/office/excel/2006/main">
          <x14:cfRule type="containsText" priority="40" operator="containsText" id="{18F09775-6A63-4FAA-B79C-47D94B341902}">
            <xm:f>NOT(ISERROR(SEARCH($I$5,H39)))</xm:f>
            <xm:f>$I$5</xm:f>
            <x14:dxf>
              <fill>
                <patternFill>
                  <bgColor rgb="FFFFFF00"/>
                </patternFill>
              </fill>
            </x14:dxf>
          </x14:cfRule>
          <xm:sqref>H39</xm:sqref>
        </x14:conditionalFormatting>
        <x14:conditionalFormatting xmlns:xm="http://schemas.microsoft.com/office/excel/2006/main">
          <x14:cfRule type="containsText" priority="39" operator="containsText" id="{B6541F10-B0D8-43EA-BBC8-FA2FCAE72331}">
            <xm:f>NOT(ISERROR(SEARCH($I$5,J39)))</xm:f>
            <xm:f>$I$5</xm:f>
            <x14:dxf>
              <fill>
                <patternFill>
                  <bgColor rgb="FFFFFF00"/>
                </patternFill>
              </fill>
            </x14:dxf>
          </x14:cfRule>
          <xm:sqref>V39 T39 R39 P39 N39 L39 J39</xm:sqref>
        </x14:conditionalFormatting>
        <x14:conditionalFormatting xmlns:xm="http://schemas.microsoft.com/office/excel/2006/main">
          <x14:cfRule type="containsText" priority="26" operator="containsText" id="{C936EBC5-CC76-47B1-809D-72150205DA24}">
            <xm:f>NOT(ISERROR(SEARCH($I$5,H78)))</xm:f>
            <xm:f>$I$5</xm:f>
            <x14:dxf>
              <fill>
                <patternFill>
                  <bgColor rgb="FFFFFF00"/>
                </patternFill>
              </fill>
            </x14:dxf>
          </x14:cfRule>
          <xm:sqref>H78</xm:sqref>
        </x14:conditionalFormatting>
        <x14:conditionalFormatting xmlns:xm="http://schemas.microsoft.com/office/excel/2006/main">
          <x14:cfRule type="containsText" priority="25" operator="containsText" id="{2ADB538D-A1E9-4102-8CF5-0B761494C652}">
            <xm:f>NOT(ISERROR(SEARCH($I$5,J78)))</xm:f>
            <xm:f>$I$5</xm:f>
            <x14:dxf>
              <fill>
                <patternFill>
                  <bgColor rgb="FFFFFF00"/>
                </patternFill>
              </fill>
            </x14:dxf>
          </x14:cfRule>
          <xm:sqref>V78 T78 R78 P78 N78 L78 J78</xm:sqref>
        </x14:conditionalFormatting>
        <x14:conditionalFormatting xmlns:xm="http://schemas.microsoft.com/office/excel/2006/main">
          <x14:cfRule type="containsText" priority="24" operator="containsText" id="{BD3F2FAE-7594-495A-B0A7-2E13333BAF3D}">
            <xm:f>NOT(ISERROR(SEARCH($I$5,H81)))</xm:f>
            <xm:f>$I$5</xm:f>
            <x14:dxf>
              <fill>
                <patternFill>
                  <bgColor rgb="FFFFFF00"/>
                </patternFill>
              </fill>
            </x14:dxf>
          </x14:cfRule>
          <xm:sqref>H81</xm:sqref>
        </x14:conditionalFormatting>
        <x14:conditionalFormatting xmlns:xm="http://schemas.microsoft.com/office/excel/2006/main">
          <x14:cfRule type="containsText" priority="23" operator="containsText" id="{14EAF853-25C0-4765-B8BB-AF17A89F4788}">
            <xm:f>NOT(ISERROR(SEARCH($I$5,J81)))</xm:f>
            <xm:f>$I$5</xm:f>
            <x14:dxf>
              <fill>
                <patternFill>
                  <bgColor rgb="FFFFFF00"/>
                </patternFill>
              </fill>
            </x14:dxf>
          </x14:cfRule>
          <xm:sqref>V81 T81 R81 P81 N81 L81 J81</xm:sqref>
        </x14:conditionalFormatting>
        <x14:conditionalFormatting xmlns:xm="http://schemas.microsoft.com/office/excel/2006/main">
          <x14:cfRule type="containsText" priority="18" operator="containsText" id="{34403D42-2454-4A7E-8E89-92E27BA5762E}">
            <xm:f>NOT(ISERROR(SEARCH($I$5,H84)))</xm:f>
            <xm:f>$I$5</xm:f>
            <x14:dxf>
              <fill>
                <patternFill>
                  <bgColor rgb="FFFFFF00"/>
                </patternFill>
              </fill>
            </x14:dxf>
          </x14:cfRule>
          <xm:sqref>H84</xm:sqref>
        </x14:conditionalFormatting>
        <x14:conditionalFormatting xmlns:xm="http://schemas.microsoft.com/office/excel/2006/main">
          <x14:cfRule type="containsText" priority="17" operator="containsText" id="{539AF3C9-ED92-49A0-8CEE-51597B807C0A}">
            <xm:f>NOT(ISERROR(SEARCH($I$5,J84)))</xm:f>
            <xm:f>$I$5</xm:f>
            <x14:dxf>
              <fill>
                <patternFill>
                  <bgColor rgb="FFFFFF00"/>
                </patternFill>
              </fill>
            </x14:dxf>
          </x14:cfRule>
          <xm:sqref>V84 T84 R84 P84 N84 L84 J84</xm:sqref>
        </x14:conditionalFormatting>
        <x14:conditionalFormatting xmlns:xm="http://schemas.microsoft.com/office/excel/2006/main">
          <x14:cfRule type="containsText" priority="16" operator="containsText" id="{ABDBF6E2-28AD-459B-8304-7CB90853A0F8}">
            <xm:f>NOT(ISERROR(SEARCH($I$5,H87)))</xm:f>
            <xm:f>$I$5</xm:f>
            <x14:dxf>
              <fill>
                <patternFill>
                  <bgColor rgb="FFFFFF00"/>
                </patternFill>
              </fill>
            </x14:dxf>
          </x14:cfRule>
          <xm:sqref>H87</xm:sqref>
        </x14:conditionalFormatting>
        <x14:conditionalFormatting xmlns:xm="http://schemas.microsoft.com/office/excel/2006/main">
          <x14:cfRule type="containsText" priority="15" operator="containsText" id="{C345DA3A-983E-4BCA-9264-41BB5548C286}">
            <xm:f>NOT(ISERROR(SEARCH($I$5,J87)))</xm:f>
            <xm:f>$I$5</xm:f>
            <x14:dxf>
              <fill>
                <patternFill>
                  <bgColor rgb="FFFFFF00"/>
                </patternFill>
              </fill>
            </x14:dxf>
          </x14:cfRule>
          <xm:sqref>V87 T87 R87 P87 N87 L87 J87</xm:sqref>
        </x14:conditionalFormatting>
        <x14:conditionalFormatting xmlns:xm="http://schemas.microsoft.com/office/excel/2006/main">
          <x14:cfRule type="containsText" priority="11" operator="containsText" id="{DF2C8CB7-21D5-418B-807B-A6846D3773AD}">
            <xm:f>NOT(ISERROR(SEARCH($I$5,G54)))</xm:f>
            <xm:f>$I$5</xm:f>
            <x14:dxf>
              <fill>
                <patternFill>
                  <bgColor rgb="FFFFFF00"/>
                </patternFill>
              </fill>
            </x14:dxf>
          </x14:cfRule>
          <xm:sqref>G54:V54 G56:V56 G58:V58 G60:V60 G62:V62 G64:V64 G66:V66 G68:V68</xm:sqref>
        </x14:conditionalFormatting>
        <x14:conditionalFormatting xmlns:xm="http://schemas.microsoft.com/office/excel/2006/main">
          <x14:cfRule type="containsText" priority="10" operator="containsText" id="{FBED29B5-0299-40A6-BD2D-BB51F90EFE54}">
            <xm:f>NOT(ISERROR(SEARCH($I$5,G12)))</xm:f>
            <xm:f>$I$5</xm:f>
            <x14:dxf>
              <fill>
                <patternFill>
                  <bgColor rgb="FFFFFF00"/>
                </patternFill>
              </fill>
            </x14:dxf>
          </x14:cfRule>
          <xm:sqref>G12:V12 G14:V14 G16:V16 G18:V18 G20:V20 G22:V22 G24:V24 G26:V26 G28:V28 G30:V30 G32:V32 G34:V34 G36:V36 G38:V38</xm:sqref>
        </x14:conditionalFormatting>
        <x14:conditionalFormatting xmlns:xm="http://schemas.microsoft.com/office/excel/2006/main">
          <x14:cfRule type="containsText" priority="9" operator="containsText" id="{CD87466D-5F3E-4704-BD97-87DB668A0A78}">
            <xm:f>NOT(ISERROR(SEARCH($I$5,G70)))</xm:f>
            <xm:f>$I$5</xm:f>
            <x14:dxf>
              <fill>
                <patternFill>
                  <bgColor rgb="FFFFFF00"/>
                </patternFill>
              </fill>
            </x14:dxf>
          </x14:cfRule>
          <xm:sqref>G70:V70 G72:V72</xm:sqref>
        </x14:conditionalFormatting>
        <x14:conditionalFormatting xmlns:xm="http://schemas.microsoft.com/office/excel/2006/main">
          <x14:cfRule type="containsText" priority="8" operator="containsText" id="{2D75B5A3-CCA8-48D5-B9B1-C60F1DDAB84A}">
            <xm:f>NOT(ISERROR(SEARCH($I$5,G74)))</xm:f>
            <xm:f>$I$5</xm:f>
            <x14:dxf>
              <fill>
                <patternFill>
                  <bgColor rgb="FFFFFF00"/>
                </patternFill>
              </fill>
            </x14:dxf>
          </x14:cfRule>
          <xm:sqref>G74:V74 G76:V76</xm:sqref>
        </x14:conditionalFormatting>
        <x14:conditionalFormatting xmlns:xm="http://schemas.microsoft.com/office/excel/2006/main">
          <x14:cfRule type="containsText" priority="7" operator="containsText" id="{64AD7C6E-0D67-4D43-8DB1-03CE9B0E2FFA}">
            <xm:f>NOT(ISERROR(SEARCH($I$5,G40)))</xm:f>
            <xm:f>$I$5</xm:f>
            <x14:dxf>
              <fill>
                <patternFill>
                  <bgColor rgb="FFFFFF00"/>
                </patternFill>
              </fill>
            </x14:dxf>
          </x14:cfRule>
          <xm:sqref>G40:V42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327B5-B222-4079-AD3A-CDA6F39C656F}">
  <sheetPr codeName="Sheet10">
    <pageSetUpPr fitToPage="1"/>
  </sheetPr>
  <dimension ref="A1:AM69"/>
  <sheetViews>
    <sheetView topLeftCell="A36" workbookViewId="0">
      <selection activeCell="S23" sqref="S23"/>
    </sheetView>
  </sheetViews>
  <sheetFormatPr defaultRowHeight="14.4" x14ac:dyDescent="0.3"/>
  <cols>
    <col min="1" max="1" width="3.6640625" style="32" customWidth="1"/>
    <col min="2" max="2" width="4.44140625" style="32" customWidth="1"/>
    <col min="3" max="3" width="19.33203125" customWidth="1"/>
    <col min="4" max="4" width="7.44140625" customWidth="1"/>
    <col min="5" max="5" width="5.5546875" customWidth="1"/>
    <col min="6" max="6" width="6.44140625" customWidth="1"/>
    <col min="7" max="7" width="5.33203125" style="32" customWidth="1"/>
    <col min="8" max="8" width="19.44140625" bestFit="1" customWidth="1"/>
    <col min="9" max="11" width="4.6640625" customWidth="1"/>
    <col min="12" max="12" width="5.6640625" customWidth="1"/>
    <col min="13" max="13" width="6" style="32" customWidth="1"/>
    <col min="14" max="14" width="19.33203125" customWidth="1"/>
    <col min="15" max="15" width="4.6640625" customWidth="1"/>
    <col min="16" max="16" width="7.33203125" customWidth="1"/>
    <col min="17" max="17" width="4.5546875" customWidth="1"/>
    <col min="23" max="24" width="5.88671875" customWidth="1"/>
    <col min="25" max="25" width="19.44140625" bestFit="1" customWidth="1"/>
    <col min="26" max="26" width="5.88671875" style="762" customWidth="1"/>
    <col min="27" max="27" width="8.44140625" customWidth="1"/>
    <col min="29" max="30" width="5.44140625" customWidth="1"/>
    <col min="31" max="31" width="19.44140625" bestFit="1" customWidth="1"/>
    <col min="32" max="32" width="6.109375" style="32" customWidth="1"/>
    <col min="35" max="36" width="5.6640625" customWidth="1"/>
    <col min="37" max="37" width="19.44140625" bestFit="1" customWidth="1"/>
    <col min="38" max="38" width="5.5546875" style="32" customWidth="1"/>
  </cols>
  <sheetData>
    <row r="1" spans="1:39" x14ac:dyDescent="0.3">
      <c r="D1" s="32"/>
      <c r="E1" s="32"/>
      <c r="J1" s="32"/>
      <c r="K1" s="32"/>
      <c r="P1" s="32"/>
      <c r="Q1" s="32"/>
      <c r="W1" s="32"/>
      <c r="X1" s="32"/>
      <c r="AC1" s="32"/>
      <c r="AD1" s="32"/>
      <c r="AI1" s="32"/>
      <c r="AJ1" s="32"/>
    </row>
    <row r="2" spans="1:39" s="751" customFormat="1" ht="15.6" x14ac:dyDescent="0.3">
      <c r="A2" s="122"/>
      <c r="B2" s="121" t="str">
        <f>'Event Details'!E5</f>
        <v>Heart of England League</v>
      </c>
      <c r="C2" s="750"/>
      <c r="D2" s="122"/>
      <c r="E2" s="122"/>
      <c r="F2" s="750" t="str">
        <f>'Event Details'!C17</f>
        <v>17th May 2026</v>
      </c>
      <c r="G2" s="122"/>
      <c r="H2" s="750"/>
      <c r="I2" s="750" t="s">
        <v>307</v>
      </c>
      <c r="J2" s="122">
        <f>'Event Details'!E9</f>
        <v>1</v>
      </c>
      <c r="K2" s="122"/>
      <c r="L2" s="750"/>
      <c r="M2" s="122" t="str">
        <f>'Event Details'!G17</f>
        <v>Rugby &amp; N'hampton</v>
      </c>
      <c r="N2" s="750"/>
      <c r="O2" s="750"/>
      <c r="P2" s="122"/>
      <c r="Q2" s="122"/>
      <c r="R2" s="750"/>
      <c r="S2" s="750"/>
      <c r="T2" s="750"/>
      <c r="U2" s="750"/>
      <c r="V2" s="750"/>
      <c r="W2" s="122"/>
      <c r="X2" s="122"/>
      <c r="Y2" s="750"/>
      <c r="Z2" s="763"/>
      <c r="AA2" s="750"/>
      <c r="AB2" s="750"/>
      <c r="AC2" s="122"/>
      <c r="AD2" s="122"/>
      <c r="AE2" s="750"/>
      <c r="AF2" s="122"/>
      <c r="AG2" s="750"/>
      <c r="AH2" s="750"/>
      <c r="AI2" s="122"/>
      <c r="AJ2" s="122"/>
      <c r="AK2" s="750"/>
      <c r="AL2" s="122"/>
      <c r="AM2" s="750"/>
    </row>
    <row r="3" spans="1:39" ht="15" thickBot="1" x14ac:dyDescent="0.35">
      <c r="D3" s="32"/>
      <c r="E3" s="32"/>
      <c r="J3" s="32"/>
      <c r="K3" s="32"/>
      <c r="P3" s="32"/>
      <c r="Q3" s="32"/>
      <c r="W3" s="32"/>
      <c r="X3" s="32"/>
      <c r="AC3" s="32"/>
      <c r="AD3" s="32"/>
      <c r="AI3" s="32"/>
      <c r="AJ3" s="32"/>
    </row>
    <row r="4" spans="1:39" x14ac:dyDescent="0.3">
      <c r="A4" s="758" t="s">
        <v>308</v>
      </c>
      <c r="B4" s="1425" t="s">
        <v>309</v>
      </c>
      <c r="C4" s="89" t="s">
        <v>479</v>
      </c>
      <c r="D4" s="49"/>
      <c r="E4" s="138"/>
      <c r="G4" s="1425" t="s">
        <v>309</v>
      </c>
      <c r="H4" s="89" t="s">
        <v>480</v>
      </c>
      <c r="I4" s="89"/>
      <c r="J4" s="49"/>
      <c r="K4" s="138"/>
      <c r="M4" s="1425" t="s">
        <v>309</v>
      </c>
      <c r="N4" s="89" t="s">
        <v>481</v>
      </c>
      <c r="O4" s="89"/>
      <c r="P4" s="49"/>
      <c r="Q4" s="138"/>
      <c r="W4" s="690" t="s">
        <v>308</v>
      </c>
      <c r="X4" s="691" t="s">
        <v>310</v>
      </c>
      <c r="Y4" s="692" t="s">
        <v>311</v>
      </c>
      <c r="Z4" s="764"/>
      <c r="AA4" s="694"/>
      <c r="AC4" s="690" t="s">
        <v>308</v>
      </c>
      <c r="AD4" s="691" t="s">
        <v>310</v>
      </c>
      <c r="AE4" s="695" t="s">
        <v>312</v>
      </c>
      <c r="AF4" s="732"/>
      <c r="AG4" s="694"/>
      <c r="AI4" s="690" t="s">
        <v>308</v>
      </c>
      <c r="AJ4" s="691" t="s">
        <v>310</v>
      </c>
      <c r="AK4" s="695" t="s">
        <v>313</v>
      </c>
      <c r="AL4" s="732"/>
      <c r="AM4" s="694"/>
    </row>
    <row r="5" spans="1:39" ht="15" thickBot="1" x14ac:dyDescent="0.35">
      <c r="A5" s="758"/>
      <c r="B5" s="1426"/>
      <c r="C5" s="115" t="s">
        <v>86</v>
      </c>
      <c r="D5" s="116" t="s">
        <v>314</v>
      </c>
      <c r="E5" s="523" t="s">
        <v>315</v>
      </c>
      <c r="G5" s="1426"/>
      <c r="H5" s="115" t="s">
        <v>86</v>
      </c>
      <c r="I5" s="115"/>
      <c r="J5" s="116" t="s">
        <v>314</v>
      </c>
      <c r="K5" s="523"/>
      <c r="M5" s="1426"/>
      <c r="N5" s="115" t="s">
        <v>86</v>
      </c>
      <c r="O5" s="115"/>
      <c r="P5" s="116" t="s">
        <v>314</v>
      </c>
      <c r="Q5" s="523"/>
      <c r="W5" s="696" t="s">
        <v>316</v>
      </c>
      <c r="X5" s="697" t="s">
        <v>316</v>
      </c>
      <c r="Y5" s="114" t="s">
        <v>86</v>
      </c>
      <c r="Z5" s="765" t="s">
        <v>314</v>
      </c>
      <c r="AA5" s="699"/>
      <c r="AC5" s="696" t="s">
        <v>316</v>
      </c>
      <c r="AD5" s="697" t="s">
        <v>316</v>
      </c>
      <c r="AE5" s="115" t="s">
        <v>86</v>
      </c>
      <c r="AF5" s="116" t="s">
        <v>314</v>
      </c>
      <c r="AG5" s="699"/>
      <c r="AH5" s="660"/>
      <c r="AI5" s="696" t="s">
        <v>316</v>
      </c>
      <c r="AJ5" s="697" t="s">
        <v>316</v>
      </c>
      <c r="AK5" s="115" t="s">
        <v>86</v>
      </c>
      <c r="AL5" s="116" t="s">
        <v>314</v>
      </c>
      <c r="AM5" s="699"/>
    </row>
    <row r="6" spans="1:39" x14ac:dyDescent="0.3">
      <c r="A6" s="32">
        <v>1</v>
      </c>
      <c r="B6" s="16">
        <f>'Event Details'!D32</f>
        <v>8</v>
      </c>
      <c r="C6" t="str">
        <f>VLOOKUP($A6,U11b,3,FALSE)</f>
        <v>Rugby &amp; N'hampton</v>
      </c>
      <c r="D6" s="32">
        <f>VLOOKUP($A6,U11b,4,FALSE)</f>
        <v>69</v>
      </c>
      <c r="E6" s="146">
        <f>IF(AND(D6&gt;0,D6&lt;&gt;""),SUMIF(D$6:D$13,D6,B$6:B$13)/COUNTIF(D$6:D$13,D6),0)</f>
        <v>8</v>
      </c>
      <c r="G6" s="653">
        <f>B6</f>
        <v>8</v>
      </c>
      <c r="H6" s="48" t="str">
        <f>VLOOKUP($A6,U13B,3,FALSE)</f>
        <v>BRAT</v>
      </c>
      <c r="I6" s="48"/>
      <c r="J6" s="49">
        <f>VLOOKUP($A6,U13B,4,FALSE)</f>
        <v>134</v>
      </c>
      <c r="K6" s="138"/>
      <c r="M6" s="653">
        <f>B6</f>
        <v>8</v>
      </c>
      <c r="N6" s="48" t="str">
        <f>VLOOKUP($A6,U15B,3,FALSE)</f>
        <v>BRAT</v>
      </c>
      <c r="O6" s="48"/>
      <c r="P6" s="49">
        <f>VLOOKUP($A6,U15B,4,FALSE)</f>
        <v>161</v>
      </c>
      <c r="Q6" s="138"/>
      <c r="W6" s="700">
        <f>RANK(Z6,Z$6:Z$13,0)+COUNTIF(Z$6:Z6,Z6)-1</f>
        <v>2</v>
      </c>
      <c r="X6" s="138">
        <f>'Results by Age Group'!$W48</f>
        <v>2</v>
      </c>
      <c r="Y6" s="4" t="str">
        <f>'Event Details'!E22</f>
        <v>BRAT</v>
      </c>
      <c r="Z6" s="766">
        <f>'Results by Age Group'!$W47</f>
        <v>64</v>
      </c>
      <c r="AA6" s="50" t="str">
        <f>'Event Details'!$H22</f>
        <v>BRAT</v>
      </c>
      <c r="AC6" s="701">
        <f>RANK(AF6,AF$6:AF$13,0)+COUNTIF(AF$6:AF6,AF6)-1</f>
        <v>1</v>
      </c>
      <c r="AD6" s="417">
        <f>'Results by Age Group'!$W151</f>
        <v>1</v>
      </c>
      <c r="AE6" t="str">
        <f>Y6</f>
        <v>BRAT</v>
      </c>
      <c r="AF6" s="32">
        <f>'Results by Age Group'!$W150</f>
        <v>134</v>
      </c>
      <c r="AG6" s="53" t="str">
        <f>'Event Details'!$H22</f>
        <v>BRAT</v>
      </c>
      <c r="AI6" s="701">
        <f>RANK(AL6,AL$6:AL$13,0)+COUNTIF(AL$6:AL6,AL6)-1</f>
        <v>1</v>
      </c>
      <c r="AJ6" s="417">
        <f>'Results by Age Group'!$W262</f>
        <v>1</v>
      </c>
      <c r="AK6" t="str">
        <f>AE6</f>
        <v>BRAT</v>
      </c>
      <c r="AL6" s="32">
        <f>'Results by Age Group'!$W261</f>
        <v>161</v>
      </c>
      <c r="AM6" s="53" t="str">
        <f>'Event Details'!$H22</f>
        <v>BRAT</v>
      </c>
    </row>
    <row r="7" spans="1:39" x14ac:dyDescent="0.3">
      <c r="A7" s="32">
        <v>2</v>
      </c>
      <c r="B7" s="16">
        <f>B6-1</f>
        <v>7</v>
      </c>
      <c r="C7" t="str">
        <f t="shared" ref="C7:C13" si="0">VLOOKUP($A7,U11b,3,FALSE)</f>
        <v>BRAT</v>
      </c>
      <c r="D7" s="32">
        <f t="shared" ref="D7:D13" si="1">VLOOKUP($A7,U11b,4,FALSE)</f>
        <v>64</v>
      </c>
      <c r="E7" s="146">
        <f t="shared" ref="E7:E13" si="2">IF(AND(D7&gt;0,D7&lt;&gt;""),SUMIF(D$6:D$13,D7,B$6:B$13)/COUNTIF(D$6:D$13,D7),0)</f>
        <v>7</v>
      </c>
      <c r="G7" s="16">
        <f t="shared" ref="G7:G13" si="3">B7</f>
        <v>7</v>
      </c>
      <c r="H7" t="str">
        <f t="shared" ref="H7:H13" si="4">VLOOKUP($A7,U13B,3,FALSE)</f>
        <v>Royal Sutton</v>
      </c>
      <c r="J7" s="32">
        <f t="shared" ref="J7:J13" si="5">VLOOKUP($A7,U13B,4,FALSE)</f>
        <v>131</v>
      </c>
      <c r="K7" s="146"/>
      <c r="M7" s="16">
        <f t="shared" ref="M7:M13" si="6">B7</f>
        <v>7</v>
      </c>
      <c r="N7" t="str">
        <f t="shared" ref="N7:N13" si="7">VLOOKUP($A7,U15B,3,FALSE)</f>
        <v>Stratford</v>
      </c>
      <c r="P7" s="32">
        <f t="shared" ref="P7:P13" si="8">VLOOKUP($A7,U15B,4,FALSE)</f>
        <v>124</v>
      </c>
      <c r="Q7" s="146"/>
      <c r="V7" s="32"/>
      <c r="W7" s="702">
        <f>RANK(Z7,Z$6:Z$13,0)+COUNTIF(Z$6:Z7,Z7)-1</f>
        <v>6</v>
      </c>
      <c r="X7" s="146">
        <f>'Results by Age Group'!$X48</f>
        <v>6</v>
      </c>
      <c r="Y7" s="51" t="str">
        <f>'Event Details'!E23</f>
        <v>Kidder &amp; Stourport</v>
      </c>
      <c r="Z7" s="762">
        <f>'Results by Age Group'!$X47</f>
        <v>37</v>
      </c>
      <c r="AA7" s="53" t="str">
        <f>'Event Details'!$H23</f>
        <v>K&amp;S</v>
      </c>
      <c r="AC7" s="703">
        <f>RANK(AF7,AF$6:AF$13,0)+COUNTIF(AF$6:AF7,AF7)-1</f>
        <v>7</v>
      </c>
      <c r="AD7" s="417">
        <f>'Results by Age Group'!$X151</f>
        <v>7</v>
      </c>
      <c r="AE7" t="str">
        <f t="shared" ref="AE7:AE13" si="9">Y7</f>
        <v>Kidder &amp; Stourport</v>
      </c>
      <c r="AF7" s="32">
        <f>'Results by Age Group'!$X150</f>
        <v>43</v>
      </c>
      <c r="AG7" s="53" t="str">
        <f>'Event Details'!$H23</f>
        <v>K&amp;S</v>
      </c>
      <c r="AI7" s="703">
        <f>RANK(AL7,AL$6:AL$13,0)+COUNTIF(AL$6:AL7,AL7)-1</f>
        <v>8</v>
      </c>
      <c r="AJ7" s="417">
        <f>'Results by Age Group'!$X262</f>
        <v>8</v>
      </c>
      <c r="AK7" t="str">
        <f t="shared" ref="AK7:AK13" si="10">AE7</f>
        <v>Kidder &amp; Stourport</v>
      </c>
      <c r="AL7" s="32">
        <f>'Results by Age Group'!$X261</f>
        <v>29</v>
      </c>
      <c r="AM7" s="53" t="str">
        <f>'Event Details'!$H23</f>
        <v>K&amp;S</v>
      </c>
    </row>
    <row r="8" spans="1:39" x14ac:dyDescent="0.3">
      <c r="A8" s="32">
        <v>3</v>
      </c>
      <c r="B8" s="16">
        <f t="shared" ref="B8:B11" si="11">B7-1</f>
        <v>6</v>
      </c>
      <c r="C8" t="str">
        <f t="shared" si="0"/>
        <v>Solihull &amp; S.Heath</v>
      </c>
      <c r="D8" s="32">
        <f t="shared" si="1"/>
        <v>56</v>
      </c>
      <c r="E8" s="146">
        <f t="shared" si="2"/>
        <v>6</v>
      </c>
      <c r="G8" s="16">
        <f t="shared" si="3"/>
        <v>6</v>
      </c>
      <c r="H8" t="str">
        <f t="shared" si="4"/>
        <v>Rugby &amp; N'hampton</v>
      </c>
      <c r="J8" s="32">
        <f t="shared" si="5"/>
        <v>120</v>
      </c>
      <c r="K8" s="146"/>
      <c r="M8" s="16">
        <f t="shared" si="6"/>
        <v>6</v>
      </c>
      <c r="N8" t="str">
        <f t="shared" si="7"/>
        <v>Rugby &amp; N'hampton</v>
      </c>
      <c r="P8" s="32">
        <f t="shared" si="8"/>
        <v>119</v>
      </c>
      <c r="Q8" s="146"/>
      <c r="V8" s="32"/>
      <c r="W8" s="702">
        <f>RANK(Z8,Z$6:Z$13,0)+COUNTIF(Z$6:Z8,Z8)-1</f>
        <v>7</v>
      </c>
      <c r="X8" s="146">
        <f>'Results by Age Group'!$Y48</f>
        <v>7</v>
      </c>
      <c r="Y8" s="51" t="str">
        <f>'Event Details'!E24</f>
        <v>Royal Sutton</v>
      </c>
      <c r="Z8" s="762">
        <f>'Results by Age Group'!$Y47</f>
        <v>34</v>
      </c>
      <c r="AA8" s="53" t="str">
        <f>'Event Details'!$H24</f>
        <v>Royal</v>
      </c>
      <c r="AC8" s="703">
        <f>RANK(AF8,AF$6:AF$13,0)+COUNTIF(AF$6:AF8,AF8)-1</f>
        <v>2</v>
      </c>
      <c r="AD8" s="417">
        <f>'Results by Age Group'!$Y151</f>
        <v>2</v>
      </c>
      <c r="AE8" t="str">
        <f t="shared" si="9"/>
        <v>Royal Sutton</v>
      </c>
      <c r="AF8" s="32">
        <f>'Results by Age Group'!$Y150</f>
        <v>131</v>
      </c>
      <c r="AG8" s="53" t="str">
        <f>'Event Details'!$H24</f>
        <v>Royal</v>
      </c>
      <c r="AI8" s="703">
        <f>RANK(AL8,AL$6:AL$13,0)+COUNTIF(AL$6:AL8,AL8)-1</f>
        <v>5</v>
      </c>
      <c r="AJ8" s="417">
        <f>'Results by Age Group'!$Y262</f>
        <v>5</v>
      </c>
      <c r="AK8" t="str">
        <f t="shared" si="10"/>
        <v>Royal Sutton</v>
      </c>
      <c r="AL8" s="32">
        <f>'Results by Age Group'!$Y261</f>
        <v>90</v>
      </c>
      <c r="AM8" s="53" t="str">
        <f>'Event Details'!$H24</f>
        <v>Royal</v>
      </c>
    </row>
    <row r="9" spans="1:39" x14ac:dyDescent="0.3">
      <c r="A9" s="32">
        <v>4</v>
      </c>
      <c r="B9" s="16">
        <f t="shared" si="11"/>
        <v>5</v>
      </c>
      <c r="C9" t="str">
        <f t="shared" si="0"/>
        <v>Stratford</v>
      </c>
      <c r="D9" s="32">
        <f t="shared" si="1"/>
        <v>55</v>
      </c>
      <c r="E9" s="146">
        <f t="shared" si="2"/>
        <v>5</v>
      </c>
      <c r="G9" s="16">
        <f t="shared" si="3"/>
        <v>5</v>
      </c>
      <c r="H9" t="str">
        <f t="shared" si="4"/>
        <v>Stratford</v>
      </c>
      <c r="J9" s="32">
        <f t="shared" si="5"/>
        <v>111</v>
      </c>
      <c r="K9" s="146"/>
      <c r="M9" s="16">
        <f t="shared" si="6"/>
        <v>5</v>
      </c>
      <c r="N9" t="str">
        <f t="shared" si="7"/>
        <v>Solihull &amp; S.Heath</v>
      </c>
      <c r="P9" s="32">
        <f t="shared" si="8"/>
        <v>119</v>
      </c>
      <c r="Q9" s="146"/>
      <c r="V9" s="32"/>
      <c r="W9" s="702">
        <f>RANK(Z9,Z$6:Z$13,0)+COUNTIF(Z$6:Z9,Z9)-1</f>
        <v>1</v>
      </c>
      <c r="X9" s="146">
        <f>'Results by Age Group'!$Z48</f>
        <v>1</v>
      </c>
      <c r="Y9" s="51" t="str">
        <f>'Event Details'!E25</f>
        <v>Rugby &amp; N'hampton</v>
      </c>
      <c r="Z9" s="762">
        <f>'Results by Age Group'!$Z47</f>
        <v>69</v>
      </c>
      <c r="AA9" s="53" t="str">
        <f>'Event Details'!$H25</f>
        <v>Rugby</v>
      </c>
      <c r="AC9" s="703">
        <f>RANK(AF9,AF$6:AF$13,0)+COUNTIF(AF$6:AF9,AF9)-1</f>
        <v>3</v>
      </c>
      <c r="AD9" s="417">
        <f>'Results by Age Group'!$Z151</f>
        <v>3</v>
      </c>
      <c r="AE9" t="str">
        <f t="shared" si="9"/>
        <v>Rugby &amp; N'hampton</v>
      </c>
      <c r="AF9" s="32">
        <f>'Results by Age Group'!$Z150</f>
        <v>120</v>
      </c>
      <c r="AG9" s="53" t="str">
        <f>'Event Details'!$H25</f>
        <v>Rugby</v>
      </c>
      <c r="AI9" s="703">
        <f>RANK(AL9,AL$6:AL$13,0)+COUNTIF(AL$6:AL9,AL9)-1</f>
        <v>3</v>
      </c>
      <c r="AJ9" s="417">
        <f>'Results by Age Group'!$Z262</f>
        <v>3</v>
      </c>
      <c r="AK9" t="str">
        <f t="shared" si="10"/>
        <v>Rugby &amp; N'hampton</v>
      </c>
      <c r="AL9" s="32">
        <f>'Results by Age Group'!$Z261</f>
        <v>119</v>
      </c>
      <c r="AM9" s="53" t="str">
        <f>'Event Details'!$H25</f>
        <v>Rugby</v>
      </c>
    </row>
    <row r="10" spans="1:39" x14ac:dyDescent="0.3">
      <c r="A10" s="32">
        <v>5</v>
      </c>
      <c r="B10" s="16">
        <f t="shared" si="11"/>
        <v>4</v>
      </c>
      <c r="C10" t="str">
        <f t="shared" si="0"/>
        <v>Worcester</v>
      </c>
      <c r="D10" s="32">
        <f t="shared" si="1"/>
        <v>53</v>
      </c>
      <c r="E10" s="146">
        <f t="shared" si="2"/>
        <v>4</v>
      </c>
      <c r="G10" s="16">
        <f t="shared" si="3"/>
        <v>4</v>
      </c>
      <c r="H10" t="str">
        <f t="shared" si="4"/>
        <v>Solihull &amp; S.Heath</v>
      </c>
      <c r="J10" s="32">
        <f t="shared" si="5"/>
        <v>91</v>
      </c>
      <c r="K10" s="146"/>
      <c r="M10" s="16">
        <f t="shared" si="6"/>
        <v>4</v>
      </c>
      <c r="N10" t="str">
        <f t="shared" si="7"/>
        <v>Royal Sutton</v>
      </c>
      <c r="P10" s="32">
        <f t="shared" si="8"/>
        <v>90</v>
      </c>
      <c r="Q10" s="146"/>
      <c r="V10" s="32"/>
      <c r="W10" s="702">
        <f>RANK(Z10,Z$6:Z$13,0)+COUNTIF(Z$6:Z10,Z10)-1</f>
        <v>3</v>
      </c>
      <c r="X10" s="146">
        <f>'Results by Age Group'!$AA48</f>
        <v>3</v>
      </c>
      <c r="Y10" s="51" t="str">
        <f>'Event Details'!E26</f>
        <v>Solihull &amp; S.Heath</v>
      </c>
      <c r="Z10" s="762">
        <f>'Results by Age Group'!$AA47</f>
        <v>56</v>
      </c>
      <c r="AA10" s="53" t="str">
        <f>'Event Details'!$H26</f>
        <v>Sol</v>
      </c>
      <c r="AC10" s="703">
        <f>RANK(AF10,AF$6:AF$13,0)+COUNTIF(AF$6:AF10,AF10)-1</f>
        <v>5</v>
      </c>
      <c r="AD10" s="417">
        <f>'Results by Age Group'!$AA151</f>
        <v>5</v>
      </c>
      <c r="AE10" t="str">
        <f t="shared" si="9"/>
        <v>Solihull &amp; S.Heath</v>
      </c>
      <c r="AF10" s="32">
        <f>'Results by Age Group'!$AA150</f>
        <v>91</v>
      </c>
      <c r="AG10" s="53" t="str">
        <f>'Event Details'!$H26</f>
        <v>Sol</v>
      </c>
      <c r="AI10" s="703">
        <f>RANK(AL10,AL$6:AL$13,0)+COUNTIF(AL$6:AL10,AL10)-1</f>
        <v>4</v>
      </c>
      <c r="AJ10" s="417">
        <f>'Results by Age Group'!$AA262</f>
        <v>3</v>
      </c>
      <c r="AK10" t="str">
        <f t="shared" si="10"/>
        <v>Solihull &amp; S.Heath</v>
      </c>
      <c r="AL10" s="32">
        <f>'Results by Age Group'!$AA261</f>
        <v>119</v>
      </c>
      <c r="AM10" s="53" t="str">
        <f>'Event Details'!$H26</f>
        <v>Sol</v>
      </c>
    </row>
    <row r="11" spans="1:39" x14ac:dyDescent="0.3">
      <c r="A11" s="32">
        <v>6</v>
      </c>
      <c r="B11" s="16">
        <f t="shared" si="11"/>
        <v>3</v>
      </c>
      <c r="C11" t="str">
        <f t="shared" si="0"/>
        <v>Kidder &amp; Stourport</v>
      </c>
      <c r="D11" s="32">
        <f t="shared" si="1"/>
        <v>37</v>
      </c>
      <c r="E11" s="146">
        <f t="shared" si="2"/>
        <v>3</v>
      </c>
      <c r="G11" s="16">
        <f t="shared" si="3"/>
        <v>3</v>
      </c>
      <c r="H11" t="str">
        <f t="shared" si="4"/>
        <v>Worcester</v>
      </c>
      <c r="J11" s="32">
        <f t="shared" si="5"/>
        <v>46</v>
      </c>
      <c r="K11" s="146"/>
      <c r="M11" s="16">
        <f t="shared" si="6"/>
        <v>3</v>
      </c>
      <c r="N11" t="str">
        <f t="shared" si="7"/>
        <v>Worcester</v>
      </c>
      <c r="P11" s="32">
        <f t="shared" si="8"/>
        <v>77</v>
      </c>
      <c r="Q11" s="146"/>
      <c r="V11" s="32"/>
      <c r="W11" s="702">
        <f>RANK(Z11,Z$6:Z$13,0)+COUNTIF(Z$6:Z11,Z11)-1</f>
        <v>4</v>
      </c>
      <c r="X11" s="146">
        <f>'Results by Age Group'!$AB48</f>
        <v>4</v>
      </c>
      <c r="Y11" s="51" t="str">
        <f>'Event Details'!E27</f>
        <v>Stratford</v>
      </c>
      <c r="Z11" s="762">
        <f>'Results by Age Group'!$AB47</f>
        <v>55</v>
      </c>
      <c r="AA11" s="53" t="str">
        <f>'Event Details'!$H27</f>
        <v>Strat</v>
      </c>
      <c r="AC11" s="703">
        <f>RANK(AF11,AF$6:AF$13,0)+COUNTIF(AF$6:AF11,AF11)-1</f>
        <v>4</v>
      </c>
      <c r="AD11" s="417">
        <f>'Results by Age Group'!$AB151</f>
        <v>4</v>
      </c>
      <c r="AE11" t="str">
        <f t="shared" si="9"/>
        <v>Stratford</v>
      </c>
      <c r="AF11" s="32">
        <f>'Results by Age Group'!$AB150</f>
        <v>111</v>
      </c>
      <c r="AG11" s="53" t="str">
        <f>'Event Details'!$H27</f>
        <v>Strat</v>
      </c>
      <c r="AI11" s="703">
        <f>RANK(AL11,AL$6:AL$13,0)+COUNTIF(AL$6:AL11,AL11)-1</f>
        <v>2</v>
      </c>
      <c r="AJ11" s="417">
        <f>'Results by Age Group'!$AB262</f>
        <v>2</v>
      </c>
      <c r="AK11" t="str">
        <f t="shared" si="10"/>
        <v>Stratford</v>
      </c>
      <c r="AL11" s="32">
        <f>'Results by Age Group'!$AB261</f>
        <v>124</v>
      </c>
      <c r="AM11" s="53" t="str">
        <f>'Event Details'!$H27</f>
        <v>Strat</v>
      </c>
    </row>
    <row r="12" spans="1:39" x14ac:dyDescent="0.3">
      <c r="A12" s="32">
        <v>7</v>
      </c>
      <c r="B12" s="16">
        <f>IF(B11&lt;=1,0,B11-1)</f>
        <v>2</v>
      </c>
      <c r="C12" t="str">
        <f t="shared" si="0"/>
        <v>Royal Sutton</v>
      </c>
      <c r="D12" s="32">
        <f t="shared" si="1"/>
        <v>34</v>
      </c>
      <c r="E12" s="146">
        <f t="shared" si="2"/>
        <v>2</v>
      </c>
      <c r="G12" s="16">
        <f t="shared" si="3"/>
        <v>2</v>
      </c>
      <c r="H12" t="str">
        <f t="shared" si="4"/>
        <v>Kidder &amp; Stourport</v>
      </c>
      <c r="J12" s="32">
        <f t="shared" si="5"/>
        <v>43</v>
      </c>
      <c r="K12" s="146"/>
      <c r="M12" s="16">
        <f t="shared" si="6"/>
        <v>2</v>
      </c>
      <c r="N12" t="str">
        <f t="shared" si="7"/>
        <v>Tamworth</v>
      </c>
      <c r="P12" s="32">
        <f t="shared" si="8"/>
        <v>63</v>
      </c>
      <c r="Q12" s="146"/>
      <c r="V12" s="32"/>
      <c r="W12" s="702">
        <f>RANK(Z12,Z$6:Z$13,0)+COUNTIF(Z$6:Z12,Z12)-1</f>
        <v>8</v>
      </c>
      <c r="X12" s="146">
        <f>'Results by Age Group'!$AC48</f>
        <v>8</v>
      </c>
      <c r="Y12" s="51" t="str">
        <f>'Event Details'!E28</f>
        <v>Tamworth</v>
      </c>
      <c r="Z12" s="762">
        <f>'Results by Age Group'!$AC47</f>
        <v>14</v>
      </c>
      <c r="AA12" s="53" t="str">
        <f>'Event Details'!$H28</f>
        <v>Tam</v>
      </c>
      <c r="AC12" s="703">
        <f>RANK(AF12,AF$6:AF$13,0)+COUNTIF(AF$6:AF12,AF12)-1</f>
        <v>8</v>
      </c>
      <c r="AD12" s="417">
        <f>'Results by Age Group'!$AC151</f>
        <v>8</v>
      </c>
      <c r="AE12" t="str">
        <f t="shared" si="9"/>
        <v>Tamworth</v>
      </c>
      <c r="AF12" s="32">
        <f>'Results by Age Group'!$AC150</f>
        <v>41</v>
      </c>
      <c r="AG12" s="53" t="str">
        <f>'Event Details'!$H28</f>
        <v>Tam</v>
      </c>
      <c r="AI12" s="703">
        <f>RANK(AL12,AL$6:AL$13,0)+COUNTIF(AL$6:AL12,AL12)-1</f>
        <v>7</v>
      </c>
      <c r="AJ12" s="417">
        <f>'Results by Age Group'!$AC262</f>
        <v>7</v>
      </c>
      <c r="AK12" t="str">
        <f t="shared" si="10"/>
        <v>Tamworth</v>
      </c>
      <c r="AL12" s="32">
        <f>'Results by Age Group'!$AC261</f>
        <v>63</v>
      </c>
      <c r="AM12" s="53" t="str">
        <f>'Event Details'!$H28</f>
        <v>Tam</v>
      </c>
    </row>
    <row r="13" spans="1:39" ht="15" thickBot="1" x14ac:dyDescent="0.35">
      <c r="A13" s="32">
        <v>8</v>
      </c>
      <c r="B13" s="25">
        <f>IF(B12&lt;=1,0,B12-1)</f>
        <v>1</v>
      </c>
      <c r="C13" s="115" t="str">
        <f t="shared" si="0"/>
        <v>Tamworth</v>
      </c>
      <c r="D13" s="116">
        <f t="shared" si="1"/>
        <v>14</v>
      </c>
      <c r="E13" s="523">
        <f t="shared" si="2"/>
        <v>1</v>
      </c>
      <c r="G13" s="25">
        <f t="shared" si="3"/>
        <v>1</v>
      </c>
      <c r="H13" s="115" t="str">
        <f t="shared" si="4"/>
        <v>Tamworth</v>
      </c>
      <c r="I13" s="115"/>
      <c r="J13" s="116">
        <f t="shared" si="5"/>
        <v>41</v>
      </c>
      <c r="K13" s="523"/>
      <c r="M13" s="25">
        <f t="shared" si="6"/>
        <v>1</v>
      </c>
      <c r="N13" s="115" t="str">
        <f t="shared" si="7"/>
        <v>Kidder &amp; Stourport</v>
      </c>
      <c r="O13" s="115"/>
      <c r="P13" s="116">
        <f t="shared" si="8"/>
        <v>29</v>
      </c>
      <c r="Q13" s="523"/>
      <c r="V13" s="32"/>
      <c r="W13" s="704">
        <f>RANK(Z13,Z$6:Z$13,0)+COUNTIF(Z$6:Z13,Z13)-1</f>
        <v>5</v>
      </c>
      <c r="X13" s="523">
        <f>'Results by Age Group'!$AD48</f>
        <v>5</v>
      </c>
      <c r="Y13" s="114" t="str">
        <f>'Event Details'!E29</f>
        <v>Worcester</v>
      </c>
      <c r="Z13" s="765">
        <f>'Results by Age Group'!$AD47</f>
        <v>53</v>
      </c>
      <c r="AA13" s="117" t="str">
        <f>'Event Details'!$H29</f>
        <v>Worc</v>
      </c>
      <c r="AC13" s="705">
        <f>RANK(AF13,AF$6:AF$13,0)+COUNTIF(AF$6:AF13,AF13)-1</f>
        <v>6</v>
      </c>
      <c r="AD13" s="418">
        <f>'Results by Age Group'!$AD151</f>
        <v>6</v>
      </c>
      <c r="AE13" s="115" t="str">
        <f t="shared" si="9"/>
        <v>Worcester</v>
      </c>
      <c r="AF13" s="116">
        <f>'Results by Age Group'!$AD150</f>
        <v>46</v>
      </c>
      <c r="AG13" s="117" t="str">
        <f>'Event Details'!$H29</f>
        <v>Worc</v>
      </c>
      <c r="AI13" s="705">
        <f>RANK(AL13,AL$6:AL$13,0)+COUNTIF(AL$6:AL13,AL13)-1</f>
        <v>6</v>
      </c>
      <c r="AJ13" s="418">
        <f>'Results by Age Group'!$AD262</f>
        <v>6</v>
      </c>
      <c r="AK13" s="115" t="str">
        <f t="shared" si="10"/>
        <v>Worcester</v>
      </c>
      <c r="AL13" s="116">
        <f>'Results by Age Group'!$AD261</f>
        <v>77</v>
      </c>
      <c r="AM13" s="117" t="str">
        <f>'Event Details'!$H29</f>
        <v>Worc</v>
      </c>
    </row>
    <row r="14" spans="1:39" x14ac:dyDescent="0.3">
      <c r="D14" s="32"/>
      <c r="E14" s="32">
        <f>SUM(E6:E13)</f>
        <v>36</v>
      </c>
      <c r="J14" s="32"/>
      <c r="K14" s="32">
        <f>SUM(K6:K13)</f>
        <v>0</v>
      </c>
      <c r="P14" s="32"/>
      <c r="Q14" s="32">
        <f>SUM(Q6:Q13)</f>
        <v>0</v>
      </c>
      <c r="W14" s="32"/>
      <c r="X14" s="32"/>
      <c r="Y14">
        <v>1</v>
      </c>
      <c r="AC14" s="32"/>
      <c r="AD14" s="32"/>
      <c r="AI14" s="32"/>
      <c r="AJ14" s="32"/>
    </row>
    <row r="15" spans="1:39" x14ac:dyDescent="0.3">
      <c r="D15" s="32"/>
      <c r="E15" s="32"/>
      <c r="J15" s="32"/>
      <c r="K15" s="32"/>
      <c r="P15" s="32"/>
      <c r="Q15" s="32"/>
      <c r="W15" s="32"/>
      <c r="X15" s="32"/>
      <c r="AC15" s="32"/>
      <c r="AD15" s="32"/>
      <c r="AI15" s="32"/>
      <c r="AJ15" s="32"/>
    </row>
    <row r="16" spans="1:39" ht="15" thickBot="1" x14ac:dyDescent="0.35">
      <c r="D16" s="32"/>
      <c r="E16" s="32"/>
      <c r="J16" s="32"/>
      <c r="K16" s="32"/>
      <c r="P16" s="32"/>
      <c r="Q16" s="32"/>
      <c r="W16" s="32"/>
      <c r="X16" s="32"/>
      <c r="AC16" s="32"/>
      <c r="AD16" s="32"/>
      <c r="AI16" s="32"/>
      <c r="AJ16" s="32"/>
    </row>
    <row r="17" spans="1:39" x14ac:dyDescent="0.3">
      <c r="A17" s="758" t="s">
        <v>308</v>
      </c>
      <c r="B17" s="1425" t="s">
        <v>309</v>
      </c>
      <c r="C17" s="89" t="s">
        <v>482</v>
      </c>
      <c r="D17" s="49"/>
      <c r="E17" s="138"/>
      <c r="G17" s="1431" t="s">
        <v>309</v>
      </c>
      <c r="H17" s="706" t="s">
        <v>317</v>
      </c>
      <c r="I17" s="707"/>
      <c r="J17" s="707" t="s">
        <v>318</v>
      </c>
      <c r="K17" s="709"/>
      <c r="M17" s="653"/>
      <c r="N17" s="89" t="s">
        <v>319</v>
      </c>
      <c r="O17" s="89"/>
      <c r="P17" s="49"/>
      <c r="Q17" s="138"/>
      <c r="W17" s="690" t="s">
        <v>308</v>
      </c>
      <c r="X17" s="691" t="s">
        <v>310</v>
      </c>
      <c r="Y17" s="692" t="s">
        <v>244</v>
      </c>
      <c r="Z17" s="764"/>
      <c r="AA17" s="694"/>
      <c r="AC17" s="690" t="s">
        <v>308</v>
      </c>
      <c r="AD17" s="691" t="s">
        <v>310</v>
      </c>
      <c r="AE17" s="692" t="s">
        <v>320</v>
      </c>
      <c r="AF17" s="710" t="s">
        <v>318</v>
      </c>
      <c r="AG17" s="693"/>
      <c r="AH17" s="694"/>
      <c r="AI17" s="32"/>
      <c r="AJ17" s="32"/>
    </row>
    <row r="18" spans="1:39" ht="15" thickBot="1" x14ac:dyDescent="0.35">
      <c r="A18" s="758" t="s">
        <v>321</v>
      </c>
      <c r="B18" s="1426"/>
      <c r="C18" s="115" t="s">
        <v>86</v>
      </c>
      <c r="D18" s="116" t="s">
        <v>314</v>
      </c>
      <c r="E18" s="523"/>
      <c r="G18" s="1432"/>
      <c r="H18" s="711" t="s">
        <v>86</v>
      </c>
      <c r="I18" s="712"/>
      <c r="J18" s="712" t="s">
        <v>322</v>
      </c>
      <c r="K18" s="714"/>
      <c r="M18" s="25"/>
      <c r="N18" s="715"/>
      <c r="O18" s="715"/>
      <c r="P18" s="116"/>
      <c r="Q18" s="523"/>
      <c r="W18" s="696" t="s">
        <v>316</v>
      </c>
      <c r="X18" s="697" t="s">
        <v>316</v>
      </c>
      <c r="Y18" s="114" t="s">
        <v>86</v>
      </c>
      <c r="Z18" s="765" t="s">
        <v>314</v>
      </c>
      <c r="AA18" s="699"/>
      <c r="AC18" s="716" t="s">
        <v>316</v>
      </c>
      <c r="AD18" s="697" t="s">
        <v>316</v>
      </c>
      <c r="AE18" s="114" t="s">
        <v>86</v>
      </c>
      <c r="AF18" s="717" t="s">
        <v>322</v>
      </c>
      <c r="AG18" s="698" t="s">
        <v>314</v>
      </c>
      <c r="AH18" s="699"/>
      <c r="AI18" s="32"/>
      <c r="AJ18" s="32"/>
    </row>
    <row r="19" spans="1:39" x14ac:dyDescent="0.3">
      <c r="A19" s="32">
        <v>1</v>
      </c>
      <c r="B19" s="653">
        <f>B6</f>
        <v>8</v>
      </c>
      <c r="C19" s="48" t="str">
        <f>VLOOKUP($A19,U17M,3,FALSE)</f>
        <v>Stratford</v>
      </c>
      <c r="D19" s="49">
        <f>VLOOKUP($A19,U17M,4,FALSE)</f>
        <v>124</v>
      </c>
      <c r="E19" s="146"/>
      <c r="G19" s="752">
        <f>B6</f>
        <v>8</v>
      </c>
      <c r="H19" s="718" t="str">
        <f>VLOOKUP($A19,MenTot,3,FALSE)</f>
        <v>BRAT</v>
      </c>
      <c r="I19" s="708"/>
      <c r="J19" s="708">
        <f t="shared" ref="J19:J26" si="12">VLOOKUP(A19,MenTot,4,FALSE)</f>
        <v>415</v>
      </c>
      <c r="K19" s="709"/>
      <c r="M19" s="16"/>
      <c r="N19" s="228" t="s">
        <v>323</v>
      </c>
      <c r="O19" s="228"/>
      <c r="P19" s="32"/>
      <c r="Q19" s="146"/>
      <c r="W19" s="700">
        <f>RANK(Z19,Z$19:Z$26,0)+COUNTIF(Z$19:Z19,Z19)-1</f>
        <v>3</v>
      </c>
      <c r="X19" s="49">
        <f>'Results by Age Group'!$W376</f>
        <v>3</v>
      </c>
      <c r="Y19" s="51" t="str">
        <f t="shared" ref="Y19:Y26" si="13">Y6</f>
        <v>BRAT</v>
      </c>
      <c r="Z19" s="762">
        <f>'Results by Age Group'!$W375</f>
        <v>56</v>
      </c>
      <c r="AA19" s="53" t="str">
        <f>'Event Details'!$H22</f>
        <v>BRAT</v>
      </c>
      <c r="AC19" s="719">
        <f>RANK(AF19,AF$19:AF$26,0)+COUNTIF(AF$19:AF19,AF19)-1</f>
        <v>1</v>
      </c>
      <c r="AD19" s="138">
        <f>RANK(AF19,AF$19:AF$26)</f>
        <v>1</v>
      </c>
      <c r="AE19" s="51" t="str">
        <f>Y19</f>
        <v>BRAT</v>
      </c>
      <c r="AF19" s="32">
        <f t="shared" ref="AF19:AF26" si="14">VLOOKUP(AE19,U11BSum,2,FALSE)+VLOOKUP(AE19,U13BSum,3,FALSE)+VLOOKUP(AE19,U15BSum,3,FALSE)+VLOOKUP(AE19,U17MSum,2,FALSE)</f>
        <v>415</v>
      </c>
      <c r="AG19">
        <f t="shared" ref="AG19:AG26" si="15">VLOOKUP(AE19,U13BSum,4,FALSE)+VLOOKUP(AE19,U15BSum,4,FALSE)+VLOOKUP(AE19,U17MSum,3,FALSE)</f>
        <v>0</v>
      </c>
      <c r="AH19" s="53" t="str">
        <f>'Event Details'!$H22</f>
        <v>BRAT</v>
      </c>
      <c r="AI19" s="32"/>
      <c r="AJ19" s="32"/>
    </row>
    <row r="20" spans="1:39" x14ac:dyDescent="0.3">
      <c r="A20" s="32">
        <v>2</v>
      </c>
      <c r="B20" s="16">
        <f t="shared" ref="B20:B26" si="16">B7</f>
        <v>7</v>
      </c>
      <c r="C20" t="str">
        <f t="shared" ref="C20:C26" si="17">VLOOKUP($A20,U17M,3,FALSE)</f>
        <v>Kidder &amp; Stourport</v>
      </c>
      <c r="D20" s="32">
        <f t="shared" ref="D20:D26" si="18">VLOOKUP($A20,U17M,4,FALSE)</f>
        <v>57</v>
      </c>
      <c r="E20" s="146"/>
      <c r="G20" s="753">
        <f t="shared" ref="G20:G26" si="19">B7</f>
        <v>7</v>
      </c>
      <c r="H20" s="720" t="str">
        <f t="shared" ref="H20:H26" si="20">VLOOKUP($A20,MenTot,3,FALSE)</f>
        <v>Stratford</v>
      </c>
      <c r="I20" s="721"/>
      <c r="J20" s="721">
        <f t="shared" si="12"/>
        <v>414</v>
      </c>
      <c r="K20" s="722"/>
      <c r="M20" s="16"/>
      <c r="N20" t="s">
        <v>324</v>
      </c>
      <c r="P20" s="32"/>
      <c r="Q20" s="146"/>
      <c r="W20" s="702">
        <f>RANK(Z20,Z$19:Z$26,0)+COUNTIF(Z$19:Z20,Z20)-1</f>
        <v>2</v>
      </c>
      <c r="X20" s="32">
        <f>'Results by Age Group'!$X376</f>
        <v>2</v>
      </c>
      <c r="Y20" s="51" t="str">
        <f t="shared" si="13"/>
        <v>Kidder &amp; Stourport</v>
      </c>
      <c r="Z20" s="762">
        <f>'Results by Age Group'!$X375</f>
        <v>57</v>
      </c>
      <c r="AA20" s="53" t="str">
        <f>'Event Details'!$H23</f>
        <v>K&amp;S</v>
      </c>
      <c r="AC20" s="702">
        <f>RANK(AF20,AF$19:AF$26,0)+COUNTIF(AF$19:AF20,AF20)-1</f>
        <v>7</v>
      </c>
      <c r="AD20" s="146">
        <f t="shared" ref="AD20:AD26" si="21">RANK(AF20,AF$19:AF$26)</f>
        <v>7</v>
      </c>
      <c r="AE20" s="51" t="str">
        <f t="shared" ref="AE20:AE26" si="22">Y20</f>
        <v>Kidder &amp; Stourport</v>
      </c>
      <c r="AF20" s="32">
        <f t="shared" si="14"/>
        <v>166</v>
      </c>
      <c r="AG20">
        <f t="shared" si="15"/>
        <v>0</v>
      </c>
      <c r="AH20" s="53" t="str">
        <f>'Event Details'!$H23</f>
        <v>K&amp;S</v>
      </c>
      <c r="AI20" s="32"/>
      <c r="AJ20" s="32"/>
    </row>
    <row r="21" spans="1:39" x14ac:dyDescent="0.3">
      <c r="A21" s="32">
        <v>3</v>
      </c>
      <c r="B21" s="16">
        <f t="shared" si="16"/>
        <v>6</v>
      </c>
      <c r="C21" t="str">
        <f t="shared" si="17"/>
        <v>BRAT</v>
      </c>
      <c r="D21" s="32">
        <f t="shared" si="18"/>
        <v>56</v>
      </c>
      <c r="E21" s="146"/>
      <c r="G21" s="753">
        <f t="shared" si="19"/>
        <v>6</v>
      </c>
      <c r="H21" s="720" t="str">
        <f t="shared" si="20"/>
        <v>Rugby &amp; N'hampton</v>
      </c>
      <c r="I21" s="721"/>
      <c r="J21" s="721">
        <f t="shared" si="12"/>
        <v>361</v>
      </c>
      <c r="K21" s="722"/>
      <c r="M21" s="16"/>
      <c r="N21" t="s">
        <v>325</v>
      </c>
      <c r="P21" s="32"/>
      <c r="Q21" s="146"/>
      <c r="W21" s="702">
        <f>RANK(Z21,Z$19:Z$26,0)+COUNTIF(Z$19:Z21,Z21)-1</f>
        <v>6</v>
      </c>
      <c r="X21" s="32">
        <f>'Results by Age Group'!$Y376</f>
        <v>6</v>
      </c>
      <c r="Y21" s="51" t="str">
        <f t="shared" si="13"/>
        <v>Royal Sutton</v>
      </c>
      <c r="Z21" s="762">
        <f>'Results by Age Group'!$Y375</f>
        <v>51</v>
      </c>
      <c r="AA21" s="53" t="str">
        <f>'Event Details'!$H24</f>
        <v>Royal</v>
      </c>
      <c r="AC21" s="702">
        <f>RANK(AF21,AF$19:AF$26,0)+COUNTIF(AF$19:AF21,AF21)-1</f>
        <v>5</v>
      </c>
      <c r="AD21" s="146">
        <f t="shared" si="21"/>
        <v>5</v>
      </c>
      <c r="AE21" s="51" t="str">
        <f t="shared" si="22"/>
        <v>Royal Sutton</v>
      </c>
      <c r="AF21" s="32">
        <f t="shared" si="14"/>
        <v>306</v>
      </c>
      <c r="AG21">
        <f t="shared" si="15"/>
        <v>0</v>
      </c>
      <c r="AH21" s="53" t="str">
        <f>'Event Details'!$H24</f>
        <v>Royal</v>
      </c>
      <c r="AI21" s="32"/>
      <c r="AJ21" s="32"/>
    </row>
    <row r="22" spans="1:39" x14ac:dyDescent="0.3">
      <c r="A22" s="32">
        <v>4</v>
      </c>
      <c r="B22" s="16">
        <f t="shared" si="16"/>
        <v>5</v>
      </c>
      <c r="C22" t="str">
        <f t="shared" si="17"/>
        <v>Rugby &amp; N'hampton</v>
      </c>
      <c r="D22" s="32">
        <f t="shared" si="18"/>
        <v>53</v>
      </c>
      <c r="E22" s="146"/>
      <c r="G22" s="753">
        <f t="shared" si="19"/>
        <v>5</v>
      </c>
      <c r="H22" s="720" t="str">
        <f t="shared" si="20"/>
        <v>Solihull &amp; S.Heath</v>
      </c>
      <c r="I22" s="721"/>
      <c r="J22" s="721">
        <f t="shared" si="12"/>
        <v>319</v>
      </c>
      <c r="K22" s="722"/>
      <c r="M22" s="16"/>
      <c r="N22" t="s">
        <v>326</v>
      </c>
      <c r="P22" s="32"/>
      <c r="Q22" s="146"/>
      <c r="W22" s="702">
        <f>RANK(Z22,Z$19:Z$26,0)+COUNTIF(Z$19:Z22,Z22)-1</f>
        <v>4</v>
      </c>
      <c r="X22" s="32">
        <f>'Results by Age Group'!$Z376</f>
        <v>4</v>
      </c>
      <c r="Y22" s="51" t="str">
        <f t="shared" si="13"/>
        <v>Rugby &amp; N'hampton</v>
      </c>
      <c r="Z22" s="762">
        <f>'Results by Age Group'!$Z375</f>
        <v>53</v>
      </c>
      <c r="AA22" s="53" t="str">
        <f>'Event Details'!$H25</f>
        <v>Rugby</v>
      </c>
      <c r="AC22" s="702">
        <f>RANK(AF22,AF$19:AF$26,0)+COUNTIF(AF$19:AF22,AF22)-1</f>
        <v>3</v>
      </c>
      <c r="AD22" s="146">
        <f t="shared" si="21"/>
        <v>3</v>
      </c>
      <c r="AE22" s="51" t="str">
        <f t="shared" si="22"/>
        <v>Rugby &amp; N'hampton</v>
      </c>
      <c r="AF22" s="32">
        <f t="shared" si="14"/>
        <v>361</v>
      </c>
      <c r="AG22">
        <f t="shared" si="15"/>
        <v>0</v>
      </c>
      <c r="AH22" s="53" t="str">
        <f>'Event Details'!$H25</f>
        <v>Rugby</v>
      </c>
      <c r="AI22" s="32"/>
      <c r="AJ22" s="32"/>
    </row>
    <row r="23" spans="1:39" x14ac:dyDescent="0.3">
      <c r="A23" s="32">
        <v>5</v>
      </c>
      <c r="B23" s="16">
        <f t="shared" si="16"/>
        <v>4</v>
      </c>
      <c r="C23" t="str">
        <f t="shared" si="17"/>
        <v>Solihull &amp; S.Heath</v>
      </c>
      <c r="D23" s="32">
        <f t="shared" si="18"/>
        <v>53</v>
      </c>
      <c r="E23" s="146"/>
      <c r="G23" s="753">
        <f t="shared" si="19"/>
        <v>4</v>
      </c>
      <c r="H23" s="720" t="str">
        <f t="shared" si="20"/>
        <v>Royal Sutton</v>
      </c>
      <c r="I23" s="721"/>
      <c r="J23" s="721">
        <f t="shared" si="12"/>
        <v>306</v>
      </c>
      <c r="K23" s="722"/>
      <c r="M23" s="16"/>
      <c r="N23" t="s">
        <v>327</v>
      </c>
      <c r="P23" s="32"/>
      <c r="Q23" s="146"/>
      <c r="W23" s="702">
        <f>RANK(Z23,Z$19:Z$26,0)+COUNTIF(Z$19:Z23,Z23)-1</f>
        <v>5</v>
      </c>
      <c r="X23" s="32">
        <f>'Results by Age Group'!$AA376</f>
        <v>4</v>
      </c>
      <c r="Y23" s="51" t="str">
        <f t="shared" si="13"/>
        <v>Solihull &amp; S.Heath</v>
      </c>
      <c r="Z23" s="762">
        <f>'Results by Age Group'!$AA375</f>
        <v>53</v>
      </c>
      <c r="AA23" s="53" t="str">
        <f>'Event Details'!$H26</f>
        <v>Sol</v>
      </c>
      <c r="AC23" s="702">
        <f>RANK(AF23,AF$19:AF$26,0)+COUNTIF(AF$19:AF23,AF23)-1</f>
        <v>4</v>
      </c>
      <c r="AD23" s="146">
        <f t="shared" si="21"/>
        <v>4</v>
      </c>
      <c r="AE23" s="51" t="str">
        <f t="shared" si="22"/>
        <v>Solihull &amp; S.Heath</v>
      </c>
      <c r="AF23" s="32">
        <f t="shared" si="14"/>
        <v>319</v>
      </c>
      <c r="AG23">
        <f t="shared" si="15"/>
        <v>0</v>
      </c>
      <c r="AH23" s="53" t="str">
        <f>'Event Details'!$H26</f>
        <v>Sol</v>
      </c>
      <c r="AI23" s="32"/>
      <c r="AJ23" s="32"/>
    </row>
    <row r="24" spans="1:39" x14ac:dyDescent="0.3">
      <c r="A24" s="32">
        <v>6</v>
      </c>
      <c r="B24" s="16">
        <f t="shared" si="16"/>
        <v>3</v>
      </c>
      <c r="C24" t="str">
        <f t="shared" si="17"/>
        <v>Royal Sutton</v>
      </c>
      <c r="D24" s="32">
        <f t="shared" si="18"/>
        <v>51</v>
      </c>
      <c r="E24" s="146"/>
      <c r="G24" s="753">
        <f t="shared" si="19"/>
        <v>3</v>
      </c>
      <c r="H24" s="720" t="str">
        <f t="shared" si="20"/>
        <v>Worcester</v>
      </c>
      <c r="I24" s="721"/>
      <c r="J24" s="721">
        <f t="shared" si="12"/>
        <v>197</v>
      </c>
      <c r="K24" s="722"/>
      <c r="M24" s="16"/>
      <c r="N24" s="228" t="s">
        <v>328</v>
      </c>
      <c r="O24" s="228"/>
      <c r="P24" s="32"/>
      <c r="Q24" s="146"/>
      <c r="W24" s="702">
        <f>RANK(Z24,Z$19:Z$26,0)+COUNTIF(Z$19:Z24,Z24)-1</f>
        <v>1</v>
      </c>
      <c r="X24" s="32">
        <f>'Results by Age Group'!$AB376</f>
        <v>1</v>
      </c>
      <c r="Y24" s="51" t="str">
        <f t="shared" si="13"/>
        <v>Stratford</v>
      </c>
      <c r="Z24" s="762">
        <f>'Results by Age Group'!$AB375</f>
        <v>124</v>
      </c>
      <c r="AA24" s="53" t="str">
        <f>'Event Details'!$H27</f>
        <v>Strat</v>
      </c>
      <c r="AC24" s="702">
        <f>RANK(AF24,AF$19:AF$26,0)+COUNTIF(AF$19:AF24,AF24)-1</f>
        <v>2</v>
      </c>
      <c r="AD24" s="146">
        <f t="shared" si="21"/>
        <v>2</v>
      </c>
      <c r="AE24" s="51" t="str">
        <f t="shared" si="22"/>
        <v>Stratford</v>
      </c>
      <c r="AF24" s="32">
        <f t="shared" si="14"/>
        <v>414</v>
      </c>
      <c r="AG24">
        <f t="shared" si="15"/>
        <v>0</v>
      </c>
      <c r="AH24" s="53" t="str">
        <f>'Event Details'!$H27</f>
        <v>Strat</v>
      </c>
      <c r="AI24" s="32"/>
      <c r="AJ24" s="32"/>
    </row>
    <row r="25" spans="1:39" x14ac:dyDescent="0.3">
      <c r="A25" s="32">
        <v>7</v>
      </c>
      <c r="B25" s="16">
        <f t="shared" si="16"/>
        <v>2</v>
      </c>
      <c r="C25" t="str">
        <f t="shared" si="17"/>
        <v>Tamworth</v>
      </c>
      <c r="D25" s="32">
        <f t="shared" si="18"/>
        <v>30</v>
      </c>
      <c r="E25" s="146"/>
      <c r="G25" s="753">
        <f t="shared" si="19"/>
        <v>2</v>
      </c>
      <c r="H25" s="720" t="str">
        <f t="shared" si="20"/>
        <v>Kidder &amp; Stourport</v>
      </c>
      <c r="I25" s="721"/>
      <c r="J25" s="721">
        <f t="shared" si="12"/>
        <v>166</v>
      </c>
      <c r="K25" s="722"/>
      <c r="M25" s="16"/>
      <c r="N25" t="s">
        <v>329</v>
      </c>
      <c r="P25" s="32"/>
      <c r="Q25" s="146"/>
      <c r="W25" s="702">
        <f>RANK(Z25,Z$19:Z$26,0)+COUNTIF(Z$19:Z25,Z25)-1</f>
        <v>7</v>
      </c>
      <c r="X25" s="32">
        <f>'Results by Age Group'!$AC376</f>
        <v>7</v>
      </c>
      <c r="Y25" s="51" t="str">
        <f t="shared" si="13"/>
        <v>Tamworth</v>
      </c>
      <c r="Z25" s="762">
        <f>'Results by Age Group'!$AC375</f>
        <v>30</v>
      </c>
      <c r="AA25" s="53" t="str">
        <f>'Event Details'!$H28</f>
        <v>Tam</v>
      </c>
      <c r="AC25" s="702">
        <f>RANK(AF25,AF$19:AF$26,0)+COUNTIF(AF$19:AF25,AF25)-1</f>
        <v>8</v>
      </c>
      <c r="AD25" s="146">
        <f t="shared" si="21"/>
        <v>8</v>
      </c>
      <c r="AE25" s="51" t="str">
        <f t="shared" si="22"/>
        <v>Tamworth</v>
      </c>
      <c r="AF25" s="32">
        <f t="shared" si="14"/>
        <v>148</v>
      </c>
      <c r="AG25">
        <f t="shared" si="15"/>
        <v>0</v>
      </c>
      <c r="AH25" s="53" t="str">
        <f>'Event Details'!$H28</f>
        <v>Tam</v>
      </c>
      <c r="AI25" s="32"/>
      <c r="AJ25" s="32"/>
    </row>
    <row r="26" spans="1:39" ht="15" thickBot="1" x14ac:dyDescent="0.35">
      <c r="A26" s="32">
        <v>8</v>
      </c>
      <c r="B26" s="25">
        <f t="shared" si="16"/>
        <v>1</v>
      </c>
      <c r="C26" s="115" t="str">
        <f t="shared" si="17"/>
        <v>Worcester</v>
      </c>
      <c r="D26" s="116">
        <f t="shared" si="18"/>
        <v>21</v>
      </c>
      <c r="E26" s="523"/>
      <c r="G26" s="754">
        <f t="shared" si="19"/>
        <v>1</v>
      </c>
      <c r="H26" s="711" t="str">
        <f t="shared" si="20"/>
        <v>Tamworth</v>
      </c>
      <c r="I26" s="713"/>
      <c r="J26" s="713">
        <f t="shared" si="12"/>
        <v>148</v>
      </c>
      <c r="K26" s="714"/>
      <c r="M26" s="25"/>
      <c r="N26" s="115"/>
      <c r="O26" s="115"/>
      <c r="P26" s="116"/>
      <c r="Q26" s="523"/>
      <c r="W26" s="704">
        <f>RANK(Z26,Z$19:Z$26,0)+COUNTIF(Z$19:Z26,Z26)-1</f>
        <v>8</v>
      </c>
      <c r="X26" s="116">
        <f>'Results by Age Group'!$AD376</f>
        <v>8</v>
      </c>
      <c r="Y26" s="114" t="str">
        <f t="shared" si="13"/>
        <v>Worcester</v>
      </c>
      <c r="Z26" s="765">
        <f>'Results by Age Group'!$AD375</f>
        <v>21</v>
      </c>
      <c r="AA26" s="117" t="str">
        <f>'Event Details'!$H29</f>
        <v>Worc</v>
      </c>
      <c r="AC26" s="704">
        <f>RANK(AF26,AF$19:AF$26,0)+COUNTIF(AF$19:AF26,AF26)-1</f>
        <v>6</v>
      </c>
      <c r="AD26" s="523">
        <f t="shared" si="21"/>
        <v>6</v>
      </c>
      <c r="AE26" s="114" t="str">
        <f t="shared" si="22"/>
        <v>Worcester</v>
      </c>
      <c r="AF26" s="116">
        <f t="shared" si="14"/>
        <v>197</v>
      </c>
      <c r="AG26" s="115">
        <f t="shared" si="15"/>
        <v>0</v>
      </c>
      <c r="AH26" s="117" t="str">
        <f>'Event Details'!$H29</f>
        <v>Worc</v>
      </c>
      <c r="AI26" s="32"/>
      <c r="AJ26" s="32"/>
    </row>
    <row r="27" spans="1:39" x14ac:dyDescent="0.3">
      <c r="D27" s="32"/>
      <c r="E27" s="32">
        <f>SUM(E19:E26)</f>
        <v>0</v>
      </c>
      <c r="J27" s="32"/>
      <c r="K27" s="32">
        <f>SUM(K19:K26)</f>
        <v>0</v>
      </c>
      <c r="P27" s="32"/>
      <c r="Q27" s="32"/>
      <c r="W27" s="32"/>
      <c r="X27" s="32"/>
      <c r="AC27" s="32"/>
      <c r="AD27" s="32"/>
      <c r="AI27" s="32"/>
      <c r="AJ27" s="32"/>
    </row>
    <row r="28" spans="1:39" x14ac:dyDescent="0.3">
      <c r="D28" s="32"/>
      <c r="E28" s="32"/>
      <c r="J28" s="32"/>
      <c r="K28" s="32"/>
      <c r="P28" s="32"/>
      <c r="Q28" s="32"/>
      <c r="W28" s="32"/>
      <c r="X28" s="32"/>
      <c r="AC28" s="32"/>
      <c r="AD28" s="32"/>
      <c r="AI28" s="32"/>
      <c r="AJ28" s="32"/>
    </row>
    <row r="29" spans="1:39" ht="15" thickBot="1" x14ac:dyDescent="0.35">
      <c r="D29" s="32"/>
      <c r="E29" s="32"/>
      <c r="J29" s="32"/>
      <c r="K29" s="32"/>
      <c r="P29" s="32"/>
      <c r="Q29" s="32"/>
      <c r="W29" s="32"/>
      <c r="X29" s="32"/>
      <c r="AC29" s="32"/>
      <c r="AD29" s="32"/>
      <c r="AI29" s="32"/>
      <c r="AJ29" s="32"/>
    </row>
    <row r="30" spans="1:39" x14ac:dyDescent="0.3">
      <c r="A30" s="758" t="s">
        <v>308</v>
      </c>
      <c r="B30" s="1425" t="s">
        <v>309</v>
      </c>
      <c r="C30" s="89" t="s">
        <v>483</v>
      </c>
      <c r="D30" s="49"/>
      <c r="E30" s="138"/>
      <c r="G30" s="1425" t="s">
        <v>309</v>
      </c>
      <c r="H30" s="89" t="s">
        <v>484</v>
      </c>
      <c r="I30" s="89"/>
      <c r="J30" s="49"/>
      <c r="K30" s="138"/>
      <c r="M30" s="1425" t="s">
        <v>309</v>
      </c>
      <c r="N30" s="89" t="s">
        <v>485</v>
      </c>
      <c r="O30" s="89"/>
      <c r="P30" s="49"/>
      <c r="Q30" s="138"/>
      <c r="W30" s="690" t="s">
        <v>308</v>
      </c>
      <c r="X30" s="691" t="s">
        <v>310</v>
      </c>
      <c r="Y30" s="692" t="s">
        <v>330</v>
      </c>
      <c r="Z30" s="764"/>
      <c r="AA30" s="694"/>
      <c r="AC30" s="690" t="s">
        <v>308</v>
      </c>
      <c r="AD30" s="691" t="s">
        <v>310</v>
      </c>
      <c r="AE30" s="695" t="s">
        <v>331</v>
      </c>
      <c r="AF30" s="732"/>
      <c r="AG30" s="694"/>
      <c r="AI30" s="690" t="s">
        <v>308</v>
      </c>
      <c r="AJ30" s="691" t="s">
        <v>310</v>
      </c>
      <c r="AK30" s="695" t="s">
        <v>332</v>
      </c>
      <c r="AL30" s="732"/>
      <c r="AM30" s="694"/>
    </row>
    <row r="31" spans="1:39" ht="15" thickBot="1" x14ac:dyDescent="0.35">
      <c r="A31" s="758" t="s">
        <v>321</v>
      </c>
      <c r="B31" s="1426"/>
      <c r="C31" s="115" t="s">
        <v>86</v>
      </c>
      <c r="D31" s="116" t="s">
        <v>314</v>
      </c>
      <c r="E31" s="523"/>
      <c r="G31" s="1426"/>
      <c r="H31" s="115" t="s">
        <v>86</v>
      </c>
      <c r="I31" s="115"/>
      <c r="J31" s="116" t="s">
        <v>314</v>
      </c>
      <c r="K31" s="523"/>
      <c r="M31" s="1426"/>
      <c r="N31" s="115" t="s">
        <v>86</v>
      </c>
      <c r="O31" s="115"/>
      <c r="P31" s="116" t="s">
        <v>314</v>
      </c>
      <c r="Q31" s="523"/>
      <c r="W31" s="696" t="s">
        <v>316</v>
      </c>
      <c r="X31" s="697" t="s">
        <v>316</v>
      </c>
      <c r="Y31" s="114" t="s">
        <v>86</v>
      </c>
      <c r="Z31" s="765" t="s">
        <v>314</v>
      </c>
      <c r="AA31" s="699"/>
      <c r="AC31" s="696" t="s">
        <v>316</v>
      </c>
      <c r="AD31" s="697" t="s">
        <v>316</v>
      </c>
      <c r="AE31" s="115" t="s">
        <v>86</v>
      </c>
      <c r="AF31" s="116" t="s">
        <v>314</v>
      </c>
      <c r="AG31" s="699"/>
      <c r="AH31" s="660"/>
      <c r="AI31" s="696" t="s">
        <v>316</v>
      </c>
      <c r="AJ31" s="697" t="s">
        <v>316</v>
      </c>
      <c r="AK31" s="115" t="s">
        <v>86</v>
      </c>
      <c r="AL31" s="116" t="s">
        <v>314</v>
      </c>
      <c r="AM31" s="699"/>
    </row>
    <row r="32" spans="1:39" x14ac:dyDescent="0.3">
      <c r="A32" s="32">
        <v>1</v>
      </c>
      <c r="B32" s="653">
        <f>B6</f>
        <v>8</v>
      </c>
      <c r="C32" s="48" t="str">
        <f>VLOOKUP($A32,U11G,3,FALSE)</f>
        <v>Rugby &amp; N'hampton</v>
      </c>
      <c r="D32" s="49">
        <f>VLOOKUP($A32,U11G,4,FALSE)</f>
        <v>70</v>
      </c>
      <c r="E32" s="146"/>
      <c r="G32" s="653">
        <f>B6</f>
        <v>8</v>
      </c>
      <c r="H32" s="48" t="str">
        <f>VLOOKUP($A32,U13G,3,FALSE)</f>
        <v>Kidder &amp; Stourport</v>
      </c>
      <c r="I32" s="48"/>
      <c r="J32" s="49">
        <f>VLOOKUP($A32,U13G,4,FALSE)</f>
        <v>121.5</v>
      </c>
      <c r="K32" s="146"/>
      <c r="M32" s="653">
        <f>B6</f>
        <v>8</v>
      </c>
      <c r="N32" s="48" t="str">
        <f>VLOOKUP($A32,U15G,3,FALSE)</f>
        <v>BRAT</v>
      </c>
      <c r="O32" s="48"/>
      <c r="P32" s="49">
        <f>VLOOKUP($A32,U15G,4,FALSE)</f>
        <v>130</v>
      </c>
      <c r="Q32" s="146"/>
      <c r="T32" s="660"/>
      <c r="U32" s="660"/>
      <c r="W32" s="700">
        <f>RANK(Z32,Z$32:Z$39,0)+COUNTIF(Z$32:Z32,Z32)-1</f>
        <v>8</v>
      </c>
      <c r="X32" s="138">
        <f>'Results by Age Group'!$W97</f>
        <v>8</v>
      </c>
      <c r="Y32" s="51" t="str">
        <f>'Event Details'!E22</f>
        <v>BRAT</v>
      </c>
      <c r="Z32" s="762">
        <f>'Results by Age Group'!$W96</f>
        <v>27</v>
      </c>
      <c r="AA32" s="53" t="str">
        <f>'Event Details'!$H22</f>
        <v>BRAT</v>
      </c>
      <c r="AC32" s="701">
        <f>RANK(AF32,AF$32:AF$39,0)+COUNTIF(AF$32:AF32,AF32)-1</f>
        <v>2</v>
      </c>
      <c r="AD32" s="417">
        <f>'Results by Age Group'!$W205</f>
        <v>2</v>
      </c>
      <c r="AE32" t="str">
        <f>Y32</f>
        <v>BRAT</v>
      </c>
      <c r="AF32" s="32">
        <f>'Results by Age Group'!$W204</f>
        <v>121</v>
      </c>
      <c r="AG32" s="53" t="str">
        <f>'Event Details'!$H22</f>
        <v>BRAT</v>
      </c>
      <c r="AI32" s="701">
        <f>RANK(AL32,AL$32:AL$39,0)+COUNTIF(AL$32:AL32,AL32)-1</f>
        <v>1</v>
      </c>
      <c r="AJ32" s="417">
        <f>'Results by Age Group'!$W319</f>
        <v>1</v>
      </c>
      <c r="AK32" t="str">
        <f>AE32</f>
        <v>BRAT</v>
      </c>
      <c r="AL32" s="32">
        <f>'Results by Age Group'!$W318</f>
        <v>130</v>
      </c>
      <c r="AM32" s="53" t="str">
        <f>'Event Details'!$H22</f>
        <v>BRAT</v>
      </c>
    </row>
    <row r="33" spans="1:39" x14ac:dyDescent="0.3">
      <c r="A33" s="32">
        <v>2</v>
      </c>
      <c r="B33" s="16">
        <f t="shared" ref="B33:B39" si="23">B7</f>
        <v>7</v>
      </c>
      <c r="C33" t="str">
        <f t="shared" ref="C33:C39" si="24">VLOOKUP($A33,U11G,3,FALSE)</f>
        <v>Royal Sutton</v>
      </c>
      <c r="D33" s="32">
        <f t="shared" ref="D33:D39" si="25">VLOOKUP($A33,U11G,4,FALSE)</f>
        <v>67</v>
      </c>
      <c r="E33" s="146"/>
      <c r="G33" s="16">
        <f t="shared" ref="G33:G39" si="26">B7</f>
        <v>7</v>
      </c>
      <c r="H33" t="str">
        <f t="shared" ref="H33:H39" si="27">VLOOKUP($A33,U13G,3,FALSE)</f>
        <v>BRAT</v>
      </c>
      <c r="J33" s="32">
        <f t="shared" ref="J33:J39" si="28">VLOOKUP($A33,U13G,4,FALSE)</f>
        <v>121</v>
      </c>
      <c r="K33" s="146"/>
      <c r="M33" s="16">
        <f t="shared" ref="M33:M39" si="29">B7</f>
        <v>7</v>
      </c>
      <c r="N33" t="str">
        <f t="shared" ref="N33:N39" si="30">VLOOKUP($A33,U15G,3,FALSE)</f>
        <v>Rugby &amp; N'hampton</v>
      </c>
      <c r="P33" s="32">
        <f t="shared" ref="P33:P39" si="31">VLOOKUP($A33,U15G,4,FALSE)</f>
        <v>123</v>
      </c>
      <c r="Q33" s="146"/>
      <c r="W33" s="702">
        <f>RANK(Z33,Z$32:Z$39,0)+COUNTIF(Z$32:Z33,Z33)-1</f>
        <v>5</v>
      </c>
      <c r="X33" s="146">
        <f>'Results by Age Group'!$X97</f>
        <v>5</v>
      </c>
      <c r="Y33" s="51" t="str">
        <f>'Event Details'!E23</f>
        <v>Kidder &amp; Stourport</v>
      </c>
      <c r="Z33" s="762">
        <f>'Results by Age Group'!$X96</f>
        <v>48</v>
      </c>
      <c r="AA33" s="53" t="str">
        <f>'Event Details'!$H23</f>
        <v>K&amp;S</v>
      </c>
      <c r="AC33" s="703">
        <f>RANK(AF33,AF$32:AF$39,0)+COUNTIF(AF$32:AF33,AF33)-1</f>
        <v>1</v>
      </c>
      <c r="AD33" s="417">
        <f>'Results by Age Group'!$X205</f>
        <v>1</v>
      </c>
      <c r="AE33" t="str">
        <f t="shared" ref="AE33:AE39" si="32">Y33</f>
        <v>Kidder &amp; Stourport</v>
      </c>
      <c r="AF33" s="32">
        <f>'Results by Age Group'!$X204</f>
        <v>121.5</v>
      </c>
      <c r="AG33" s="53" t="str">
        <f>'Event Details'!$H23</f>
        <v>K&amp;S</v>
      </c>
      <c r="AI33" s="703">
        <f>RANK(AL33,AL$32:AL$39,0)+COUNTIF(AL$32:AL33,AL33)-1</f>
        <v>8</v>
      </c>
      <c r="AJ33" s="417">
        <f>'Results by Age Group'!$X319</f>
        <v>8</v>
      </c>
      <c r="AK33" t="str">
        <f t="shared" ref="AK33:AK39" si="33">AE33</f>
        <v>Kidder &amp; Stourport</v>
      </c>
      <c r="AL33" s="32">
        <f>'Results by Age Group'!$X318</f>
        <v>61</v>
      </c>
      <c r="AM33" s="53" t="str">
        <f>'Event Details'!$H23</f>
        <v>K&amp;S</v>
      </c>
    </row>
    <row r="34" spans="1:39" x14ac:dyDescent="0.3">
      <c r="A34" s="32">
        <v>3</v>
      </c>
      <c r="B34" s="16">
        <f t="shared" si="23"/>
        <v>6</v>
      </c>
      <c r="C34" t="str">
        <f t="shared" si="24"/>
        <v>Stratford</v>
      </c>
      <c r="D34" s="32">
        <f t="shared" si="25"/>
        <v>53</v>
      </c>
      <c r="E34" s="146"/>
      <c r="G34" s="16">
        <f t="shared" si="26"/>
        <v>6</v>
      </c>
      <c r="H34" t="str">
        <f t="shared" si="27"/>
        <v>Rugby &amp; N'hampton</v>
      </c>
      <c r="J34" s="32">
        <f t="shared" si="28"/>
        <v>107</v>
      </c>
      <c r="K34" s="146"/>
      <c r="M34" s="16">
        <f t="shared" si="29"/>
        <v>6</v>
      </c>
      <c r="N34" t="str">
        <f t="shared" si="30"/>
        <v>Tamworth</v>
      </c>
      <c r="P34" s="32">
        <f t="shared" si="31"/>
        <v>122</v>
      </c>
      <c r="Q34" s="146"/>
      <c r="T34" s="660"/>
      <c r="U34" s="660"/>
      <c r="W34" s="702">
        <f>RANK(Z34,Z$32:Z$39,0)+COUNTIF(Z$32:Z34,Z34)-1</f>
        <v>2</v>
      </c>
      <c r="X34" s="146">
        <f>'Results by Age Group'!$Y97</f>
        <v>2</v>
      </c>
      <c r="Y34" s="51" t="str">
        <f>'Event Details'!E24</f>
        <v>Royal Sutton</v>
      </c>
      <c r="Z34" s="762">
        <f>'Results by Age Group'!$Y96</f>
        <v>67</v>
      </c>
      <c r="AA34" s="53" t="str">
        <f>'Event Details'!$H24</f>
        <v>Royal</v>
      </c>
      <c r="AC34" s="703">
        <f>RANK(AF34,AF$32:AF$39,0)+COUNTIF(AF$32:AF34,AF34)-1</f>
        <v>6</v>
      </c>
      <c r="AD34" s="417">
        <f>'Results by Age Group'!$Y205</f>
        <v>6</v>
      </c>
      <c r="AE34" t="str">
        <f t="shared" si="32"/>
        <v>Royal Sutton</v>
      </c>
      <c r="AF34" s="32">
        <f>'Results by Age Group'!$Y204</f>
        <v>88</v>
      </c>
      <c r="AG34" s="53" t="str">
        <f>'Event Details'!$H24</f>
        <v>Royal</v>
      </c>
      <c r="AI34" s="703">
        <f>RANK(AL34,AL$32:AL$39,0)+COUNTIF(AL$32:AL34,AL34)-1</f>
        <v>6</v>
      </c>
      <c r="AJ34" s="417">
        <f>'Results by Age Group'!$Y319</f>
        <v>6</v>
      </c>
      <c r="AK34" t="str">
        <f t="shared" si="33"/>
        <v>Royal Sutton</v>
      </c>
      <c r="AL34" s="32">
        <f>'Results by Age Group'!$Y318</f>
        <v>78</v>
      </c>
      <c r="AM34" s="53" t="str">
        <f>'Event Details'!$H24</f>
        <v>Royal</v>
      </c>
    </row>
    <row r="35" spans="1:39" x14ac:dyDescent="0.3">
      <c r="A35" s="32">
        <v>4</v>
      </c>
      <c r="B35" s="16">
        <f t="shared" si="23"/>
        <v>5</v>
      </c>
      <c r="C35" t="str">
        <f t="shared" si="24"/>
        <v>Tamworth</v>
      </c>
      <c r="D35" s="32">
        <f t="shared" si="25"/>
        <v>50</v>
      </c>
      <c r="E35" s="146"/>
      <c r="G35" s="16">
        <f t="shared" si="26"/>
        <v>5</v>
      </c>
      <c r="H35" t="str">
        <f t="shared" si="27"/>
        <v>Stratford</v>
      </c>
      <c r="J35" s="32">
        <f t="shared" si="28"/>
        <v>107</v>
      </c>
      <c r="K35" s="146"/>
      <c r="M35" s="16">
        <f t="shared" si="29"/>
        <v>5</v>
      </c>
      <c r="N35" t="str">
        <f t="shared" si="30"/>
        <v>Stratford</v>
      </c>
      <c r="P35" s="32">
        <f t="shared" si="31"/>
        <v>117</v>
      </c>
      <c r="Q35" s="146"/>
      <c r="W35" s="702">
        <f>RANK(Z35,Z$32:Z$39,0)+COUNTIF(Z$32:Z35,Z35)-1</f>
        <v>1</v>
      </c>
      <c r="X35" s="146">
        <f>'Results by Age Group'!$Z97</f>
        <v>1</v>
      </c>
      <c r="Y35" s="51" t="str">
        <f>'Event Details'!E25</f>
        <v>Rugby &amp; N'hampton</v>
      </c>
      <c r="Z35" s="762">
        <f>'Results by Age Group'!$Z96</f>
        <v>70</v>
      </c>
      <c r="AA35" s="53" t="str">
        <f>'Event Details'!$H25</f>
        <v>Rugby</v>
      </c>
      <c r="AC35" s="703">
        <f>RANK(AF35,AF$32:AF$39,0)+COUNTIF(AF$32:AF35,AF35)-1</f>
        <v>3</v>
      </c>
      <c r="AD35" s="417">
        <f>'Results by Age Group'!$Z205</f>
        <v>3</v>
      </c>
      <c r="AE35" t="str">
        <f t="shared" si="32"/>
        <v>Rugby &amp; N'hampton</v>
      </c>
      <c r="AF35" s="32">
        <f>'Results by Age Group'!$Z204</f>
        <v>107</v>
      </c>
      <c r="AG35" s="53" t="str">
        <f>'Event Details'!$H25</f>
        <v>Rugby</v>
      </c>
      <c r="AI35" s="703">
        <f>RANK(AL35,AL$32:AL$39,0)+COUNTIF(AL$32:AL35,AL35)-1</f>
        <v>2</v>
      </c>
      <c r="AJ35" s="417">
        <f>'Results by Age Group'!$Z319</f>
        <v>2</v>
      </c>
      <c r="AK35" t="str">
        <f t="shared" si="33"/>
        <v>Rugby &amp; N'hampton</v>
      </c>
      <c r="AL35" s="32">
        <f>'Results by Age Group'!$Z318</f>
        <v>123</v>
      </c>
      <c r="AM35" s="53" t="str">
        <f>'Event Details'!$H25</f>
        <v>Rugby</v>
      </c>
    </row>
    <row r="36" spans="1:39" x14ac:dyDescent="0.3">
      <c r="A36" s="32">
        <v>5</v>
      </c>
      <c r="B36" s="16">
        <f t="shared" si="23"/>
        <v>4</v>
      </c>
      <c r="C36" t="str">
        <f t="shared" si="24"/>
        <v>Kidder &amp; Stourport</v>
      </c>
      <c r="D36" s="32">
        <f t="shared" si="25"/>
        <v>48</v>
      </c>
      <c r="E36" s="146"/>
      <c r="G36" s="16">
        <f t="shared" si="26"/>
        <v>4</v>
      </c>
      <c r="H36" t="str">
        <f t="shared" si="27"/>
        <v>Solihull &amp; S.Heath</v>
      </c>
      <c r="J36" s="32">
        <f t="shared" si="28"/>
        <v>95</v>
      </c>
      <c r="K36" s="146"/>
      <c r="M36" s="16">
        <f t="shared" si="29"/>
        <v>4</v>
      </c>
      <c r="N36" t="str">
        <f t="shared" si="30"/>
        <v>Solihull &amp; S.Heath</v>
      </c>
      <c r="P36" s="32">
        <f t="shared" si="31"/>
        <v>107</v>
      </c>
      <c r="Q36" s="146"/>
      <c r="T36" s="660"/>
      <c r="U36" s="660"/>
      <c r="W36" s="702">
        <f>RANK(Z36,Z$32:Z$39,0)+COUNTIF(Z$32:Z36,Z36)-1</f>
        <v>6</v>
      </c>
      <c r="X36" s="146">
        <f>'Results by Age Group'!$AA97</f>
        <v>6</v>
      </c>
      <c r="Y36" s="51" t="str">
        <f>'Event Details'!E26</f>
        <v>Solihull &amp; S.Heath</v>
      </c>
      <c r="Z36" s="762">
        <f>'Results by Age Group'!$AA96</f>
        <v>41</v>
      </c>
      <c r="AA36" s="53" t="str">
        <f>'Event Details'!$H26</f>
        <v>Sol</v>
      </c>
      <c r="AC36" s="703">
        <f>RANK(AF36,AF$32:AF$39,0)+COUNTIF(AF$32:AF36,AF36)-1</f>
        <v>5</v>
      </c>
      <c r="AD36" s="417">
        <f>'Results by Age Group'!$AA205</f>
        <v>5</v>
      </c>
      <c r="AE36" t="str">
        <f t="shared" si="32"/>
        <v>Solihull &amp; S.Heath</v>
      </c>
      <c r="AF36" s="32">
        <f>'Results by Age Group'!$AA204</f>
        <v>95</v>
      </c>
      <c r="AG36" s="53" t="str">
        <f>'Event Details'!$H26</f>
        <v>Sol</v>
      </c>
      <c r="AI36" s="703">
        <f>RANK(AL36,AL$32:AL$39,0)+COUNTIF(AL$32:AL36,AL36)-1</f>
        <v>5</v>
      </c>
      <c r="AJ36" s="417">
        <f>'Results by Age Group'!$AA319</f>
        <v>5</v>
      </c>
      <c r="AK36" t="str">
        <f t="shared" si="33"/>
        <v>Solihull &amp; S.Heath</v>
      </c>
      <c r="AL36" s="32">
        <f>'Results by Age Group'!$AA318</f>
        <v>107</v>
      </c>
      <c r="AM36" s="53" t="str">
        <f>'Event Details'!$H26</f>
        <v>Sol</v>
      </c>
    </row>
    <row r="37" spans="1:39" x14ac:dyDescent="0.3">
      <c r="A37" s="32">
        <v>6</v>
      </c>
      <c r="B37" s="16">
        <f t="shared" si="23"/>
        <v>3</v>
      </c>
      <c r="C37" t="str">
        <f t="shared" si="24"/>
        <v>Solihull &amp; S.Heath</v>
      </c>
      <c r="D37" s="32">
        <f t="shared" si="25"/>
        <v>41</v>
      </c>
      <c r="E37" s="146"/>
      <c r="G37" s="16">
        <f t="shared" si="26"/>
        <v>3</v>
      </c>
      <c r="H37" t="str">
        <f t="shared" si="27"/>
        <v>Royal Sutton</v>
      </c>
      <c r="J37" s="32">
        <f t="shared" si="28"/>
        <v>88</v>
      </c>
      <c r="K37" s="146"/>
      <c r="M37" s="16">
        <f t="shared" si="29"/>
        <v>3</v>
      </c>
      <c r="N37" t="str">
        <f t="shared" si="30"/>
        <v>Royal Sutton</v>
      </c>
      <c r="P37" s="32">
        <f t="shared" si="31"/>
        <v>78</v>
      </c>
      <c r="Q37" s="146"/>
      <c r="W37" s="702">
        <f>RANK(Z37,Z$32:Z$39,0)+COUNTIF(Z$32:Z37,Z37)-1</f>
        <v>3</v>
      </c>
      <c r="X37" s="146">
        <f>'Results by Age Group'!$AB97</f>
        <v>3</v>
      </c>
      <c r="Y37" s="51" t="str">
        <f>'Event Details'!E27</f>
        <v>Stratford</v>
      </c>
      <c r="Z37" s="762">
        <f>'Results by Age Group'!$AB96</f>
        <v>53</v>
      </c>
      <c r="AA37" s="53" t="str">
        <f>'Event Details'!$H27</f>
        <v>Strat</v>
      </c>
      <c r="AC37" s="703">
        <f>RANK(AF37,AF$32:AF$39,0)+COUNTIF(AF$32:AF37,AF37)-1</f>
        <v>4</v>
      </c>
      <c r="AD37" s="417">
        <f>'Results by Age Group'!$AB205</f>
        <v>3</v>
      </c>
      <c r="AE37" t="str">
        <f t="shared" si="32"/>
        <v>Stratford</v>
      </c>
      <c r="AF37" s="767">
        <f>'Results by Age Group'!$AB204</f>
        <v>107</v>
      </c>
      <c r="AG37" s="53" t="str">
        <f>'Event Details'!$H27</f>
        <v>Strat</v>
      </c>
      <c r="AI37" s="703">
        <f>RANK(AL37,AL$32:AL$39,0)+COUNTIF(AL$32:AL37,AL37)-1</f>
        <v>4</v>
      </c>
      <c r="AJ37" s="417">
        <f>'Results by Age Group'!$AB319</f>
        <v>4</v>
      </c>
      <c r="AK37" t="str">
        <f t="shared" si="33"/>
        <v>Stratford</v>
      </c>
      <c r="AL37" s="32">
        <f>'Results by Age Group'!$AB318</f>
        <v>117</v>
      </c>
      <c r="AM37" s="53" t="str">
        <f>'Event Details'!$H27</f>
        <v>Strat</v>
      </c>
    </row>
    <row r="38" spans="1:39" x14ac:dyDescent="0.3">
      <c r="A38" s="32">
        <v>7</v>
      </c>
      <c r="B38" s="16">
        <f t="shared" si="23"/>
        <v>2</v>
      </c>
      <c r="C38" t="str">
        <f t="shared" si="24"/>
        <v>Worcester</v>
      </c>
      <c r="D38" s="32">
        <f t="shared" si="25"/>
        <v>39</v>
      </c>
      <c r="E38" s="146"/>
      <c r="G38" s="16">
        <f t="shared" si="26"/>
        <v>2</v>
      </c>
      <c r="H38" t="str">
        <f t="shared" si="27"/>
        <v>Worcester</v>
      </c>
      <c r="J38" s="32">
        <f t="shared" si="28"/>
        <v>71.5</v>
      </c>
      <c r="K38" s="146"/>
      <c r="M38" s="16">
        <f t="shared" si="29"/>
        <v>2</v>
      </c>
      <c r="N38" t="str">
        <f t="shared" si="30"/>
        <v>Worcester</v>
      </c>
      <c r="P38" s="32">
        <f t="shared" si="31"/>
        <v>75</v>
      </c>
      <c r="Q38" s="146"/>
      <c r="T38" s="660"/>
      <c r="U38" s="660"/>
      <c r="W38" s="702">
        <f>RANK(Z38,Z$32:Z$39,0)+COUNTIF(Z$32:Z38,Z38)-1</f>
        <v>4</v>
      </c>
      <c r="X38" s="146">
        <f>'Results by Age Group'!$AC97</f>
        <v>4</v>
      </c>
      <c r="Y38" s="51" t="str">
        <f>'Event Details'!E28</f>
        <v>Tamworth</v>
      </c>
      <c r="Z38" s="762">
        <f>'Results by Age Group'!$AC96</f>
        <v>50</v>
      </c>
      <c r="AA38" s="53" t="str">
        <f>'Event Details'!$H28</f>
        <v>Tam</v>
      </c>
      <c r="AC38" s="703">
        <f>RANK(AF38,AF$32:AF$39,0)+COUNTIF(AF$32:AF38,AF38)-1</f>
        <v>8</v>
      </c>
      <c r="AD38" s="417">
        <f>'Results by Age Group'!$AC205</f>
        <v>8</v>
      </c>
      <c r="AE38" t="str">
        <f t="shared" si="32"/>
        <v>Tamworth</v>
      </c>
      <c r="AF38" s="32">
        <f>'Results by Age Group'!$AC204</f>
        <v>71</v>
      </c>
      <c r="AG38" s="53" t="str">
        <f>'Event Details'!$H28</f>
        <v>Tam</v>
      </c>
      <c r="AI38" s="703">
        <f>RANK(AL38,AL$32:AL$39,0)+COUNTIF(AL$32:AL38,AL38)-1</f>
        <v>3</v>
      </c>
      <c r="AJ38" s="417">
        <f>'Results by Age Group'!$AC319</f>
        <v>3</v>
      </c>
      <c r="AK38" t="str">
        <f t="shared" si="33"/>
        <v>Tamworth</v>
      </c>
      <c r="AL38" s="32">
        <f>'Results by Age Group'!$AC318</f>
        <v>122</v>
      </c>
      <c r="AM38" s="53" t="str">
        <f>'Event Details'!$H28</f>
        <v>Tam</v>
      </c>
    </row>
    <row r="39" spans="1:39" ht="15" thickBot="1" x14ac:dyDescent="0.35">
      <c r="A39" s="32">
        <v>8</v>
      </c>
      <c r="B39" s="25">
        <f t="shared" si="23"/>
        <v>1</v>
      </c>
      <c r="C39" s="115" t="str">
        <f t="shared" si="24"/>
        <v>BRAT</v>
      </c>
      <c r="D39" s="116">
        <f t="shared" si="25"/>
        <v>27</v>
      </c>
      <c r="E39" s="523"/>
      <c r="G39" s="25">
        <f t="shared" si="26"/>
        <v>1</v>
      </c>
      <c r="H39" s="115" t="str">
        <f t="shared" si="27"/>
        <v>Tamworth</v>
      </c>
      <c r="I39" s="115"/>
      <c r="J39" s="116">
        <f t="shared" si="28"/>
        <v>71</v>
      </c>
      <c r="K39" s="523"/>
      <c r="M39" s="25">
        <f t="shared" si="29"/>
        <v>1</v>
      </c>
      <c r="N39" s="115" t="str">
        <f t="shared" si="30"/>
        <v>Kidder &amp; Stourport</v>
      </c>
      <c r="O39" s="115"/>
      <c r="P39" s="116">
        <f t="shared" si="31"/>
        <v>61</v>
      </c>
      <c r="Q39" s="523"/>
      <c r="W39" s="704">
        <f>RANK(Z39,Z$32:Z$39,0)+COUNTIF(Z$32:Z39,Z39)-1</f>
        <v>7</v>
      </c>
      <c r="X39" s="523">
        <f>'Results by Age Group'!$AD97</f>
        <v>7</v>
      </c>
      <c r="Y39" s="114" t="str">
        <f>'Event Details'!E29</f>
        <v>Worcester</v>
      </c>
      <c r="Z39" s="765">
        <f>'Results by Age Group'!$AD96</f>
        <v>39</v>
      </c>
      <c r="AA39" s="117" t="str">
        <f>'Event Details'!$H29</f>
        <v>Worc</v>
      </c>
      <c r="AC39" s="705">
        <f>RANK(AF39,AF$32:AF$39,0)+COUNTIF(AF$32:AF39,AF39)-1</f>
        <v>7</v>
      </c>
      <c r="AD39" s="418">
        <f>'Results by Age Group'!$AD205</f>
        <v>7</v>
      </c>
      <c r="AE39" s="115" t="str">
        <f t="shared" si="32"/>
        <v>Worcester</v>
      </c>
      <c r="AF39" s="116">
        <f>'Results by Age Group'!$AD204</f>
        <v>71.5</v>
      </c>
      <c r="AG39" s="117" t="str">
        <f>'Event Details'!$H29</f>
        <v>Worc</v>
      </c>
      <c r="AI39" s="705">
        <f>RANK(AL39,AL$32:AL$39,0)+COUNTIF(AL$32:AL39,AL39)-1</f>
        <v>7</v>
      </c>
      <c r="AJ39" s="418">
        <f>'Results by Age Group'!$AD319</f>
        <v>7</v>
      </c>
      <c r="AK39" s="115" t="str">
        <f t="shared" si="33"/>
        <v>Worcester</v>
      </c>
      <c r="AL39" s="116">
        <f>'Results by Age Group'!$AD318</f>
        <v>75</v>
      </c>
      <c r="AM39" s="117" t="str">
        <f>'Event Details'!$H29</f>
        <v>Worc</v>
      </c>
    </row>
    <row r="40" spans="1:39" x14ac:dyDescent="0.3">
      <c r="D40" s="32"/>
      <c r="E40" s="32">
        <f>SUM(E32:E39)</f>
        <v>0</v>
      </c>
      <c r="J40" s="32"/>
      <c r="K40" s="32">
        <f>SUM(K32:K39)</f>
        <v>0</v>
      </c>
      <c r="P40" s="32"/>
      <c r="Q40" s="32">
        <f>SUM(Q32:Q39)</f>
        <v>0</v>
      </c>
      <c r="W40" s="32"/>
      <c r="X40" s="32"/>
      <c r="AC40" s="32"/>
      <c r="AD40" s="32"/>
      <c r="AI40" s="32"/>
      <c r="AJ40" s="32"/>
    </row>
    <row r="41" spans="1:39" x14ac:dyDescent="0.3">
      <c r="D41" s="32"/>
      <c r="E41" s="32"/>
      <c r="J41" s="32"/>
      <c r="K41" s="32"/>
      <c r="P41" s="32"/>
      <c r="Q41" s="32"/>
      <c r="W41" s="32"/>
      <c r="X41" s="32"/>
      <c r="AC41" s="32"/>
      <c r="AD41" s="32"/>
      <c r="AI41" s="32"/>
      <c r="AJ41" s="32"/>
    </row>
    <row r="42" spans="1:39" x14ac:dyDescent="0.3">
      <c r="D42" s="32"/>
      <c r="E42" s="32"/>
      <c r="J42" s="32"/>
      <c r="K42" s="32"/>
      <c r="P42" s="32"/>
      <c r="Q42" s="32"/>
      <c r="W42" s="32"/>
      <c r="X42" s="32"/>
      <c r="AC42" s="32"/>
      <c r="AD42" s="32"/>
      <c r="AI42" s="32"/>
      <c r="AJ42" s="32"/>
    </row>
    <row r="43" spans="1:39" ht="15" thickBot="1" x14ac:dyDescent="0.35">
      <c r="D43" s="32"/>
      <c r="E43" s="32"/>
      <c r="J43" s="32"/>
      <c r="K43" s="32"/>
      <c r="P43" s="32"/>
      <c r="Q43" s="32"/>
      <c r="W43" s="32"/>
      <c r="X43" s="32"/>
      <c r="AC43" s="32"/>
      <c r="AD43" s="32"/>
      <c r="AI43" s="32"/>
      <c r="AJ43" s="32"/>
    </row>
    <row r="44" spans="1:39" x14ac:dyDescent="0.3">
      <c r="A44" s="758" t="s">
        <v>308</v>
      </c>
      <c r="B44" s="1425" t="s">
        <v>309</v>
      </c>
      <c r="C44" s="89" t="s">
        <v>504</v>
      </c>
      <c r="D44" s="49"/>
      <c r="E44" s="138"/>
      <c r="G44" s="1427" t="s">
        <v>309</v>
      </c>
      <c r="H44" s="723" t="s">
        <v>333</v>
      </c>
      <c r="I44" s="724"/>
      <c r="J44" s="724" t="s">
        <v>318</v>
      </c>
      <c r="K44" s="726"/>
      <c r="M44" s="1429" t="s">
        <v>309</v>
      </c>
      <c r="N44" s="727" t="s">
        <v>334</v>
      </c>
      <c r="O44" s="728"/>
      <c r="P44" s="728" t="s">
        <v>318</v>
      </c>
      <c r="Q44" s="730"/>
      <c r="W44" s="691" t="s">
        <v>308</v>
      </c>
      <c r="X44" s="731" t="s">
        <v>310</v>
      </c>
      <c r="Y44" s="692" t="s">
        <v>335</v>
      </c>
      <c r="Z44" s="764"/>
      <c r="AA44" s="694"/>
      <c r="AC44" s="690" t="s">
        <v>308</v>
      </c>
      <c r="AD44" s="691" t="s">
        <v>310</v>
      </c>
      <c r="AE44" s="692" t="s">
        <v>336</v>
      </c>
      <c r="AF44" s="732" t="s">
        <v>318</v>
      </c>
      <c r="AG44" s="693"/>
      <c r="AH44" s="694"/>
      <c r="AI44" s="32"/>
      <c r="AJ44" s="32"/>
    </row>
    <row r="45" spans="1:39" ht="15" thickBot="1" x14ac:dyDescent="0.35">
      <c r="A45" s="758" t="s">
        <v>321</v>
      </c>
      <c r="B45" s="1426"/>
      <c r="C45" s="115" t="s">
        <v>86</v>
      </c>
      <c r="D45" s="116" t="s">
        <v>314</v>
      </c>
      <c r="E45" s="523"/>
      <c r="G45" s="1428"/>
      <c r="H45" s="733" t="s">
        <v>86</v>
      </c>
      <c r="I45" s="734"/>
      <c r="J45" s="734" t="s">
        <v>322</v>
      </c>
      <c r="K45" s="736"/>
      <c r="M45" s="1430"/>
      <c r="N45" s="737" t="s">
        <v>86</v>
      </c>
      <c r="O45" s="738"/>
      <c r="P45" s="738" t="s">
        <v>322</v>
      </c>
      <c r="Q45" s="740"/>
      <c r="W45" s="697" t="s">
        <v>316</v>
      </c>
      <c r="X45" s="741" t="s">
        <v>316</v>
      </c>
      <c r="Y45" s="114" t="s">
        <v>86</v>
      </c>
      <c r="Z45" s="765" t="s">
        <v>314</v>
      </c>
      <c r="AA45" s="699"/>
      <c r="AC45" s="696" t="s">
        <v>316</v>
      </c>
      <c r="AD45" s="697" t="s">
        <v>316</v>
      </c>
      <c r="AE45" s="114" t="s">
        <v>86</v>
      </c>
      <c r="AF45" s="116" t="s">
        <v>322</v>
      </c>
      <c r="AG45" s="698" t="s">
        <v>314</v>
      </c>
      <c r="AH45" s="699"/>
      <c r="AI45" s="32"/>
      <c r="AJ45" s="32"/>
    </row>
    <row r="46" spans="1:39" x14ac:dyDescent="0.3">
      <c r="A46" s="32">
        <v>1</v>
      </c>
      <c r="B46" s="653">
        <f>B6</f>
        <v>8</v>
      </c>
      <c r="C46" s="48" t="str">
        <f>VLOOKUP($A46,U17W,3,FALSE)</f>
        <v>Stratford</v>
      </c>
      <c r="D46" s="49">
        <f>VLOOKUP($A46,U17W,4,FALSE)</f>
        <v>86.5</v>
      </c>
      <c r="E46" s="146"/>
      <c r="G46" s="755">
        <f>B6</f>
        <v>8</v>
      </c>
      <c r="H46" s="742" t="str">
        <f>VLOOKUP($A46,WomTot,3,FALSE)</f>
        <v>Stratford</v>
      </c>
      <c r="I46" s="725"/>
      <c r="J46" s="725">
        <f t="shared" ref="J46:J53" si="34">VLOOKUP(A46,WomTot,4,FALSE)</f>
        <v>363.5</v>
      </c>
      <c r="K46" s="726"/>
      <c r="M46" s="759">
        <f>B6</f>
        <v>8</v>
      </c>
      <c r="N46" s="743" t="str">
        <f>VLOOKUP($A46,OverTot,3,FALSE)</f>
        <v>Stratford</v>
      </c>
      <c r="O46" s="729"/>
      <c r="P46" s="729">
        <f t="shared" ref="P46:P53" si="35">VLOOKUP($A46,OverTot,4,FALSE)</f>
        <v>777.5</v>
      </c>
      <c r="Q46" s="730"/>
      <c r="T46" s="660"/>
      <c r="U46" s="660"/>
      <c r="W46" s="700">
        <f>RANK(Z46,Z$46:Z$53,0)+COUNTIF(Z$46:Z46,Z46)-1</f>
        <v>4</v>
      </c>
      <c r="X46" s="49">
        <f>'Results by Age Group'!$W433</f>
        <v>4</v>
      </c>
      <c r="Y46" s="51" t="str">
        <f t="shared" ref="Y46:Y53" si="36">Y32</f>
        <v>BRAT</v>
      </c>
      <c r="Z46" s="762">
        <f>'Results by Age Group'!$W432</f>
        <v>55</v>
      </c>
      <c r="AA46" s="53" t="str">
        <f>'Event Details'!$H22</f>
        <v>BRAT</v>
      </c>
      <c r="AC46" s="719">
        <f>RANK(AF46,AF$46:AF$53,0)+COUNTIF(AF$46:AF46,AF46)-1</f>
        <v>3</v>
      </c>
      <c r="AD46" s="49">
        <f>RANK(AF46,AF$46:AF$53)</f>
        <v>3</v>
      </c>
      <c r="AE46" s="4" t="str">
        <f>Y46</f>
        <v>BRAT</v>
      </c>
      <c r="AF46" s="49">
        <f t="shared" ref="AF46:AF53" si="37">VLOOKUP(AE46,U11GSum,2,FALSE)+VLOOKUP(AE46,U13GSum,3,FALSE)+VLOOKUP(AE46,U15GSum,3,FALSE)+VLOOKUP(AE46,U17GSum,2,FALSE)</f>
        <v>333</v>
      </c>
      <c r="AG46" s="48">
        <f t="shared" ref="AG46:AG53" si="38">VLOOKUP(AE46,U13GSum,4,FALSE)+VLOOKUP(AE46,U15GSum,4,FALSE)+VLOOKUP(AE46,U17GSum,3,FALSE)</f>
        <v>0</v>
      </c>
      <c r="AH46" s="50" t="str">
        <f>'Event Details'!$H22</f>
        <v>BRAT</v>
      </c>
      <c r="AI46" s="32"/>
      <c r="AJ46" s="32"/>
    </row>
    <row r="47" spans="1:39" x14ac:dyDescent="0.3">
      <c r="A47" s="32">
        <v>2</v>
      </c>
      <c r="B47" s="16">
        <f t="shared" ref="B47:B53" si="39">B7</f>
        <v>7</v>
      </c>
      <c r="C47" t="str">
        <f t="shared" ref="C47:C53" si="40">VLOOKUP($A47,U17W,3,FALSE)</f>
        <v>Tamworth</v>
      </c>
      <c r="D47" s="32">
        <f t="shared" ref="D47:D53" si="41">VLOOKUP($A47,U17W,4,FALSE)</f>
        <v>62</v>
      </c>
      <c r="E47" s="146"/>
      <c r="G47" s="756">
        <f t="shared" ref="G47:G53" si="42">B7</f>
        <v>7</v>
      </c>
      <c r="H47" s="744" t="str">
        <f t="shared" ref="H47:H53" si="43">VLOOKUP($A47,WomTot,3,FALSE)</f>
        <v>Rugby &amp; N'hampton</v>
      </c>
      <c r="I47" s="745"/>
      <c r="J47" s="745">
        <f t="shared" si="34"/>
        <v>358.5</v>
      </c>
      <c r="K47" s="746"/>
      <c r="M47" s="760">
        <f t="shared" ref="M47:M53" si="44">B7</f>
        <v>7</v>
      </c>
      <c r="N47" s="747" t="str">
        <f t="shared" ref="N47:N53" si="45">VLOOKUP($A47,OverTot,3,FALSE)</f>
        <v>BRAT</v>
      </c>
      <c r="O47" s="748"/>
      <c r="P47" s="748">
        <f t="shared" si="35"/>
        <v>748</v>
      </c>
      <c r="Q47" s="749"/>
      <c r="W47" s="702">
        <f>RANK(Z47,Z$46:Z$53,0)+COUNTIF(Z$46:Z47,Z47)-1</f>
        <v>5</v>
      </c>
      <c r="X47" s="32">
        <f>'Results by Age Group'!$X433</f>
        <v>5</v>
      </c>
      <c r="Y47" s="51" t="str">
        <f t="shared" si="36"/>
        <v>Kidder &amp; Stourport</v>
      </c>
      <c r="Z47" s="762">
        <f>'Results by Age Group'!$X432</f>
        <v>49</v>
      </c>
      <c r="AA47" s="53" t="str">
        <f>'Event Details'!$H23</f>
        <v>K&amp;S</v>
      </c>
      <c r="AC47" s="702">
        <f>RANK(AF47,AF$46:AF$53,0)+COUNTIF(AF$46:AF47,AF47)-1</f>
        <v>6</v>
      </c>
      <c r="AD47" s="32">
        <f t="shared" ref="AD47:AD53" si="46">RANK(AF47,AF$46:AF$53)</f>
        <v>6</v>
      </c>
      <c r="AE47" s="51" t="str">
        <f t="shared" ref="AE47:AE53" si="47">Y47</f>
        <v>Kidder &amp; Stourport</v>
      </c>
      <c r="AF47" s="32">
        <f t="shared" si="37"/>
        <v>279.5</v>
      </c>
      <c r="AG47">
        <f t="shared" si="38"/>
        <v>0</v>
      </c>
      <c r="AH47" s="53" t="str">
        <f>'Event Details'!$H23</f>
        <v>K&amp;S</v>
      </c>
      <c r="AI47" s="32"/>
      <c r="AJ47" s="32"/>
    </row>
    <row r="48" spans="1:39" x14ac:dyDescent="0.3">
      <c r="A48" s="32">
        <v>3</v>
      </c>
      <c r="B48" s="16">
        <f t="shared" si="39"/>
        <v>6</v>
      </c>
      <c r="C48" t="str">
        <f t="shared" si="40"/>
        <v>Rugby &amp; N'hampton</v>
      </c>
      <c r="D48" s="32">
        <f t="shared" si="41"/>
        <v>58.5</v>
      </c>
      <c r="E48" s="146"/>
      <c r="G48" s="756">
        <f t="shared" si="42"/>
        <v>6</v>
      </c>
      <c r="H48" s="744" t="str">
        <f t="shared" si="43"/>
        <v>BRAT</v>
      </c>
      <c r="I48" s="745"/>
      <c r="J48" s="745">
        <f t="shared" si="34"/>
        <v>333</v>
      </c>
      <c r="K48" s="746"/>
      <c r="M48" s="760">
        <f t="shared" si="44"/>
        <v>6</v>
      </c>
      <c r="N48" s="747" t="str">
        <f t="shared" si="45"/>
        <v>Rugby &amp; N'hampton</v>
      </c>
      <c r="O48" s="748"/>
      <c r="P48" s="748">
        <f t="shared" si="35"/>
        <v>719.5</v>
      </c>
      <c r="Q48" s="749"/>
      <c r="T48" s="660"/>
      <c r="U48" s="660"/>
      <c r="W48" s="702">
        <f>RANK(Z48,Z$46:Z$53,0)+COUNTIF(Z$46:Z48,Z48)-1</f>
        <v>7</v>
      </c>
      <c r="X48" s="32">
        <f>'Results by Age Group'!$Y433</f>
        <v>7</v>
      </c>
      <c r="Y48" s="51" t="str">
        <f t="shared" si="36"/>
        <v>Royal Sutton</v>
      </c>
      <c r="Z48" s="762">
        <f>'Results by Age Group'!$Y432</f>
        <v>40</v>
      </c>
      <c r="AA48" s="53" t="str">
        <f>'Event Details'!$H24</f>
        <v>Royal</v>
      </c>
      <c r="AC48" s="702">
        <f>RANK(AF48,AF$46:AF$53,0)+COUNTIF(AF$46:AF48,AF48)-1</f>
        <v>7</v>
      </c>
      <c r="AD48" s="32">
        <f t="shared" si="46"/>
        <v>7</v>
      </c>
      <c r="AE48" s="51" t="str">
        <f t="shared" si="47"/>
        <v>Royal Sutton</v>
      </c>
      <c r="AF48" s="32">
        <f t="shared" si="37"/>
        <v>273</v>
      </c>
      <c r="AG48">
        <f t="shared" si="38"/>
        <v>0</v>
      </c>
      <c r="AH48" s="53" t="str">
        <f>'Event Details'!$H24</f>
        <v>Royal</v>
      </c>
      <c r="AI48" s="32"/>
      <c r="AJ48" s="32"/>
    </row>
    <row r="49" spans="1:39" x14ac:dyDescent="0.3">
      <c r="A49" s="32">
        <v>4</v>
      </c>
      <c r="B49" s="16">
        <f t="shared" si="39"/>
        <v>5</v>
      </c>
      <c r="C49" t="str">
        <f t="shared" si="40"/>
        <v>BRAT</v>
      </c>
      <c r="D49" s="32">
        <f t="shared" si="41"/>
        <v>55</v>
      </c>
      <c r="E49" s="146"/>
      <c r="G49" s="756">
        <f t="shared" si="42"/>
        <v>5</v>
      </c>
      <c r="H49" s="744" t="str">
        <f t="shared" si="43"/>
        <v>Tamworth</v>
      </c>
      <c r="I49" s="745"/>
      <c r="J49" s="745">
        <f t="shared" si="34"/>
        <v>305</v>
      </c>
      <c r="K49" s="746"/>
      <c r="M49" s="760">
        <f t="shared" si="44"/>
        <v>5</v>
      </c>
      <c r="N49" s="747" t="str">
        <f t="shared" si="45"/>
        <v>Solihull &amp; S.Heath</v>
      </c>
      <c r="O49" s="748"/>
      <c r="P49" s="748">
        <f t="shared" si="35"/>
        <v>611</v>
      </c>
      <c r="Q49" s="749"/>
      <c r="W49" s="702">
        <f>RANK(Z49,Z$46:Z$53,0)+COUNTIF(Z$46:Z49,Z49)-1</f>
        <v>3</v>
      </c>
      <c r="X49" s="32">
        <f>'Results by Age Group'!$Z433</f>
        <v>3</v>
      </c>
      <c r="Y49" s="51" t="str">
        <f t="shared" si="36"/>
        <v>Rugby &amp; N'hampton</v>
      </c>
      <c r="Z49" s="762">
        <f>'Results by Age Group'!$Z432</f>
        <v>58.5</v>
      </c>
      <c r="AA49" s="53" t="str">
        <f>'Event Details'!$H25</f>
        <v>Rugby</v>
      </c>
      <c r="AC49" s="702">
        <f>RANK(AF49,AF$46:AF$53,0)+COUNTIF(AF$46:AF49,AF49)-1</f>
        <v>2</v>
      </c>
      <c r="AD49" s="32">
        <f t="shared" si="46"/>
        <v>2</v>
      </c>
      <c r="AE49" s="51" t="str">
        <f t="shared" si="47"/>
        <v>Rugby &amp; N'hampton</v>
      </c>
      <c r="AF49" s="32">
        <f t="shared" si="37"/>
        <v>358.5</v>
      </c>
      <c r="AG49">
        <f t="shared" si="38"/>
        <v>0</v>
      </c>
      <c r="AH49" s="53" t="str">
        <f>'Event Details'!$H25</f>
        <v>Rugby</v>
      </c>
      <c r="AI49" s="32"/>
      <c r="AJ49" s="32"/>
    </row>
    <row r="50" spans="1:39" x14ac:dyDescent="0.3">
      <c r="A50" s="32">
        <v>5</v>
      </c>
      <c r="B50" s="16">
        <f t="shared" si="39"/>
        <v>4</v>
      </c>
      <c r="C50" t="str">
        <f t="shared" si="40"/>
        <v>Kidder &amp; Stourport</v>
      </c>
      <c r="D50" s="32">
        <f t="shared" si="41"/>
        <v>49</v>
      </c>
      <c r="E50" s="146"/>
      <c r="G50" s="756">
        <f t="shared" si="42"/>
        <v>4</v>
      </c>
      <c r="H50" s="744" t="str">
        <f t="shared" si="43"/>
        <v>Solihull &amp; S.Heath</v>
      </c>
      <c r="I50" s="745"/>
      <c r="J50" s="745">
        <f t="shared" si="34"/>
        <v>292</v>
      </c>
      <c r="K50" s="746"/>
      <c r="M50" s="760">
        <f t="shared" si="44"/>
        <v>4</v>
      </c>
      <c r="N50" s="747" t="str">
        <f t="shared" si="45"/>
        <v>Royal Sutton</v>
      </c>
      <c r="O50" s="748"/>
      <c r="P50" s="748">
        <f t="shared" si="35"/>
        <v>579</v>
      </c>
      <c r="Q50" s="749"/>
      <c r="T50" s="660"/>
      <c r="U50" s="660"/>
      <c r="W50" s="702">
        <f>RANK(Z50,Z$46:Z$53,0)+COUNTIF(Z$46:Z50,Z50)-1</f>
        <v>6</v>
      </c>
      <c r="X50" s="32">
        <f>'Results by Age Group'!$AA433</f>
        <v>5</v>
      </c>
      <c r="Y50" s="51" t="str">
        <f t="shared" si="36"/>
        <v>Solihull &amp; S.Heath</v>
      </c>
      <c r="Z50" s="762">
        <f>'Results by Age Group'!$AA432</f>
        <v>49</v>
      </c>
      <c r="AA50" s="53" t="str">
        <f>'Event Details'!$H26</f>
        <v>Sol</v>
      </c>
      <c r="AC50" s="702">
        <f>RANK(AF50,AF$46:AF$53,0)+COUNTIF(AF$46:AF50,AF50)-1</f>
        <v>5</v>
      </c>
      <c r="AD50" s="32">
        <f t="shared" si="46"/>
        <v>5</v>
      </c>
      <c r="AE50" s="51" t="str">
        <f t="shared" si="47"/>
        <v>Solihull &amp; S.Heath</v>
      </c>
      <c r="AF50" s="32">
        <f t="shared" si="37"/>
        <v>292</v>
      </c>
      <c r="AG50">
        <f t="shared" si="38"/>
        <v>0</v>
      </c>
      <c r="AH50" s="53" t="str">
        <f>'Event Details'!$H26</f>
        <v>Sol</v>
      </c>
      <c r="AI50" s="32"/>
      <c r="AJ50" s="32"/>
    </row>
    <row r="51" spans="1:39" x14ac:dyDescent="0.3">
      <c r="A51" s="32">
        <v>6</v>
      </c>
      <c r="B51" s="16">
        <f t="shared" si="39"/>
        <v>3</v>
      </c>
      <c r="C51" t="str">
        <f t="shared" si="40"/>
        <v>Solihull &amp; S.Heath</v>
      </c>
      <c r="D51" s="32">
        <f t="shared" si="41"/>
        <v>49</v>
      </c>
      <c r="E51" s="146"/>
      <c r="G51" s="756">
        <f t="shared" si="42"/>
        <v>3</v>
      </c>
      <c r="H51" s="744" t="str">
        <f t="shared" si="43"/>
        <v>Kidder &amp; Stourport</v>
      </c>
      <c r="I51" s="745"/>
      <c r="J51" s="745">
        <f t="shared" si="34"/>
        <v>279.5</v>
      </c>
      <c r="K51" s="746"/>
      <c r="M51" s="760">
        <f t="shared" si="44"/>
        <v>3</v>
      </c>
      <c r="N51" s="747" t="str">
        <f t="shared" si="45"/>
        <v>Tamworth</v>
      </c>
      <c r="O51" s="748"/>
      <c r="P51" s="748">
        <f t="shared" si="35"/>
        <v>453</v>
      </c>
      <c r="Q51" s="749"/>
      <c r="W51" s="702">
        <f>RANK(Z51,Z$46:Z$53,0)+COUNTIF(Z$46:Z51,Z51)-1</f>
        <v>1</v>
      </c>
      <c r="X51" s="32">
        <f>'Results by Age Group'!$AB433</f>
        <v>1</v>
      </c>
      <c r="Y51" s="51" t="str">
        <f t="shared" si="36"/>
        <v>Stratford</v>
      </c>
      <c r="Z51" s="762">
        <f>'Results by Age Group'!$AB432</f>
        <v>86.5</v>
      </c>
      <c r="AA51" s="53" t="str">
        <f>'Event Details'!$H27</f>
        <v>Strat</v>
      </c>
      <c r="AC51" s="702">
        <f>RANK(AF51,AF$46:AF$53,0)+COUNTIF(AF$46:AF51,AF51)-1</f>
        <v>1</v>
      </c>
      <c r="AD51" s="32">
        <f t="shared" si="46"/>
        <v>1</v>
      </c>
      <c r="AE51" s="51" t="str">
        <f t="shared" si="47"/>
        <v>Stratford</v>
      </c>
      <c r="AF51" s="32">
        <f t="shared" si="37"/>
        <v>363.5</v>
      </c>
      <c r="AG51">
        <f t="shared" si="38"/>
        <v>0</v>
      </c>
      <c r="AH51" s="53" t="str">
        <f>'Event Details'!$H27</f>
        <v>Strat</v>
      </c>
      <c r="AI51" s="32"/>
      <c r="AJ51" s="32"/>
    </row>
    <row r="52" spans="1:39" x14ac:dyDescent="0.3">
      <c r="A52" s="32">
        <v>7</v>
      </c>
      <c r="B52" s="16">
        <f t="shared" si="39"/>
        <v>2</v>
      </c>
      <c r="C52" t="str">
        <f t="shared" si="40"/>
        <v>Royal Sutton</v>
      </c>
      <c r="D52" s="32">
        <f t="shared" si="41"/>
        <v>40</v>
      </c>
      <c r="E52" s="146"/>
      <c r="G52" s="756">
        <f t="shared" si="42"/>
        <v>2</v>
      </c>
      <c r="H52" s="744" t="str">
        <f t="shared" si="43"/>
        <v>Royal Sutton</v>
      </c>
      <c r="I52" s="745"/>
      <c r="J52" s="745">
        <f t="shared" si="34"/>
        <v>273</v>
      </c>
      <c r="K52" s="746"/>
      <c r="M52" s="760">
        <f t="shared" si="44"/>
        <v>2</v>
      </c>
      <c r="N52" s="747" t="str">
        <f t="shared" si="45"/>
        <v>Kidder &amp; Stourport</v>
      </c>
      <c r="O52" s="748"/>
      <c r="P52" s="748">
        <f t="shared" si="35"/>
        <v>445.5</v>
      </c>
      <c r="Q52" s="749"/>
      <c r="T52" s="660"/>
      <c r="U52" s="660"/>
      <c r="W52" s="702">
        <f>RANK(Z52,Z$46:Z$53,0)+COUNTIF(Z$46:Z52,Z52)-1</f>
        <v>2</v>
      </c>
      <c r="X52" s="32">
        <f>'Results by Age Group'!$AC433</f>
        <v>2</v>
      </c>
      <c r="Y52" s="51" t="str">
        <f t="shared" si="36"/>
        <v>Tamworth</v>
      </c>
      <c r="Z52" s="762">
        <f>'Results by Age Group'!$AC432</f>
        <v>62</v>
      </c>
      <c r="AA52" s="53" t="str">
        <f>'Event Details'!$H28</f>
        <v>Tam</v>
      </c>
      <c r="AC52" s="702">
        <f>RANK(AF52,AF$46:AF$53,0)+COUNTIF(AF$46:AF52,AF52)-1</f>
        <v>4</v>
      </c>
      <c r="AD52" s="32">
        <f t="shared" si="46"/>
        <v>4</v>
      </c>
      <c r="AE52" s="51" t="str">
        <f t="shared" si="47"/>
        <v>Tamworth</v>
      </c>
      <c r="AF52" s="32">
        <f t="shared" si="37"/>
        <v>305</v>
      </c>
      <c r="AG52">
        <f t="shared" si="38"/>
        <v>0</v>
      </c>
      <c r="AH52" s="53" t="str">
        <f>'Event Details'!$H28</f>
        <v>Tam</v>
      </c>
      <c r="AI52" s="32"/>
      <c r="AJ52" s="32"/>
    </row>
    <row r="53" spans="1:39" ht="15" thickBot="1" x14ac:dyDescent="0.35">
      <c r="A53" s="32">
        <v>8</v>
      </c>
      <c r="B53" s="25">
        <f t="shared" si="39"/>
        <v>1</v>
      </c>
      <c r="C53" s="115" t="str">
        <f t="shared" si="40"/>
        <v>Worcester</v>
      </c>
      <c r="D53" s="116">
        <f t="shared" si="41"/>
        <v>25</v>
      </c>
      <c r="E53" s="523"/>
      <c r="G53" s="757">
        <f t="shared" si="42"/>
        <v>1</v>
      </c>
      <c r="H53" s="733" t="str">
        <f t="shared" si="43"/>
        <v>Worcester</v>
      </c>
      <c r="I53" s="735"/>
      <c r="J53" s="735">
        <f t="shared" si="34"/>
        <v>210.5</v>
      </c>
      <c r="K53" s="736"/>
      <c r="M53" s="761">
        <f t="shared" si="44"/>
        <v>1</v>
      </c>
      <c r="N53" s="737" t="str">
        <f t="shared" si="45"/>
        <v>Worcester</v>
      </c>
      <c r="O53" s="739"/>
      <c r="P53" s="739">
        <f t="shared" si="35"/>
        <v>407.5</v>
      </c>
      <c r="Q53" s="740"/>
      <c r="W53" s="704">
        <f>RANK(Z53,Z$46:Z$53,0)+COUNTIF(Z$46:Z53,Z53)-1</f>
        <v>8</v>
      </c>
      <c r="X53" s="116">
        <v>1</v>
      </c>
      <c r="Y53" s="114" t="str">
        <f t="shared" si="36"/>
        <v>Worcester</v>
      </c>
      <c r="Z53" s="765">
        <f>'Results by Age Group'!$AD432</f>
        <v>25</v>
      </c>
      <c r="AA53" s="117" t="str">
        <f>'Event Details'!$H29</f>
        <v>Worc</v>
      </c>
      <c r="AC53" s="704">
        <f>RANK(AF53,AF$46:AF$53,0)+COUNTIF(AF$46:AF53,AF53)-1</f>
        <v>8</v>
      </c>
      <c r="AD53" s="116">
        <f t="shared" si="46"/>
        <v>8</v>
      </c>
      <c r="AE53" s="114" t="str">
        <f t="shared" si="47"/>
        <v>Worcester</v>
      </c>
      <c r="AF53" s="116">
        <f t="shared" si="37"/>
        <v>210.5</v>
      </c>
      <c r="AG53" s="115">
        <f t="shared" si="38"/>
        <v>0</v>
      </c>
      <c r="AH53" s="117" t="str">
        <f>'Event Details'!$H29</f>
        <v>Worc</v>
      </c>
      <c r="AI53" s="32"/>
      <c r="AJ53" s="32"/>
    </row>
    <row r="54" spans="1:39" x14ac:dyDescent="0.3">
      <c r="D54" s="32"/>
      <c r="E54" s="32">
        <f>SUM(E46:E53)</f>
        <v>0</v>
      </c>
      <c r="J54" s="32"/>
      <c r="K54" s="32">
        <f>SUM(K46:K53)</f>
        <v>0</v>
      </c>
      <c r="P54" s="32"/>
      <c r="Q54" s="32">
        <f>SUM(Q46:Q53)</f>
        <v>0</v>
      </c>
      <c r="W54" s="32"/>
      <c r="X54" s="32"/>
      <c r="AC54" s="32"/>
      <c r="AD54" s="32"/>
      <c r="AI54" s="32"/>
      <c r="AJ54" s="32"/>
    </row>
    <row r="55" spans="1:39" x14ac:dyDescent="0.3">
      <c r="D55" s="32"/>
      <c r="E55" s="32"/>
      <c r="J55" s="32"/>
      <c r="K55" s="32"/>
      <c r="P55" s="32"/>
      <c r="Q55" s="32"/>
      <c r="W55" s="32"/>
      <c r="X55" s="32"/>
      <c r="AC55" s="32"/>
      <c r="AD55" s="32"/>
      <c r="AI55" s="32"/>
      <c r="AJ55" s="32"/>
    </row>
    <row r="56" spans="1:39" x14ac:dyDescent="0.3">
      <c r="D56" s="32"/>
      <c r="E56" s="32"/>
      <c r="J56" s="32"/>
      <c r="K56" s="32"/>
      <c r="P56" s="32"/>
      <c r="Q56" s="32"/>
      <c r="W56" s="32"/>
      <c r="X56" s="32"/>
      <c r="AC56" s="32"/>
      <c r="AD56" s="32"/>
      <c r="AI56" s="32"/>
      <c r="AJ56" s="32"/>
    </row>
    <row r="57" spans="1:39" x14ac:dyDescent="0.3">
      <c r="D57" s="32"/>
      <c r="E57" s="32"/>
      <c r="J57" s="32"/>
      <c r="K57" s="32"/>
      <c r="P57" s="32"/>
      <c r="Q57" s="32"/>
      <c r="W57" s="32"/>
      <c r="X57" s="32"/>
      <c r="AC57" s="32"/>
      <c r="AD57" s="32"/>
      <c r="AI57" s="32"/>
      <c r="AJ57" s="32"/>
    </row>
    <row r="58" spans="1:39" x14ac:dyDescent="0.3">
      <c r="D58" s="32"/>
      <c r="E58" s="32"/>
      <c r="J58" s="32"/>
      <c r="K58" s="32"/>
      <c r="P58" s="32"/>
      <c r="Q58" s="32"/>
      <c r="W58" s="32"/>
      <c r="X58" s="32"/>
      <c r="AC58" s="32"/>
      <c r="AD58" s="32"/>
      <c r="AI58" s="32"/>
      <c r="AJ58" s="32"/>
    </row>
    <row r="59" spans="1:39" ht="15" thickBot="1" x14ac:dyDescent="0.35">
      <c r="D59" s="32"/>
      <c r="E59" s="32"/>
      <c r="J59" s="32"/>
      <c r="K59" s="32"/>
      <c r="P59" s="32"/>
      <c r="Q59" s="32"/>
      <c r="W59" s="32"/>
      <c r="X59" s="32"/>
      <c r="AC59" s="32"/>
      <c r="AD59" s="32"/>
      <c r="AI59" s="32"/>
      <c r="AJ59" s="32"/>
    </row>
    <row r="60" spans="1:39" x14ac:dyDescent="0.3">
      <c r="D60" s="32"/>
      <c r="E60" s="32"/>
      <c r="J60" s="32"/>
      <c r="K60" s="32"/>
      <c r="P60" s="32"/>
      <c r="Q60" s="32"/>
      <c r="W60" s="32"/>
      <c r="X60" s="32"/>
      <c r="AC60" s="690" t="s">
        <v>308</v>
      </c>
      <c r="AD60" s="691" t="s">
        <v>310</v>
      </c>
      <c r="AE60" s="692" t="s">
        <v>334</v>
      </c>
      <c r="AF60" s="732" t="s">
        <v>318</v>
      </c>
      <c r="AG60" s="693"/>
      <c r="AH60" s="694"/>
      <c r="AI60" s="32"/>
      <c r="AJ60" s="32"/>
    </row>
    <row r="61" spans="1:39" ht="15" thickBot="1" x14ac:dyDescent="0.35">
      <c r="D61" s="32"/>
      <c r="E61" s="32"/>
      <c r="J61" s="32"/>
      <c r="K61" s="32"/>
      <c r="P61" s="32"/>
      <c r="Q61" s="32"/>
      <c r="W61" s="32"/>
      <c r="X61" s="32"/>
      <c r="AC61" s="696" t="s">
        <v>316</v>
      </c>
      <c r="AD61" s="697" t="s">
        <v>316</v>
      </c>
      <c r="AE61" s="114" t="s">
        <v>86</v>
      </c>
      <c r="AF61" s="116" t="s">
        <v>322</v>
      </c>
      <c r="AG61" s="698" t="s">
        <v>314</v>
      </c>
      <c r="AH61" s="699"/>
      <c r="AI61" s="32"/>
      <c r="AJ61" s="32"/>
    </row>
    <row r="62" spans="1:39" x14ac:dyDescent="0.3">
      <c r="D62" s="32"/>
      <c r="E62" s="32"/>
      <c r="J62" s="32"/>
      <c r="K62" s="32"/>
      <c r="P62" s="32"/>
      <c r="Q62" s="32"/>
      <c r="W62" s="32"/>
      <c r="X62" s="32"/>
      <c r="AC62" s="719">
        <f>RANK(AF62,AF$62:AF$69,0)+COUNTIF(AF$62:AF62,AF62)-1</f>
        <v>2</v>
      </c>
      <c r="AD62" s="49">
        <f>RANK(AF62,AF$62:AF$69)</f>
        <v>2</v>
      </c>
      <c r="AE62" s="4" t="str">
        <f>AE46</f>
        <v>BRAT</v>
      </c>
      <c r="AF62" s="49">
        <f t="shared" ref="AF62:AF69" si="48">AF19+AF46</f>
        <v>748</v>
      </c>
      <c r="AG62" s="48">
        <f t="shared" ref="AG62:AG69" si="49">VLOOKUP(AE62,MenPoints,4,FALSE)+VLOOKUP(AE62,WomPoints,4,FALSE)</f>
        <v>0</v>
      </c>
      <c r="AH62" s="50" t="s">
        <v>90</v>
      </c>
      <c r="AI62" s="32"/>
      <c r="AJ62" s="32">
        <v>3</v>
      </c>
      <c r="AK62" t="s">
        <v>92</v>
      </c>
      <c r="AL62" s="32">
        <v>622</v>
      </c>
      <c r="AM62">
        <v>12</v>
      </c>
    </row>
    <row r="63" spans="1:39" x14ac:dyDescent="0.3">
      <c r="D63" s="32"/>
      <c r="E63" s="32"/>
      <c r="J63" s="32"/>
      <c r="K63" s="32"/>
      <c r="P63" s="32"/>
      <c r="Q63" s="32"/>
      <c r="W63" s="32"/>
      <c r="X63" s="32"/>
      <c r="AC63" s="702">
        <f>RANK(AF63,AF$62:AF$69,0)+COUNTIF(AF$62:AF63,AF63)-1</f>
        <v>7</v>
      </c>
      <c r="AD63" s="32">
        <f t="shared" ref="AD63:AD69" si="50">RANK(AF63,AF$62:AF$69)</f>
        <v>7</v>
      </c>
      <c r="AE63" s="51" t="str">
        <f t="shared" ref="AE63:AE69" si="51">AE47</f>
        <v>Kidder &amp; Stourport</v>
      </c>
      <c r="AF63" s="32">
        <f t="shared" si="48"/>
        <v>445.5</v>
      </c>
      <c r="AG63">
        <f t="shared" si="49"/>
        <v>0</v>
      </c>
      <c r="AH63" s="53" t="s">
        <v>337</v>
      </c>
      <c r="AI63" s="32"/>
      <c r="AJ63" s="32">
        <v>8</v>
      </c>
      <c r="AK63" t="s">
        <v>105</v>
      </c>
      <c r="AL63" s="32">
        <v>279</v>
      </c>
      <c r="AM63">
        <v>2</v>
      </c>
    </row>
    <row r="64" spans="1:39" x14ac:dyDescent="0.3">
      <c r="D64" s="32"/>
      <c r="E64" s="32"/>
      <c r="J64" s="32"/>
      <c r="K64" s="32"/>
      <c r="P64" s="32"/>
      <c r="Q64" s="32"/>
      <c r="W64" s="32"/>
      <c r="X64" s="32"/>
      <c r="AC64" s="702">
        <f>RANK(AF64,AF$62:AF$69,0)+COUNTIF(AF$62:AF64,AF64)-1</f>
        <v>5</v>
      </c>
      <c r="AD64" s="32">
        <f t="shared" si="50"/>
        <v>5</v>
      </c>
      <c r="AE64" s="51" t="str">
        <f t="shared" si="51"/>
        <v>Royal Sutton</v>
      </c>
      <c r="AF64" s="32">
        <f t="shared" si="48"/>
        <v>579</v>
      </c>
      <c r="AG64">
        <f t="shared" si="49"/>
        <v>0</v>
      </c>
      <c r="AH64" s="53" t="s">
        <v>338</v>
      </c>
      <c r="AI64" s="32"/>
      <c r="AJ64" s="32">
        <v>1</v>
      </c>
      <c r="AK64" t="s">
        <v>113</v>
      </c>
      <c r="AL64" s="32">
        <v>642</v>
      </c>
      <c r="AM64">
        <v>14</v>
      </c>
    </row>
    <row r="65" spans="4:39" x14ac:dyDescent="0.3">
      <c r="D65" s="32"/>
      <c r="E65" s="32"/>
      <c r="J65" s="32"/>
      <c r="K65" s="32"/>
      <c r="P65" s="32"/>
      <c r="Q65" s="32"/>
      <c r="W65" s="32"/>
      <c r="X65" s="32"/>
      <c r="AC65" s="702">
        <f>RANK(AF65,AF$62:AF$69,0)+COUNTIF(AF$62:AF65,AF65)-1</f>
        <v>3</v>
      </c>
      <c r="AD65" s="32">
        <f t="shared" si="50"/>
        <v>3</v>
      </c>
      <c r="AE65" s="51" t="str">
        <f t="shared" si="51"/>
        <v>Rugby &amp; N'hampton</v>
      </c>
      <c r="AF65" s="32">
        <f t="shared" si="48"/>
        <v>719.5</v>
      </c>
      <c r="AG65">
        <f t="shared" si="49"/>
        <v>0</v>
      </c>
      <c r="AH65" s="53" t="s">
        <v>112</v>
      </c>
      <c r="AI65" s="32"/>
      <c r="AJ65" s="32">
        <v>7</v>
      </c>
      <c r="AK65" t="s">
        <v>339</v>
      </c>
      <c r="AL65" s="32">
        <v>477</v>
      </c>
      <c r="AM65">
        <v>6</v>
      </c>
    </row>
    <row r="66" spans="4:39" x14ac:dyDescent="0.3">
      <c r="D66" s="32"/>
      <c r="E66" s="32"/>
      <c r="J66" s="32"/>
      <c r="K66" s="32"/>
      <c r="P66" s="32"/>
      <c r="Q66" s="32"/>
      <c r="W66" s="32"/>
      <c r="X66" s="32"/>
      <c r="AC66" s="702">
        <f>RANK(AF66,AF$62:AF$69,0)+COUNTIF(AF$62:AF66,AF66)-1</f>
        <v>4</v>
      </c>
      <c r="AD66" s="32">
        <f t="shared" si="50"/>
        <v>4</v>
      </c>
      <c r="AE66" s="51" t="str">
        <f t="shared" si="51"/>
        <v>Solihull &amp; S.Heath</v>
      </c>
      <c r="AF66" s="32">
        <f t="shared" si="48"/>
        <v>611</v>
      </c>
      <c r="AG66">
        <f t="shared" si="49"/>
        <v>0</v>
      </c>
      <c r="AH66" s="53" t="s">
        <v>141</v>
      </c>
      <c r="AI66" s="32"/>
      <c r="AJ66" s="32">
        <v>6</v>
      </c>
      <c r="AK66" t="s">
        <v>119</v>
      </c>
      <c r="AL66" s="32">
        <v>509</v>
      </c>
      <c r="AM66">
        <v>6</v>
      </c>
    </row>
    <row r="67" spans="4:39" x14ac:dyDescent="0.3">
      <c r="D67" s="32"/>
      <c r="E67" s="32"/>
      <c r="J67" s="32"/>
      <c r="K67" s="32"/>
      <c r="P67" s="32"/>
      <c r="Q67" s="32"/>
      <c r="W67" s="32"/>
      <c r="X67" s="32"/>
      <c r="AC67" s="702">
        <f>RANK(AF67,AF$62:AF$69,0)+COUNTIF(AF$62:AF67,AF67)-1</f>
        <v>1</v>
      </c>
      <c r="AD67" s="32">
        <f t="shared" si="50"/>
        <v>1</v>
      </c>
      <c r="AE67" s="51" t="str">
        <f t="shared" si="51"/>
        <v>Stratford</v>
      </c>
      <c r="AF67" s="32">
        <f t="shared" si="48"/>
        <v>777.5</v>
      </c>
      <c r="AG67">
        <f t="shared" si="49"/>
        <v>0</v>
      </c>
      <c r="AH67" s="53" t="s">
        <v>153</v>
      </c>
      <c r="AI67" s="32"/>
      <c r="AJ67" s="32">
        <v>4</v>
      </c>
      <c r="AK67" t="s">
        <v>128</v>
      </c>
      <c r="AL67" s="32">
        <v>587</v>
      </c>
      <c r="AM67">
        <v>10</v>
      </c>
    </row>
    <row r="68" spans="4:39" x14ac:dyDescent="0.3">
      <c r="D68" s="32"/>
      <c r="E68" s="32"/>
      <c r="J68" s="32"/>
      <c r="K68" s="32"/>
      <c r="P68" s="32"/>
      <c r="Q68" s="32"/>
      <c r="W68" s="32"/>
      <c r="X68" s="32"/>
      <c r="AC68" s="702">
        <f>RANK(AF68,AF$62:AF$69,0)+COUNTIF(AF$62:AF68,AF68)-1</f>
        <v>6</v>
      </c>
      <c r="AD68" s="32">
        <f t="shared" si="50"/>
        <v>6</v>
      </c>
      <c r="AE68" s="51" t="str">
        <f t="shared" si="51"/>
        <v>Tamworth</v>
      </c>
      <c r="AF68" s="32">
        <f t="shared" si="48"/>
        <v>453</v>
      </c>
      <c r="AG68">
        <f t="shared" si="49"/>
        <v>0</v>
      </c>
      <c r="AH68" s="53" t="s">
        <v>150</v>
      </c>
      <c r="AI68" s="32"/>
      <c r="AJ68" s="32">
        <v>2</v>
      </c>
      <c r="AK68" t="s">
        <v>137</v>
      </c>
      <c r="AL68" s="32">
        <v>698</v>
      </c>
      <c r="AM68">
        <v>13</v>
      </c>
    </row>
    <row r="69" spans="4:39" ht="15" thickBot="1" x14ac:dyDescent="0.35">
      <c r="D69" s="32"/>
      <c r="E69" s="32"/>
      <c r="J69" s="32"/>
      <c r="K69" s="32"/>
      <c r="P69" s="32"/>
      <c r="Q69" s="32"/>
      <c r="W69" s="32"/>
      <c r="X69" s="32"/>
      <c r="AC69" s="704">
        <f>RANK(AF69,AF$62:AF$69,0)+COUNTIF(AF$62:AF69,AF69)-1</f>
        <v>8</v>
      </c>
      <c r="AD69" s="116">
        <f t="shared" si="50"/>
        <v>8</v>
      </c>
      <c r="AE69" s="114" t="str">
        <f t="shared" si="51"/>
        <v>Worcester</v>
      </c>
      <c r="AF69" s="116">
        <f t="shared" si="48"/>
        <v>407.5</v>
      </c>
      <c r="AG69" s="115">
        <f t="shared" si="49"/>
        <v>0</v>
      </c>
      <c r="AH69" s="117">
        <v>0</v>
      </c>
      <c r="AI69" s="32"/>
      <c r="AJ69" s="32">
        <v>5</v>
      </c>
      <c r="AK69" t="s">
        <v>340</v>
      </c>
      <c r="AL69" s="32">
        <v>545</v>
      </c>
      <c r="AM69">
        <v>9</v>
      </c>
    </row>
  </sheetData>
  <sheetProtection sheet="1" objects="1" scenarios="1"/>
  <mergeCells count="11">
    <mergeCell ref="B44:B45"/>
    <mergeCell ref="G44:G45"/>
    <mergeCell ref="M44:M45"/>
    <mergeCell ref="B4:B5"/>
    <mergeCell ref="G4:G5"/>
    <mergeCell ref="M4:M5"/>
    <mergeCell ref="B17:B18"/>
    <mergeCell ref="G17:G18"/>
    <mergeCell ref="B30:B31"/>
    <mergeCell ref="G30:G31"/>
    <mergeCell ref="M30:M31"/>
  </mergeCells>
  <pageMargins left="0.25" right="0.25" top="0.75" bottom="0.75" header="0.3" footer="0.3"/>
  <pageSetup paperSize="9" scale="76" fitToHeight="0"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A3D42-8DD9-434C-B4B1-ECB79B0D377C}">
  <sheetPr codeName="Sheet7"/>
  <dimension ref="A1:S190"/>
  <sheetViews>
    <sheetView showZeros="0" workbookViewId="0">
      <selection activeCell="K38" sqref="K38"/>
    </sheetView>
  </sheetViews>
  <sheetFormatPr defaultRowHeight="14.4" x14ac:dyDescent="0.3"/>
  <cols>
    <col min="1" max="2" width="7.109375" style="32" customWidth="1"/>
    <col min="3" max="3" width="20.6640625" customWidth="1"/>
    <col min="4" max="4" width="3.88671875" customWidth="1"/>
    <col min="5" max="5" width="22.6640625" customWidth="1"/>
    <col min="6" max="6" width="4.5546875" style="758" customWidth="1"/>
    <col min="7" max="7" width="22.6640625" customWidth="1"/>
    <col min="8" max="8" width="2.6640625" customWidth="1"/>
    <col min="9" max="10" width="9.6640625" style="774" customWidth="1"/>
    <col min="11" max="12" width="6.6640625" style="32" customWidth="1"/>
    <col min="13" max="15" width="7.5546875" style="32" customWidth="1"/>
    <col min="19" max="19" width="12.88671875" customWidth="1"/>
  </cols>
  <sheetData>
    <row r="1" spans="1:19" ht="17.399999999999999" x14ac:dyDescent="0.3">
      <c r="B1"/>
      <c r="E1" s="771" t="str">
        <f>'Event Details'!E5</f>
        <v>Heart of England League</v>
      </c>
      <c r="F1" s="772"/>
      <c r="G1" s="773"/>
      <c r="H1" s="55"/>
    </row>
    <row r="2" spans="1:19" x14ac:dyDescent="0.3">
      <c r="B2" s="775" t="s">
        <v>71</v>
      </c>
      <c r="C2" s="776" t="s">
        <v>86</v>
      </c>
      <c r="D2" s="776"/>
      <c r="E2" s="776" t="s">
        <v>67</v>
      </c>
      <c r="F2" s="777"/>
      <c r="G2" s="778" t="s">
        <v>66</v>
      </c>
      <c r="H2" s="55"/>
    </row>
    <row r="3" spans="1:19" ht="18" thickBot="1" x14ac:dyDescent="0.35">
      <c r="B3" s="779" t="s">
        <v>341</v>
      </c>
      <c r="C3" s="52" t="str">
        <f>VLOOKUP(B3,ShortName,2,FALSE)</f>
        <v>BRAT</v>
      </c>
      <c r="D3" s="750"/>
      <c r="E3" s="55" t="str">
        <f>'Event Details'!G17</f>
        <v>Rugby &amp; N'hampton</v>
      </c>
      <c r="G3" s="56" t="str">
        <f>'Event Details'!C17</f>
        <v>17th May 2026</v>
      </c>
      <c r="H3" s="55"/>
      <c r="Q3" s="228"/>
    </row>
    <row r="4" spans="1:19" x14ac:dyDescent="0.3">
      <c r="B4" s="56"/>
      <c r="E4" s="1337" t="s">
        <v>75</v>
      </c>
      <c r="F4" s="780"/>
      <c r="G4" s="1338" t="s">
        <v>75</v>
      </c>
      <c r="H4" s="781"/>
      <c r="I4" s="1433" t="s">
        <v>342</v>
      </c>
      <c r="J4" s="1434"/>
      <c r="K4" s="1435" t="s">
        <v>343</v>
      </c>
      <c r="L4" s="1436"/>
      <c r="M4" s="1435" t="s">
        <v>76</v>
      </c>
      <c r="N4" s="1436"/>
      <c r="O4" s="782" t="s">
        <v>344</v>
      </c>
    </row>
    <row r="5" spans="1:19" ht="15" thickBot="1" x14ac:dyDescent="0.35">
      <c r="A5"/>
      <c r="B5"/>
      <c r="C5" s="32"/>
      <c r="D5" s="32"/>
      <c r="E5" s="783" t="s">
        <v>149</v>
      </c>
      <c r="F5" s="784"/>
      <c r="G5" s="785" t="s">
        <v>94</v>
      </c>
      <c r="H5" s="56"/>
      <c r="I5" s="56" t="s">
        <v>149</v>
      </c>
      <c r="J5" s="56" t="s">
        <v>94</v>
      </c>
      <c r="K5" s="56" t="s">
        <v>149</v>
      </c>
      <c r="L5" s="56" t="s">
        <v>94</v>
      </c>
      <c r="M5" s="56" t="s">
        <v>149</v>
      </c>
      <c r="N5" s="56" t="s">
        <v>94</v>
      </c>
      <c r="O5" s="786" t="s">
        <v>345</v>
      </c>
      <c r="P5" s="787">
        <f>'Event Details'!D32+1</f>
        <v>9</v>
      </c>
      <c r="Q5" s="600">
        <f>VLOOKUP(B3,Q8:R15,2,FALSE)</f>
        <v>1</v>
      </c>
      <c r="R5" s="600" t="str">
        <f>VLOOKUP(B3,Q8:S15,3,FALSE)</f>
        <v>S - BRAT</v>
      </c>
    </row>
    <row r="6" spans="1:19" ht="15.6" x14ac:dyDescent="0.3">
      <c r="A6" s="56" t="s">
        <v>165</v>
      </c>
      <c r="B6" s="56" t="s">
        <v>165</v>
      </c>
      <c r="C6" s="788" t="s">
        <v>479</v>
      </c>
      <c r="D6" s="789"/>
      <c r="E6" s="32" t="s">
        <v>346</v>
      </c>
      <c r="G6" s="32" t="s">
        <v>346</v>
      </c>
      <c r="H6" s="32"/>
      <c r="I6" s="790"/>
      <c r="J6" s="790"/>
    </row>
    <row r="7" spans="1:19" ht="15" thickBot="1" x14ac:dyDescent="0.35">
      <c r="A7" s="56" t="s">
        <v>167</v>
      </c>
      <c r="B7" s="56" t="s">
        <v>168</v>
      </c>
      <c r="E7" s="56" t="s">
        <v>149</v>
      </c>
      <c r="F7" s="791"/>
      <c r="G7" s="56" t="s">
        <v>94</v>
      </c>
      <c r="H7" s="56"/>
      <c r="I7" s="56" t="s">
        <v>149</v>
      </c>
      <c r="J7" s="56" t="s">
        <v>94</v>
      </c>
      <c r="K7" s="56" t="s">
        <v>149</v>
      </c>
      <c r="L7" s="56" t="s">
        <v>94</v>
      </c>
      <c r="M7" s="56" t="s">
        <v>149</v>
      </c>
      <c r="N7" s="56" t="s">
        <v>94</v>
      </c>
      <c r="O7" s="56"/>
      <c r="Q7" s="85" t="s">
        <v>347</v>
      </c>
    </row>
    <row r="8" spans="1:19" x14ac:dyDescent="0.3">
      <c r="A8" s="790"/>
      <c r="B8" s="774"/>
      <c r="C8" s="792"/>
      <c r="D8" s="793"/>
      <c r="E8" s="794"/>
      <c r="F8" s="795"/>
      <c r="G8" s="794"/>
      <c r="H8" s="438"/>
      <c r="I8" s="796" t="str">
        <f>IF(A8&gt;0,VLOOKUP(A8,Data2,I$6,FALSE)," ")</f>
        <v xml:space="preserve"> </v>
      </c>
      <c r="J8" s="797" t="str">
        <f>IF(A8&gt;0,VLOOKUP(A8,Data2,J$6,FALSE)," ")</f>
        <v xml:space="preserve"> </v>
      </c>
      <c r="K8" s="798" t="str">
        <f>IF(A8&gt;0,VLOOKUP(A8,Data2,K$6,FALSE)," ")</f>
        <v xml:space="preserve"> </v>
      </c>
      <c r="L8" s="799" t="str">
        <f>IF(A8&gt;0,VLOOKUP(A8,Data2,L$6,FALSE)," ")</f>
        <v xml:space="preserve"> </v>
      </c>
      <c r="M8" s="800"/>
      <c r="N8" s="799"/>
      <c r="O8" s="790"/>
      <c r="Q8" s="653" t="str">
        <f>'Event Details'!D22</f>
        <v>S</v>
      </c>
      <c r="R8" s="49">
        <v>1</v>
      </c>
      <c r="S8" s="856" t="str">
        <f>'Track Lane Draw'!H5</f>
        <v>S - BRAT</v>
      </c>
    </row>
    <row r="9" spans="1:19" x14ac:dyDescent="0.3">
      <c r="A9" s="801">
        <v>5</v>
      </c>
      <c r="B9" s="774">
        <f t="shared" ref="B9:B14" si="0">IF($A9&gt;0,VLOOKUP($A9,EventsOrder,2,FALSE)," ")</f>
        <v>11.45</v>
      </c>
      <c r="C9" s="792" t="str">
        <f t="shared" ref="C9:C14" si="1">IF($A9&gt;0,VLOOKUP($A9,EventsOrder,6,FALSE)," ")</f>
        <v xml:space="preserve">Howler </v>
      </c>
      <c r="D9" s="802"/>
      <c r="E9" s="118" t="str">
        <f t="shared" ref="E9:E14" si="2">IF($A9&gt;0,VLOOKUP($O9,Results,7,FALSE),0)</f>
        <v xml:space="preserve">Leo Parekh </v>
      </c>
      <c r="F9" s="848"/>
      <c r="G9" s="118" t="str">
        <f t="shared" ref="G9:G14" si="3">IF($A9&gt;0,VLOOKUP($O9,Results,9,FALSE),0)</f>
        <v xml:space="preserve">Logan Pearce </v>
      </c>
      <c r="H9" s="803"/>
      <c r="I9" s="804">
        <f t="shared" ref="I9:J12" si="4">IF($A9&gt;0,VLOOKUP($O9,Results,R$21,FALSE),0)</f>
        <v>31.27</v>
      </c>
      <c r="J9" s="805">
        <f t="shared" si="4"/>
        <v>22.66</v>
      </c>
      <c r="K9" s="790">
        <f t="shared" ref="K9:L12" si="5">IF($A9&gt;0,VLOOKUP($O9,Results,R$22,FALSE),0)</f>
        <v>7</v>
      </c>
      <c r="L9" s="806">
        <f t="shared" si="5"/>
        <v>6</v>
      </c>
      <c r="M9" s="807">
        <f t="shared" ref="M9:N12" si="6">IF($A9&gt;0,VLOOKUP($O9,Results,R$23,FALSE),0)</f>
        <v>2</v>
      </c>
      <c r="N9" s="806">
        <f t="shared" si="6"/>
        <v>3</v>
      </c>
      <c r="O9" s="790">
        <f>IF(A9&gt;0,(A9*10)+Q$5,0)</f>
        <v>51</v>
      </c>
      <c r="Q9" s="16" t="str">
        <f>'Event Details'!D23</f>
        <v>U</v>
      </c>
      <c r="R9" s="32">
        <v>2</v>
      </c>
      <c r="S9" s="139" t="str">
        <f>'Track Lane Draw'!H6</f>
        <v>U - K&amp;S</v>
      </c>
    </row>
    <row r="10" spans="1:19" x14ac:dyDescent="0.3">
      <c r="A10" s="801">
        <v>16</v>
      </c>
      <c r="B10" s="222">
        <f t="shared" si="0"/>
        <v>12.3</v>
      </c>
      <c r="C10" s="222" t="str">
        <f t="shared" si="1"/>
        <v>Long Jump Pit 1</v>
      </c>
      <c r="D10" s="808"/>
      <c r="E10" s="118" t="str">
        <f t="shared" si="2"/>
        <v xml:space="preserve">Leo Parekh </v>
      </c>
      <c r="F10" s="848"/>
      <c r="G10" s="118" t="str">
        <f t="shared" si="3"/>
        <v>Zachary Asanga</v>
      </c>
      <c r="H10" s="803"/>
      <c r="I10" s="804">
        <f t="shared" si="4"/>
        <v>3.6</v>
      </c>
      <c r="J10" s="805">
        <f t="shared" si="4"/>
        <v>3.57</v>
      </c>
      <c r="K10" s="790">
        <f t="shared" si="5"/>
        <v>3</v>
      </c>
      <c r="L10" s="806">
        <f t="shared" si="5"/>
        <v>2</v>
      </c>
      <c r="M10" s="807">
        <f t="shared" si="6"/>
        <v>6</v>
      </c>
      <c r="N10" s="806">
        <f t="shared" si="6"/>
        <v>7</v>
      </c>
      <c r="O10" s="790">
        <f t="shared" ref="O10:O12" si="7">IF(A10&gt;0,(A10*10)+Q$5,0)</f>
        <v>161</v>
      </c>
      <c r="Q10" s="16" t="str">
        <f>'Event Details'!D24</f>
        <v>G</v>
      </c>
      <c r="R10" s="32">
        <v>3</v>
      </c>
      <c r="S10" s="139" t="str">
        <f>'Track Lane Draw'!H7</f>
        <v>G - Royal</v>
      </c>
    </row>
    <row r="11" spans="1:19" x14ac:dyDescent="0.3">
      <c r="A11" s="801">
        <v>34</v>
      </c>
      <c r="B11" s="774">
        <f t="shared" si="0"/>
        <v>2</v>
      </c>
      <c r="C11" s="792" t="str">
        <f t="shared" si="1"/>
        <v xml:space="preserve">600m </v>
      </c>
      <c r="D11" s="808"/>
      <c r="E11" s="118" t="str">
        <f t="shared" si="2"/>
        <v>Zachary Asanga</v>
      </c>
      <c r="F11" s="848"/>
      <c r="G11" s="118" t="str">
        <f t="shared" si="3"/>
        <v xml:space="preserve">Logan Pearce </v>
      </c>
      <c r="H11" s="803"/>
      <c r="I11" s="804" t="str">
        <f t="shared" si="4"/>
        <v>1.47.9</v>
      </c>
      <c r="J11" s="805" t="str">
        <f t="shared" si="4"/>
        <v>1.52.2</v>
      </c>
      <c r="K11" s="790">
        <f t="shared" si="5"/>
        <v>1</v>
      </c>
      <c r="L11" s="806">
        <f t="shared" si="5"/>
        <v>1</v>
      </c>
      <c r="M11" s="807">
        <f t="shared" si="6"/>
        <v>8</v>
      </c>
      <c r="N11" s="806">
        <f t="shared" si="6"/>
        <v>8</v>
      </c>
      <c r="O11" s="790">
        <f t="shared" si="7"/>
        <v>341</v>
      </c>
      <c r="Q11" s="16" t="str">
        <f>'Event Details'!D25</f>
        <v>R</v>
      </c>
      <c r="R11" s="32">
        <v>4</v>
      </c>
      <c r="S11" s="139" t="str">
        <f>'Track Lane Draw'!H8</f>
        <v>R - Rugby</v>
      </c>
    </row>
    <row r="12" spans="1:19" x14ac:dyDescent="0.3">
      <c r="A12" s="801">
        <v>53</v>
      </c>
      <c r="B12" s="774">
        <f t="shared" si="0"/>
        <v>2.5499999999999998</v>
      </c>
      <c r="C12" s="792" t="str">
        <f t="shared" si="1"/>
        <v xml:space="preserve">75m </v>
      </c>
      <c r="D12" s="808"/>
      <c r="E12" s="118" t="str">
        <f t="shared" si="2"/>
        <v xml:space="preserve">Adrian Ward </v>
      </c>
      <c r="F12" s="848"/>
      <c r="G12" s="118" t="str">
        <f t="shared" si="3"/>
        <v xml:space="preserve">Oliver brooks </v>
      </c>
      <c r="H12" s="803"/>
      <c r="I12" s="1209">
        <f t="shared" si="4"/>
        <v>10.4</v>
      </c>
      <c r="J12" s="1210">
        <f t="shared" si="4"/>
        <v>11.7</v>
      </c>
      <c r="K12" s="790">
        <f t="shared" si="5"/>
        <v>1</v>
      </c>
      <c r="L12" s="806">
        <f t="shared" si="5"/>
        <v>5</v>
      </c>
      <c r="M12" s="807">
        <f t="shared" si="6"/>
        <v>8</v>
      </c>
      <c r="N12" s="806">
        <f t="shared" si="6"/>
        <v>4</v>
      </c>
      <c r="O12" s="790">
        <f t="shared" si="7"/>
        <v>531</v>
      </c>
      <c r="Q12" s="16" t="str">
        <f>'Event Details'!D26</f>
        <v>M</v>
      </c>
      <c r="R12" s="32">
        <v>5</v>
      </c>
      <c r="S12" s="139" t="str">
        <f>'Track Lane Draw'!H9</f>
        <v>M - Sol</v>
      </c>
    </row>
    <row r="13" spans="1:19" x14ac:dyDescent="0.3">
      <c r="A13" s="801">
        <v>54</v>
      </c>
      <c r="B13" s="774">
        <f t="shared" si="0"/>
        <v>3.45</v>
      </c>
      <c r="C13" s="792" t="str">
        <f t="shared" si="1"/>
        <v xml:space="preserve">150m </v>
      </c>
      <c r="D13" s="808"/>
      <c r="E13" s="118" t="str">
        <f t="shared" si="2"/>
        <v xml:space="preserve">Adrian Ward </v>
      </c>
      <c r="F13" s="848"/>
      <c r="G13" s="118" t="str">
        <f t="shared" si="3"/>
        <v xml:space="preserve">Oliver brooks </v>
      </c>
      <c r="H13" s="803"/>
      <c r="I13" s="804">
        <f t="shared" ref="I13:I14" si="8">IF($A13&gt;0,VLOOKUP($O13,Results,R$21,FALSE),0)</f>
        <v>21.1</v>
      </c>
      <c r="J13" s="805">
        <f t="shared" ref="J13:J14" si="9">IF($A13&gt;0,VLOOKUP($O13,Results,S$21,FALSE),0)</f>
        <v>24.1</v>
      </c>
      <c r="K13" s="790">
        <f t="shared" ref="K13:K14" si="10">IF($A13&gt;0,VLOOKUP($O13,Results,R$22,FALSE),0)</f>
        <v>1</v>
      </c>
      <c r="L13" s="806">
        <f t="shared" ref="L13:L14" si="11">IF($A13&gt;0,VLOOKUP($O13,Results,S$22,FALSE),0)</f>
        <v>6</v>
      </c>
      <c r="M13" s="807">
        <f t="shared" ref="M13:M14" si="12">IF($A13&gt;0,VLOOKUP($O13,Results,R$23,FALSE),0)</f>
        <v>8</v>
      </c>
      <c r="N13" s="806">
        <f t="shared" ref="N13:N14" si="13">IF($A13&gt;0,VLOOKUP($O13,Results,S$23,FALSE),0)</f>
        <v>3</v>
      </c>
      <c r="O13" s="790">
        <f t="shared" ref="O13:O14" si="14">IF(A13&gt;0,(A13*10)+Q$5,0)</f>
        <v>541</v>
      </c>
      <c r="Q13" s="16" t="str">
        <f>'Event Details'!D27</f>
        <v>D</v>
      </c>
      <c r="R13" s="32">
        <v>6</v>
      </c>
      <c r="S13" s="139" t="str">
        <f>'Track Lane Draw'!H10</f>
        <v>D - Strat</v>
      </c>
    </row>
    <row r="14" spans="1:19" x14ac:dyDescent="0.3">
      <c r="A14" s="801">
        <v>80</v>
      </c>
      <c r="B14" s="774">
        <f t="shared" si="0"/>
        <v>4.45</v>
      </c>
      <c r="C14" s="792" t="str">
        <f t="shared" si="1"/>
        <v xml:space="preserve">4 x 100m  </v>
      </c>
      <c r="D14" s="808"/>
      <c r="E14" s="118" t="str">
        <f t="shared" si="2"/>
        <v>BRAT</v>
      </c>
      <c r="F14" s="848"/>
      <c r="G14" s="118">
        <f t="shared" si="3"/>
        <v>0</v>
      </c>
      <c r="H14" s="803"/>
      <c r="I14" s="1209">
        <f t="shared" si="8"/>
        <v>59.6</v>
      </c>
      <c r="J14" s="1210">
        <f t="shared" si="9"/>
        <v>0</v>
      </c>
      <c r="K14" s="790">
        <f t="shared" si="10"/>
        <v>2</v>
      </c>
      <c r="L14" s="806">
        <f t="shared" si="11"/>
        <v>0</v>
      </c>
      <c r="M14" s="807">
        <f t="shared" si="12"/>
        <v>7</v>
      </c>
      <c r="N14" s="806">
        <f t="shared" si="13"/>
        <v>0</v>
      </c>
      <c r="O14" s="790">
        <f t="shared" si="14"/>
        <v>801</v>
      </c>
      <c r="Q14" s="16" t="str">
        <f>'Event Details'!D28</f>
        <v>F</v>
      </c>
      <c r="R14" s="32">
        <v>7</v>
      </c>
      <c r="S14" s="139" t="str">
        <f>'Track Lane Draw'!H11</f>
        <v>F - Tam</v>
      </c>
    </row>
    <row r="15" spans="1:19" ht="15" thickBot="1" x14ac:dyDescent="0.35">
      <c r="A15" s="790" t="str">
        <f>A14&amp;"R"</f>
        <v>80R</v>
      </c>
      <c r="C15" s="792"/>
      <c r="D15" s="841">
        <v>1</v>
      </c>
      <c r="E15" s="118" t="str">
        <f>HLOOKUP($R$5,Relays,2,FALSE)</f>
        <v xml:space="preserve">Adrian Ward </v>
      </c>
      <c r="F15" s="863">
        <v>2</v>
      </c>
      <c r="G15" s="118" t="str">
        <f>HLOOKUP($R$5,Relays,3,FALSE)</f>
        <v xml:space="preserve">Leo Parekh </v>
      </c>
      <c r="H15" s="818"/>
      <c r="I15" s="820"/>
      <c r="J15" s="821"/>
      <c r="K15" s="807"/>
      <c r="L15" s="806"/>
      <c r="M15" s="807"/>
      <c r="N15" s="806">
        <f>IF(OR(J15="DNF",ISTEXT(L15)),0,IF(L15&gt;0,$P$5-L15,0))</f>
        <v>0</v>
      </c>
      <c r="O15" s="790"/>
      <c r="Q15" s="25" t="str">
        <f>'Event Details'!D29</f>
        <v>Y</v>
      </c>
      <c r="R15" s="116">
        <v>8</v>
      </c>
      <c r="S15" s="857" t="str">
        <f>'Track Lane Draw'!H12</f>
        <v>Y - Worc</v>
      </c>
    </row>
    <row r="16" spans="1:19" ht="15" thickBot="1" x14ac:dyDescent="0.35">
      <c r="A16" s="790" t="str">
        <f>A14&amp;"S"</f>
        <v>80S</v>
      </c>
      <c r="B16" s="774"/>
      <c r="D16" s="842">
        <v>3</v>
      </c>
      <c r="E16" s="769" t="str">
        <f>HLOOKUP($R$5,Relays,4,FALSE)</f>
        <v>Zachary Asanga</v>
      </c>
      <c r="F16" s="843">
        <v>4</v>
      </c>
      <c r="G16" s="769" t="str">
        <f>HLOOKUP($R$5,Relays,5,FALSE)</f>
        <v xml:space="preserve">Oliver brooks </v>
      </c>
      <c r="H16" s="785"/>
      <c r="I16" s="810"/>
      <c r="J16" s="811"/>
      <c r="K16" s="814"/>
      <c r="L16" s="813"/>
      <c r="M16" s="814"/>
      <c r="N16" s="813"/>
      <c r="O16" s="790"/>
    </row>
    <row r="17" spans="1:19" x14ac:dyDescent="0.3">
      <c r="A17" s="790"/>
      <c r="B17" s="774"/>
      <c r="C17" s="118"/>
      <c r="D17" s="118"/>
      <c r="K17" s="790"/>
      <c r="L17" s="815" t="s">
        <v>78</v>
      </c>
      <c r="M17" s="816">
        <f>SUM(M8:M16)</f>
        <v>39</v>
      </c>
      <c r="N17" s="816">
        <f>SUM(N8:N16)</f>
        <v>25</v>
      </c>
      <c r="O17" s="816"/>
      <c r="Q17" s="855" t="s">
        <v>348</v>
      </c>
      <c r="R17" s="850"/>
      <c r="S17" s="851"/>
    </row>
    <row r="18" spans="1:19" x14ac:dyDescent="0.3">
      <c r="A18" s="790"/>
      <c r="B18" s="774"/>
      <c r="C18" s="118"/>
      <c r="D18" s="118"/>
      <c r="K18" s="790"/>
      <c r="L18" s="790"/>
      <c r="M18" s="816"/>
      <c r="N18" s="816"/>
      <c r="O18" s="816"/>
      <c r="Q18" s="852"/>
      <c r="R18" s="853" t="s">
        <v>149</v>
      </c>
      <c r="S18" s="854" t="s">
        <v>94</v>
      </c>
    </row>
    <row r="19" spans="1:19" ht="15.6" x14ac:dyDescent="0.3">
      <c r="A19" s="56" t="s">
        <v>165</v>
      </c>
      <c r="B19" s="56" t="s">
        <v>165</v>
      </c>
      <c r="C19" s="788" t="s">
        <v>480</v>
      </c>
      <c r="D19" s="789"/>
      <c r="E19" s="32" t="s">
        <v>346</v>
      </c>
      <c r="G19" s="32" t="s">
        <v>346</v>
      </c>
      <c r="H19" s="803"/>
      <c r="I19" s="1437" t="s">
        <v>342</v>
      </c>
      <c r="J19" s="1438"/>
      <c r="K19" s="1439" t="s">
        <v>343</v>
      </c>
      <c r="L19" s="1440"/>
      <c r="M19" s="1439" t="s">
        <v>76</v>
      </c>
      <c r="N19" s="1440"/>
      <c r="O19" s="56"/>
      <c r="Q19" s="51" t="s">
        <v>268</v>
      </c>
      <c r="R19" s="32">
        <v>35</v>
      </c>
      <c r="S19" s="146">
        <v>36</v>
      </c>
    </row>
    <row r="20" spans="1:19" x14ac:dyDescent="0.3">
      <c r="A20" s="56" t="s">
        <v>167</v>
      </c>
      <c r="B20" s="56" t="s">
        <v>168</v>
      </c>
      <c r="E20" s="56" t="s">
        <v>149</v>
      </c>
      <c r="F20" s="791"/>
      <c r="G20" s="56" t="s">
        <v>94</v>
      </c>
      <c r="H20" s="803"/>
      <c r="I20" s="783" t="s">
        <v>149</v>
      </c>
      <c r="J20" s="785" t="s">
        <v>94</v>
      </c>
      <c r="K20" s="783" t="s">
        <v>149</v>
      </c>
      <c r="L20" s="785" t="s">
        <v>94</v>
      </c>
      <c r="M20" s="783" t="s">
        <v>149</v>
      </c>
      <c r="N20" s="785" t="s">
        <v>94</v>
      </c>
      <c r="O20" s="56"/>
      <c r="Q20" s="849" t="s">
        <v>75</v>
      </c>
      <c r="R20" s="32">
        <v>7</v>
      </c>
      <c r="S20" s="146">
        <v>9</v>
      </c>
    </row>
    <row r="21" spans="1:19" x14ac:dyDescent="0.3">
      <c r="A21" s="56"/>
      <c r="B21" s="56"/>
      <c r="C21" s="834" t="s">
        <v>349</v>
      </c>
      <c r="D21" s="793"/>
      <c r="E21" s="859"/>
      <c r="F21" s="860"/>
      <c r="G21" s="859"/>
      <c r="H21" s="833"/>
      <c r="I21" s="612"/>
      <c r="J21" s="818"/>
      <c r="K21" s="612"/>
      <c r="L21" s="818"/>
      <c r="M21" s="612"/>
      <c r="N21" s="818"/>
      <c r="O21" s="56"/>
      <c r="Q21" s="51" t="s">
        <v>168</v>
      </c>
      <c r="R21" s="32">
        <v>33</v>
      </c>
      <c r="S21" s="146">
        <v>34</v>
      </c>
    </row>
    <row r="22" spans="1:19" x14ac:dyDescent="0.3">
      <c r="A22" s="801">
        <v>9</v>
      </c>
      <c r="B22" s="774">
        <f t="shared" ref="B22:B27" si="15">IF($A22&gt;0,VLOOKUP($A22,EventsOrder,2,FALSE)," ")</f>
        <v>11.4</v>
      </c>
      <c r="C22" s="792" t="str">
        <f t="shared" ref="C22:C27" si="16">IF($A22&gt;0,VLOOKUP($A22,EventsOrder,6,FALSE)," ")</f>
        <v xml:space="preserve">800m </v>
      </c>
      <c r="D22" s="819"/>
      <c r="E22" s="118" t="str">
        <f>IF($A22&gt;0,VLOOKUP($O22,Results,7,FALSE),0)</f>
        <v>Sebastien Emerey</v>
      </c>
      <c r="F22" s="848"/>
      <c r="G22" s="118" t="str">
        <f>IF($A22&gt;0,VLOOKUP($O22,Results,9,FALSE),0)</f>
        <v>Jacob Fung</v>
      </c>
      <c r="H22" s="803"/>
      <c r="I22" s="804" t="str">
        <f t="shared" ref="I22:J26" si="17">IF($A22&gt;0,VLOOKUP($O22,Results,R$21,FALSE),0)</f>
        <v>2.36.8</v>
      </c>
      <c r="J22" s="805" t="str">
        <f t="shared" si="17"/>
        <v>2.29.1</v>
      </c>
      <c r="K22" s="790">
        <f t="shared" ref="K22:L26" si="18">IF($A22&gt;0,VLOOKUP($O22,Results,R$22,FALSE),0)</f>
        <v>6</v>
      </c>
      <c r="L22" s="806">
        <f t="shared" si="18"/>
        <v>2</v>
      </c>
      <c r="M22" s="807">
        <f t="shared" ref="M22:N26" si="19">IF($A22&gt;0,VLOOKUP($O22,Results,R$23,FALSE),0)</f>
        <v>3</v>
      </c>
      <c r="N22" s="806">
        <f t="shared" si="19"/>
        <v>7</v>
      </c>
      <c r="O22" s="790">
        <f t="shared" ref="O22:O26" si="20">IF(A22&gt;0,(A22*10)+Q$5,0)</f>
        <v>91</v>
      </c>
      <c r="Q22" s="51" t="s">
        <v>343</v>
      </c>
      <c r="R22" s="32">
        <v>37</v>
      </c>
      <c r="S22" s="146">
        <v>38</v>
      </c>
    </row>
    <row r="23" spans="1:19" ht="15" thickBot="1" x14ac:dyDescent="0.35">
      <c r="A23" s="801">
        <v>14</v>
      </c>
      <c r="B23" s="774">
        <f t="shared" si="15"/>
        <v>12</v>
      </c>
      <c r="C23" s="792" t="str">
        <f t="shared" si="16"/>
        <v xml:space="preserve">80m hurdles </v>
      </c>
      <c r="D23" s="819"/>
      <c r="E23" s="118" t="str">
        <f>IF($A23&gt;0,VLOOKUP($O23,Results,7,FALSE),0)</f>
        <v xml:space="preserve">William Tse </v>
      </c>
      <c r="F23" s="848"/>
      <c r="G23" s="118" t="str">
        <f>IF($A23&gt;0,VLOOKUP($O23,Results,9,FALSE),0)</f>
        <v xml:space="preserve">Harvey Harris </v>
      </c>
      <c r="H23" s="803"/>
      <c r="I23" s="1209">
        <f t="shared" si="17"/>
        <v>12.8</v>
      </c>
      <c r="J23" s="1210">
        <f t="shared" si="17"/>
        <v>17</v>
      </c>
      <c r="K23" s="790">
        <f t="shared" si="18"/>
        <v>1</v>
      </c>
      <c r="L23" s="806">
        <f t="shared" si="18"/>
        <v>3</v>
      </c>
      <c r="M23" s="807">
        <f t="shared" si="19"/>
        <v>8</v>
      </c>
      <c r="N23" s="806">
        <f t="shared" si="19"/>
        <v>6</v>
      </c>
      <c r="O23" s="790">
        <f t="shared" si="20"/>
        <v>141</v>
      </c>
      <c r="Q23" s="114" t="s">
        <v>76</v>
      </c>
      <c r="R23" s="116">
        <v>39</v>
      </c>
      <c r="S23" s="523">
        <v>40</v>
      </c>
    </row>
    <row r="24" spans="1:19" x14ac:dyDescent="0.3">
      <c r="A24" s="801">
        <v>43</v>
      </c>
      <c r="B24" s="774">
        <f t="shared" si="15"/>
        <v>2.35</v>
      </c>
      <c r="C24" s="792" t="str">
        <f t="shared" si="16"/>
        <v xml:space="preserve">100m </v>
      </c>
      <c r="D24" s="819"/>
      <c r="E24" s="118" t="str">
        <f>IF($A24&gt;0,VLOOKUP($O24,Results,7,FALSE),0)</f>
        <v xml:space="preserve">William Tse </v>
      </c>
      <c r="F24" s="848"/>
      <c r="G24" s="118" t="str">
        <f>IF($A24&gt;0,VLOOKUP($O24,Results,9,FALSE),0)</f>
        <v>Elliot Jones</v>
      </c>
      <c r="H24" s="803"/>
      <c r="I24" s="1209">
        <f t="shared" si="17"/>
        <v>13.2</v>
      </c>
      <c r="J24" s="1210">
        <f t="shared" si="17"/>
        <v>13.4</v>
      </c>
      <c r="K24" s="790">
        <f t="shared" si="18"/>
        <v>2</v>
      </c>
      <c r="L24" s="806">
        <f t="shared" si="18"/>
        <v>2</v>
      </c>
      <c r="M24" s="807">
        <f t="shared" si="19"/>
        <v>7</v>
      </c>
      <c r="N24" s="806">
        <f t="shared" si="19"/>
        <v>7</v>
      </c>
      <c r="O24" s="790">
        <f t="shared" si="20"/>
        <v>431</v>
      </c>
    </row>
    <row r="25" spans="1:19" x14ac:dyDescent="0.3">
      <c r="A25" s="801">
        <v>55</v>
      </c>
      <c r="B25" s="774">
        <f t="shared" si="15"/>
        <v>3.1</v>
      </c>
      <c r="C25" s="792" t="str">
        <f t="shared" si="16"/>
        <v xml:space="preserve">1500m </v>
      </c>
      <c r="D25" s="819"/>
      <c r="E25" s="118" t="str">
        <f>IF($A25&gt;0,VLOOKUP($O25,Results,7,FALSE),0)</f>
        <v>Anaadh Singh</v>
      </c>
      <c r="F25" s="848"/>
      <c r="G25" s="118" t="str">
        <f>IF($A25&gt;0,VLOOKUP($O25,Results,9,FALSE),0)</f>
        <v>George Wrigley</v>
      </c>
      <c r="H25" s="803"/>
      <c r="I25" s="1209" t="str">
        <f t="shared" si="17"/>
        <v>5.10.5</v>
      </c>
      <c r="J25" s="1210" t="str">
        <f t="shared" si="17"/>
        <v>5.10.9</v>
      </c>
      <c r="K25" s="790">
        <f t="shared" si="18"/>
        <v>4</v>
      </c>
      <c r="L25" s="806">
        <f t="shared" si="18"/>
        <v>3</v>
      </c>
      <c r="M25" s="807">
        <f t="shared" si="19"/>
        <v>5</v>
      </c>
      <c r="N25" s="806">
        <f t="shared" si="19"/>
        <v>6</v>
      </c>
      <c r="O25" s="790">
        <f t="shared" si="20"/>
        <v>551</v>
      </c>
    </row>
    <row r="26" spans="1:19" x14ac:dyDescent="0.3">
      <c r="A26" s="801">
        <v>71</v>
      </c>
      <c r="B26" s="774">
        <f t="shared" si="15"/>
        <v>4.2</v>
      </c>
      <c r="C26" s="792" t="str">
        <f t="shared" si="16"/>
        <v xml:space="preserve">200m </v>
      </c>
      <c r="D26" s="819"/>
      <c r="E26" s="118" t="str">
        <f>IF($A26&gt;0,VLOOKUP($O26,Results,7,FALSE),0)</f>
        <v>Ethan Jatta</v>
      </c>
      <c r="F26" s="848"/>
      <c r="G26" s="118" t="str">
        <f>IF($A26&gt;0,VLOOKUP($O26,Results,9,FALSE),0)</f>
        <v>Adam Makame</v>
      </c>
      <c r="H26" s="803"/>
      <c r="I26" s="804">
        <f t="shared" si="17"/>
        <v>30</v>
      </c>
      <c r="J26" s="805">
        <f t="shared" si="17"/>
        <v>30.4</v>
      </c>
      <c r="K26" s="790">
        <f t="shared" si="18"/>
        <v>5</v>
      </c>
      <c r="L26" s="806">
        <f t="shared" si="18"/>
        <v>3</v>
      </c>
      <c r="M26" s="807">
        <f t="shared" si="19"/>
        <v>4</v>
      </c>
      <c r="N26" s="806">
        <f t="shared" si="19"/>
        <v>6</v>
      </c>
      <c r="O26" s="790">
        <f t="shared" si="20"/>
        <v>711</v>
      </c>
    </row>
    <row r="27" spans="1:19" x14ac:dyDescent="0.3">
      <c r="A27" s="812"/>
      <c r="B27" s="822" t="str">
        <f t="shared" si="15"/>
        <v xml:space="preserve"> </v>
      </c>
      <c r="C27" s="823" t="str">
        <f t="shared" si="16"/>
        <v xml:space="preserve"> </v>
      </c>
      <c r="D27" s="824"/>
      <c r="E27" s="769"/>
      <c r="F27" s="825"/>
      <c r="G27" s="769"/>
      <c r="H27" s="826"/>
      <c r="I27" s="810"/>
      <c r="J27" s="811"/>
      <c r="K27" s="814"/>
      <c r="L27" s="812"/>
      <c r="M27" s="814"/>
      <c r="N27" s="813"/>
      <c r="O27" s="790"/>
    </row>
    <row r="28" spans="1:19" ht="15.6" x14ac:dyDescent="0.3">
      <c r="A28" s="56"/>
      <c r="B28" s="56"/>
      <c r="C28" s="1274" t="s">
        <v>296</v>
      </c>
      <c r="D28" s="817"/>
      <c r="E28" s="56"/>
      <c r="F28" s="791"/>
      <c r="G28" s="56"/>
      <c r="H28" s="32"/>
      <c r="I28" s="612"/>
      <c r="J28" s="818"/>
      <c r="K28" s="612"/>
      <c r="L28" s="818"/>
      <c r="M28" s="612"/>
      <c r="N28" s="818"/>
      <c r="O28" s="56"/>
    </row>
    <row r="29" spans="1:19" x14ac:dyDescent="0.3">
      <c r="A29" s="801">
        <v>85</v>
      </c>
      <c r="B29" s="774">
        <f>IF($A29&gt;0,VLOOKUP($A29,EventsOrder,2,FALSE)," ")</f>
        <v>5.05</v>
      </c>
      <c r="C29" s="827" t="str">
        <f>IF($A29&gt;0,VLOOKUP($A29,EventsOrder,6,FALSE)," ")</f>
        <v xml:space="preserve">4 x 100m </v>
      </c>
      <c r="D29" s="792"/>
      <c r="E29" s="858" t="str">
        <f>C3</f>
        <v>BRAT</v>
      </c>
      <c r="G29" s="118"/>
      <c r="H29" s="803"/>
      <c r="I29" s="864">
        <f>IF($A29&gt;0,VLOOKUP($O29,Results,R$21,FALSE),0)</f>
        <v>55.6</v>
      </c>
      <c r="J29" s="821"/>
      <c r="K29" s="790">
        <f>IF($A29&gt;0,VLOOKUP($O29,Results,R$22,FALSE),0)</f>
        <v>3</v>
      </c>
      <c r="L29" s="806"/>
      <c r="M29" s="790">
        <f>IF($A29&gt;0,VLOOKUP($O29,Results,R$23,FALSE),0)</f>
        <v>6</v>
      </c>
      <c r="N29" s="806"/>
      <c r="O29" s="790">
        <f t="shared" ref="O29" si="21">IF(A29&gt;0,(A29*10)+Q$5,0)</f>
        <v>851</v>
      </c>
    </row>
    <row r="30" spans="1:19" x14ac:dyDescent="0.3">
      <c r="A30" s="790" t="str">
        <f>A29&amp;"R"</f>
        <v>85R</v>
      </c>
      <c r="C30" s="803"/>
      <c r="D30" s="792">
        <v>1</v>
      </c>
      <c r="E30" s="118" t="str">
        <f>HLOOKUP($R$5,Relays,22,FALSE)</f>
        <v xml:space="preserve">T’yana Josephs </v>
      </c>
      <c r="F30" s="566">
        <v>2</v>
      </c>
      <c r="G30" s="118" t="str">
        <f>HLOOKUP($R$5,Relays,23,FALSE)</f>
        <v xml:space="preserve">Hephzibah Emmanuel Kokoh </v>
      </c>
      <c r="H30" s="803"/>
      <c r="J30" s="821"/>
      <c r="K30" s="790"/>
      <c r="L30" s="806"/>
      <c r="M30" s="790"/>
      <c r="N30" s="806"/>
      <c r="O30" s="790"/>
    </row>
    <row r="31" spans="1:19" x14ac:dyDescent="0.3">
      <c r="A31" s="812" t="str">
        <f>A29&amp;"S"</f>
        <v>85S</v>
      </c>
      <c r="B31" s="822"/>
      <c r="C31" s="828"/>
      <c r="D31" s="823">
        <v>3</v>
      </c>
      <c r="E31" s="769" t="str">
        <f>HLOOKUP($R$5,Relays,24,FALSE)</f>
        <v>Maryam Mohammed Hadi</v>
      </c>
      <c r="F31" s="829">
        <v>4</v>
      </c>
      <c r="G31" s="769" t="str">
        <f>HLOOKUP($R$5,Relays,25,FALSE)</f>
        <v xml:space="preserve">Daniella Anozie </v>
      </c>
      <c r="H31" s="826"/>
      <c r="I31" s="822"/>
      <c r="J31" s="811"/>
      <c r="K31" s="812"/>
      <c r="L31" s="813"/>
      <c r="M31" s="812"/>
      <c r="N31" s="813"/>
      <c r="O31" s="790"/>
    </row>
    <row r="32" spans="1:19" x14ac:dyDescent="0.3">
      <c r="A32" s="790"/>
      <c r="B32" s="774"/>
      <c r="C32" s="845" t="s">
        <v>173</v>
      </c>
      <c r="D32" s="819"/>
      <c r="E32" s="118"/>
      <c r="F32" s="566"/>
      <c r="G32" s="118"/>
      <c r="H32" s="604"/>
      <c r="I32" s="820"/>
      <c r="J32" s="821"/>
      <c r="K32" s="807"/>
      <c r="L32" s="806"/>
      <c r="M32" s="807"/>
      <c r="N32" s="806"/>
      <c r="O32" s="790"/>
    </row>
    <row r="33" spans="1:15" x14ac:dyDescent="0.3">
      <c r="A33" s="801">
        <v>1</v>
      </c>
      <c r="B33" s="774">
        <f>IF($A33&gt;0,VLOOKUP($A33,EventsOrder,2,FALSE)," ")</f>
        <v>11.3</v>
      </c>
      <c r="C33" s="792" t="str">
        <f>IF($A33&gt;0,VLOOKUP($A33,EventsOrder,6,FALSE)," ")</f>
        <v xml:space="preserve">High Jump </v>
      </c>
      <c r="D33" s="819"/>
      <c r="E33" s="118" t="str">
        <f>IF($A33&gt;0,VLOOKUP($O33,Results,7,FALSE),0)</f>
        <v xml:space="preserve">William Tse </v>
      </c>
      <c r="F33" s="848"/>
      <c r="G33" s="118" t="str">
        <f>IF($A33&gt;0,VLOOKUP($O33,Results,9,FALSE),0)</f>
        <v xml:space="preserve">Thomas Woodward </v>
      </c>
      <c r="H33" s="803"/>
      <c r="I33" s="804">
        <f t="shared" ref="I33:J37" si="22">IF($A33&gt;0,VLOOKUP($O33,Results,R$21,FALSE),0)</f>
        <v>1.65</v>
      </c>
      <c r="J33" s="805">
        <f t="shared" si="22"/>
        <v>1.3</v>
      </c>
      <c r="K33" s="790">
        <f t="shared" ref="K33:L37" si="23">IF($A33&gt;0,VLOOKUP($O33,Results,R$22,FALSE),0)</f>
        <v>1</v>
      </c>
      <c r="L33" s="806">
        <f t="shared" si="23"/>
        <v>2</v>
      </c>
      <c r="M33" s="807">
        <f t="shared" ref="M33:N37" si="24">IF($A33&gt;0,VLOOKUP($O33,Results,R$23,FALSE),0)</f>
        <v>8</v>
      </c>
      <c r="N33" s="806">
        <f t="shared" si="24"/>
        <v>7</v>
      </c>
      <c r="O33" s="790">
        <f t="shared" ref="O33:O37" si="25">IF(A33&gt;0,(A33*10)+Q$5,0)</f>
        <v>11</v>
      </c>
    </row>
    <row r="34" spans="1:15" x14ac:dyDescent="0.3">
      <c r="A34" s="801">
        <v>24</v>
      </c>
      <c r="B34" s="774">
        <f>IF($A34&gt;0,VLOOKUP($A34,EventsOrder,2,FALSE)," ")</f>
        <v>1</v>
      </c>
      <c r="C34" s="792" t="str">
        <f>IF($A34&gt;0,VLOOKUP($A34,EventsOrder,6,FALSE)," ")</f>
        <v>Javelin Match 1 &amp; 3</v>
      </c>
      <c r="D34" s="819"/>
      <c r="E34" s="118" t="str">
        <f>IF($A34&gt;0,VLOOKUP($O34,Results,7,FALSE),0)</f>
        <v>Charlie Keenan</v>
      </c>
      <c r="F34" s="848"/>
      <c r="G34" s="118" t="str">
        <f>IF($A34&gt;0,VLOOKUP($O34,Results,9,FALSE),0)</f>
        <v>Lombe Lombe</v>
      </c>
      <c r="H34" s="803"/>
      <c r="I34" s="804">
        <f t="shared" si="22"/>
        <v>28.88</v>
      </c>
      <c r="J34" s="805">
        <f t="shared" si="22"/>
        <v>20.7</v>
      </c>
      <c r="K34" s="790">
        <f t="shared" si="23"/>
        <v>2</v>
      </c>
      <c r="L34" s="806">
        <f t="shared" si="23"/>
        <v>2</v>
      </c>
      <c r="M34" s="807">
        <f t="shared" si="24"/>
        <v>7</v>
      </c>
      <c r="N34" s="806">
        <f t="shared" si="24"/>
        <v>7</v>
      </c>
      <c r="O34" s="790">
        <f t="shared" si="25"/>
        <v>241</v>
      </c>
    </row>
    <row r="35" spans="1:15" x14ac:dyDescent="0.3">
      <c r="A35" s="801">
        <v>47</v>
      </c>
      <c r="B35" s="774">
        <f>IF($A35&gt;0,VLOOKUP($A35,EventsOrder,2,FALSE)," ")</f>
        <v>2.4</v>
      </c>
      <c r="C35" s="792" t="str">
        <f>IF($A35&gt;0,VLOOKUP($A35,EventsOrder,6,FALSE)," ")</f>
        <v xml:space="preserve">Shot </v>
      </c>
      <c r="D35" s="819"/>
      <c r="E35" s="118" t="str">
        <f>IF($A35&gt;0,VLOOKUP($O35,Results,7,FALSE),0)</f>
        <v xml:space="preserve">Adrian Demanya </v>
      </c>
      <c r="F35" s="848"/>
      <c r="G35" s="118" t="str">
        <f>IF($A35&gt;0,VLOOKUP($O35,Results,9,FALSE),0)</f>
        <v>Peton Godwin kalala</v>
      </c>
      <c r="H35" s="803"/>
      <c r="I35" s="804">
        <f t="shared" si="22"/>
        <v>8.15</v>
      </c>
      <c r="J35" s="805">
        <f t="shared" si="22"/>
        <v>7.73</v>
      </c>
      <c r="K35" s="790">
        <f t="shared" si="23"/>
        <v>4</v>
      </c>
      <c r="L35" s="806">
        <f t="shared" si="23"/>
        <v>1</v>
      </c>
      <c r="M35" s="807">
        <f t="shared" si="24"/>
        <v>5</v>
      </c>
      <c r="N35" s="806">
        <f t="shared" si="24"/>
        <v>8</v>
      </c>
      <c r="O35" s="790">
        <f t="shared" si="25"/>
        <v>471</v>
      </c>
    </row>
    <row r="36" spans="1:15" x14ac:dyDescent="0.3">
      <c r="A36" s="801">
        <v>58</v>
      </c>
      <c r="B36" s="774">
        <f>IF($A36&gt;0,VLOOKUP($A36,EventsOrder,2,FALSE)," ")</f>
        <v>3.2</v>
      </c>
      <c r="C36" s="792" t="str">
        <f>IF($A36&gt;0,VLOOKUP($A36,EventsOrder,6,FALSE)," ")</f>
        <v>Long Jump Pit 2</v>
      </c>
      <c r="D36" s="819"/>
      <c r="E36" s="118" t="str">
        <f>IF($A36&gt;0,VLOOKUP($O36,Results,7,FALSE),0)</f>
        <v>Elliot Jones</v>
      </c>
      <c r="F36" s="848"/>
      <c r="G36" s="118" t="str">
        <f>IF($A36&gt;0,VLOOKUP($O36,Results,9,FALSE),0)</f>
        <v xml:space="preserve">Harvey Harris </v>
      </c>
      <c r="H36" s="803"/>
      <c r="I36" s="804">
        <f t="shared" si="22"/>
        <v>4.4800000000000004</v>
      </c>
      <c r="J36" s="805">
        <f t="shared" si="22"/>
        <v>3.58</v>
      </c>
      <c r="K36" s="790">
        <f t="shared" si="23"/>
        <v>1</v>
      </c>
      <c r="L36" s="806">
        <f t="shared" si="23"/>
        <v>4</v>
      </c>
      <c r="M36" s="807">
        <f t="shared" si="24"/>
        <v>8</v>
      </c>
      <c r="N36" s="806">
        <f t="shared" si="24"/>
        <v>5</v>
      </c>
      <c r="O36" s="790">
        <f t="shared" si="25"/>
        <v>581</v>
      </c>
    </row>
    <row r="37" spans="1:15" x14ac:dyDescent="0.3">
      <c r="A37" s="801">
        <v>74</v>
      </c>
      <c r="B37" s="774">
        <f>IF($A37&gt;0,VLOOKUP($A37,EventsOrder,2,FALSE)," ")</f>
        <v>4.2</v>
      </c>
      <c r="C37" s="792" t="str">
        <f>IF($A37&gt;0,VLOOKUP($A37,EventsOrder,6,FALSE)," ")</f>
        <v>Discus Match 2</v>
      </c>
      <c r="D37" s="819"/>
      <c r="E37" s="118">
        <f>IF($A37&gt;0,VLOOKUP($O37,Results,7,FALSE),0)</f>
        <v>0</v>
      </c>
      <c r="F37" s="848"/>
      <c r="G37" s="118">
        <f>IF($A37&gt;0,VLOOKUP($O37,Results,9,FALSE),0)</f>
        <v>0</v>
      </c>
      <c r="H37" s="803"/>
      <c r="I37" s="804">
        <f t="shared" si="22"/>
        <v>0</v>
      </c>
      <c r="J37" s="805">
        <f t="shared" si="22"/>
        <v>0</v>
      </c>
      <c r="K37" s="790">
        <f t="shared" si="23"/>
        <v>0</v>
      </c>
      <c r="L37" s="806">
        <f t="shared" si="23"/>
        <v>0</v>
      </c>
      <c r="M37" s="807">
        <f t="shared" si="24"/>
        <v>0</v>
      </c>
      <c r="N37" s="806">
        <f t="shared" si="24"/>
        <v>0</v>
      </c>
      <c r="O37" s="790">
        <f t="shared" si="25"/>
        <v>741</v>
      </c>
    </row>
    <row r="38" spans="1:15" x14ac:dyDescent="0.3">
      <c r="A38" s="790">
        <v>0</v>
      </c>
      <c r="B38" s="774" t="s">
        <v>237</v>
      </c>
      <c r="C38" s="830" t="s">
        <v>350</v>
      </c>
      <c r="D38" s="824"/>
      <c r="E38" s="769">
        <f t="shared" ref="E38" si="26">IF(A38&gt;0,VLOOKUP(A38&amp;"A",Results3,30+$K38,FALSE),0)</f>
        <v>0</v>
      </c>
      <c r="F38" s="825"/>
      <c r="G38" s="769">
        <f t="shared" ref="G38" si="27">IF(A38&gt;0,VLOOKUP(A38&amp;"B",Results3,30+$L38,FALSE),0)</f>
        <v>0</v>
      </c>
      <c r="H38" s="826"/>
      <c r="I38" s="810" t="str">
        <f t="shared" ref="I38" si="28">IF(A38&gt;0,VLOOKUP(A38&amp;"A",Results3,46+$Q$5,FALSE)," ")</f>
        <v xml:space="preserve"> </v>
      </c>
      <c r="J38" s="811" t="str">
        <f>IF(A38&gt;0,VLOOKUP(A38&amp;"B",Results3,46+$Q$5,FALSE)," ")</f>
        <v xml:space="preserve"> </v>
      </c>
      <c r="K38" s="814" t="str">
        <f t="shared" ref="K38" si="29">IF(A38&gt;0,VLOOKUP(A38&amp;"A",Results3,54+$Q$5,FALSE)," ")</f>
        <v xml:space="preserve"> </v>
      </c>
      <c r="L38" s="812" t="str">
        <f>IF(A38&gt;0,VLOOKUP(A38&amp;"B",Results3,54+$Q$5,FALSE)," ")</f>
        <v xml:space="preserve"> </v>
      </c>
      <c r="M38" s="831">
        <v>0</v>
      </c>
      <c r="N38" s="813">
        <f t="shared" ref="N38" si="30">IF(OR(J38="DNF",ISTEXT(L38)),0,IF(L38&gt;0,$P$5-L38,0))</f>
        <v>0</v>
      </c>
      <c r="O38" s="790"/>
    </row>
    <row r="39" spans="1:15" x14ac:dyDescent="0.3">
      <c r="A39" s="790"/>
      <c r="B39" s="774"/>
      <c r="C39" s="118"/>
      <c r="D39" s="118"/>
      <c r="K39" s="790"/>
      <c r="L39" s="815" t="s">
        <v>78</v>
      </c>
      <c r="M39" s="816">
        <f>SUM(M22:M38)</f>
        <v>61</v>
      </c>
      <c r="N39" s="816">
        <f>SUM(N22:N38)</f>
        <v>59</v>
      </c>
      <c r="O39" s="816"/>
    </row>
    <row r="40" spans="1:15" x14ac:dyDescent="0.3">
      <c r="A40" s="790"/>
      <c r="B40" s="774"/>
      <c r="C40" s="419"/>
      <c r="D40" s="419"/>
      <c r="K40" s="790"/>
      <c r="L40" s="790"/>
      <c r="M40" s="790"/>
      <c r="N40" s="790"/>
      <c r="O40" s="790"/>
    </row>
    <row r="41" spans="1:15" ht="15.6" x14ac:dyDescent="0.3">
      <c r="A41" s="56" t="s">
        <v>165</v>
      </c>
      <c r="B41" s="56" t="s">
        <v>165</v>
      </c>
      <c r="C41" s="832" t="s">
        <v>481</v>
      </c>
      <c r="D41" s="832"/>
      <c r="E41" s="32" t="s">
        <v>346</v>
      </c>
      <c r="G41" s="32" t="s">
        <v>346</v>
      </c>
      <c r="H41" s="32"/>
      <c r="I41" s="1437" t="s">
        <v>342</v>
      </c>
      <c r="J41" s="1438"/>
      <c r="K41" s="1439" t="s">
        <v>343</v>
      </c>
      <c r="L41" s="1440"/>
      <c r="M41" s="1439" t="s">
        <v>76</v>
      </c>
      <c r="N41" s="1440"/>
      <c r="O41" s="56"/>
    </row>
    <row r="42" spans="1:15" x14ac:dyDescent="0.3">
      <c r="A42" s="56" t="s">
        <v>167</v>
      </c>
      <c r="B42" s="56" t="s">
        <v>168</v>
      </c>
      <c r="C42" s="118"/>
      <c r="D42" s="118"/>
      <c r="E42" s="56" t="s">
        <v>149</v>
      </c>
      <c r="F42" s="791"/>
      <c r="G42" s="56" t="s">
        <v>94</v>
      </c>
      <c r="H42" s="32"/>
      <c r="I42" s="783" t="s">
        <v>149</v>
      </c>
      <c r="J42" s="785" t="s">
        <v>94</v>
      </c>
      <c r="K42" s="783" t="s">
        <v>149</v>
      </c>
      <c r="L42" s="785" t="s">
        <v>94</v>
      </c>
      <c r="M42" s="612" t="s">
        <v>149</v>
      </c>
      <c r="N42" s="818" t="s">
        <v>94</v>
      </c>
      <c r="O42" s="56"/>
    </row>
    <row r="43" spans="1:15" x14ac:dyDescent="0.3">
      <c r="A43" s="56"/>
      <c r="B43" s="56"/>
      <c r="C43" s="834" t="s">
        <v>349</v>
      </c>
      <c r="D43" s="793"/>
      <c r="E43" s="859"/>
      <c r="F43" s="860"/>
      <c r="G43" s="859"/>
      <c r="H43" s="833"/>
      <c r="I43" s="612"/>
      <c r="J43" s="818"/>
      <c r="K43" s="612"/>
      <c r="L43" s="56"/>
      <c r="M43" s="1335"/>
      <c r="N43" s="1336"/>
      <c r="O43" s="56"/>
    </row>
    <row r="44" spans="1:15" x14ac:dyDescent="0.3">
      <c r="A44" s="801">
        <v>15</v>
      </c>
      <c r="B44" s="774">
        <f t="shared" ref="B44:B49" si="31">IF($A44&gt;0,VLOOKUP($A44,EventsOrder,2,FALSE)," ")</f>
        <v>12.1</v>
      </c>
      <c r="C44" s="792" t="str">
        <f t="shared" ref="C44:C49" si="32">IF($A44&gt;0,VLOOKUP($A44,EventsOrder,6,FALSE)," ")</f>
        <v xml:space="preserve">800m </v>
      </c>
      <c r="D44" s="819"/>
      <c r="E44" s="118" t="str">
        <f t="shared" ref="E44:E49" si="33">IF($A44&gt;0,VLOOKUP($O44,Results,7,FALSE),0)</f>
        <v>Noah Gordon</v>
      </c>
      <c r="F44" s="848"/>
      <c r="G44" s="118" t="str">
        <f t="shared" ref="G44:G49" si="34">IF($A44&gt;0,VLOOKUP($O44,Results,9,FALSE),0)</f>
        <v>Mustopha Bailey</v>
      </c>
      <c r="H44" s="803"/>
      <c r="I44" s="804" t="str">
        <f t="shared" ref="I44:J49" si="35">IF($A44&gt;0,VLOOKUP($O44,Results,R$21,FALSE),0)</f>
        <v>2.14.7</v>
      </c>
      <c r="J44" s="805" t="str">
        <f t="shared" si="35"/>
        <v>2.15.6</v>
      </c>
      <c r="K44" s="790">
        <f t="shared" ref="K44:L49" si="36">IF($A44&gt;0,VLOOKUP($O44,Results,R$22,FALSE),0)</f>
        <v>5</v>
      </c>
      <c r="L44" s="806">
        <f t="shared" si="36"/>
        <v>3</v>
      </c>
      <c r="M44" s="807">
        <f t="shared" ref="M44:N49" si="37">IF($A44&gt;0,VLOOKUP($O44,Results,R$23,FALSE),0)</f>
        <v>4</v>
      </c>
      <c r="N44" s="806">
        <f t="shared" si="37"/>
        <v>6</v>
      </c>
      <c r="O44" s="790">
        <f t="shared" ref="O44:O52" si="38">IF(A44&gt;0,(A44*10)+Q$5,0)</f>
        <v>151</v>
      </c>
    </row>
    <row r="45" spans="1:15" x14ac:dyDescent="0.3">
      <c r="A45" s="801">
        <v>20</v>
      </c>
      <c r="B45" s="774">
        <f t="shared" si="31"/>
        <v>12.5</v>
      </c>
      <c r="C45" s="792" t="str">
        <f t="shared" si="32"/>
        <v xml:space="preserve">100m hurdles </v>
      </c>
      <c r="D45" s="819"/>
      <c r="E45" s="118" t="str">
        <f t="shared" si="33"/>
        <v>Bertie Albatov</v>
      </c>
      <c r="F45" s="848"/>
      <c r="G45" s="118" t="str">
        <f t="shared" si="34"/>
        <v>Eben Ashton</v>
      </c>
      <c r="H45" s="803"/>
      <c r="I45" s="1209">
        <f t="shared" si="35"/>
        <v>15.4</v>
      </c>
      <c r="J45" s="1210">
        <f t="shared" si="35"/>
        <v>15.9</v>
      </c>
      <c r="K45" s="790">
        <f t="shared" si="36"/>
        <v>3</v>
      </c>
      <c r="L45" s="806">
        <f t="shared" si="36"/>
        <v>2</v>
      </c>
      <c r="M45" s="807">
        <f t="shared" si="37"/>
        <v>6</v>
      </c>
      <c r="N45" s="806">
        <f t="shared" si="37"/>
        <v>7</v>
      </c>
      <c r="O45" s="790">
        <f t="shared" si="38"/>
        <v>201</v>
      </c>
    </row>
    <row r="46" spans="1:15" x14ac:dyDescent="0.3">
      <c r="A46" s="801">
        <v>64</v>
      </c>
      <c r="B46" s="774">
        <f t="shared" si="31"/>
        <v>1.45</v>
      </c>
      <c r="C46" s="792" t="str">
        <f t="shared" si="32"/>
        <v xml:space="preserve">300m  </v>
      </c>
      <c r="D46" s="819"/>
      <c r="E46" s="118" t="str">
        <f t="shared" si="33"/>
        <v>Muayyad Mohamed</v>
      </c>
      <c r="F46" s="848"/>
      <c r="G46" s="118" t="str">
        <f t="shared" si="34"/>
        <v>Leo Rice</v>
      </c>
      <c r="H46" s="803"/>
      <c r="I46" s="1209">
        <f t="shared" si="35"/>
        <v>38.299999999999997</v>
      </c>
      <c r="J46" s="1210">
        <f t="shared" si="35"/>
        <v>40.299999999999997</v>
      </c>
      <c r="K46" s="790">
        <f t="shared" si="36"/>
        <v>2</v>
      </c>
      <c r="L46" s="806">
        <f t="shared" si="36"/>
        <v>1</v>
      </c>
      <c r="M46" s="807">
        <f t="shared" si="37"/>
        <v>7</v>
      </c>
      <c r="N46" s="806">
        <f t="shared" si="37"/>
        <v>8</v>
      </c>
      <c r="O46" s="790">
        <f t="shared" si="38"/>
        <v>641</v>
      </c>
    </row>
    <row r="47" spans="1:15" x14ac:dyDescent="0.3">
      <c r="A47" s="801">
        <v>44</v>
      </c>
      <c r="B47" s="774">
        <f t="shared" si="31"/>
        <v>2.4</v>
      </c>
      <c r="C47" s="792" t="str">
        <f t="shared" si="32"/>
        <v xml:space="preserve">100m </v>
      </c>
      <c r="D47" s="819"/>
      <c r="E47" s="118" t="str">
        <f t="shared" si="33"/>
        <v>Dominic Francis-Gordon</v>
      </c>
      <c r="F47" s="848"/>
      <c r="G47" s="118" t="str">
        <f t="shared" si="34"/>
        <v>Heinrich</v>
      </c>
      <c r="H47" s="803"/>
      <c r="I47" s="1209">
        <f t="shared" si="35"/>
        <v>11.5</v>
      </c>
      <c r="J47" s="1210">
        <f t="shared" si="35"/>
        <v>11.8</v>
      </c>
      <c r="K47" s="790">
        <f t="shared" si="36"/>
        <v>1</v>
      </c>
      <c r="L47" s="806">
        <f t="shared" si="36"/>
        <v>1</v>
      </c>
      <c r="M47" s="807">
        <f t="shared" si="37"/>
        <v>8</v>
      </c>
      <c r="N47" s="806">
        <f t="shared" si="37"/>
        <v>8</v>
      </c>
      <c r="O47" s="790">
        <f t="shared" si="38"/>
        <v>441</v>
      </c>
    </row>
    <row r="48" spans="1:15" x14ac:dyDescent="0.3">
      <c r="A48" s="801">
        <v>56</v>
      </c>
      <c r="B48" s="774">
        <f t="shared" si="31"/>
        <v>3.2</v>
      </c>
      <c r="C48" s="792" t="str">
        <f t="shared" si="32"/>
        <v xml:space="preserve">1500m </v>
      </c>
      <c r="D48" s="819"/>
      <c r="E48" s="118" t="str">
        <f t="shared" si="33"/>
        <v>Toby Sykes</v>
      </c>
      <c r="F48" s="848"/>
      <c r="G48" s="118" t="str">
        <f t="shared" si="34"/>
        <v>Joseph Baker</v>
      </c>
      <c r="H48" s="803"/>
      <c r="I48" s="1209" t="str">
        <f t="shared" si="35"/>
        <v>4.43.5</v>
      </c>
      <c r="J48" s="1210" t="str">
        <f t="shared" si="35"/>
        <v>5.04.6</v>
      </c>
      <c r="K48" s="790">
        <f t="shared" si="36"/>
        <v>1</v>
      </c>
      <c r="L48" s="806">
        <f t="shared" si="36"/>
        <v>1</v>
      </c>
      <c r="M48" s="807">
        <f t="shared" si="37"/>
        <v>8</v>
      </c>
      <c r="N48" s="806">
        <f t="shared" si="37"/>
        <v>8</v>
      </c>
      <c r="O48" s="790">
        <f t="shared" si="38"/>
        <v>561</v>
      </c>
    </row>
    <row r="49" spans="1:15" x14ac:dyDescent="0.3">
      <c r="A49" s="801">
        <v>72</v>
      </c>
      <c r="B49" s="774">
        <f t="shared" si="31"/>
        <v>4.25</v>
      </c>
      <c r="C49" s="792" t="str">
        <f t="shared" si="32"/>
        <v xml:space="preserve">200m </v>
      </c>
      <c r="D49" s="819"/>
      <c r="E49" s="118" t="str">
        <f t="shared" si="33"/>
        <v>Dominic Francis-Gordon</v>
      </c>
      <c r="F49" s="848"/>
      <c r="G49" s="118" t="str">
        <f t="shared" si="34"/>
        <v xml:space="preserve">JAYARD VALERIO </v>
      </c>
      <c r="H49" s="803"/>
      <c r="I49" s="804">
        <f t="shared" si="35"/>
        <v>24.2</v>
      </c>
      <c r="J49" s="805">
        <f t="shared" si="35"/>
        <v>24.9</v>
      </c>
      <c r="K49" s="790">
        <f t="shared" si="36"/>
        <v>2</v>
      </c>
      <c r="L49" s="806">
        <f t="shared" si="36"/>
        <v>1</v>
      </c>
      <c r="M49" s="807">
        <f t="shared" si="37"/>
        <v>7</v>
      </c>
      <c r="N49" s="806">
        <f t="shared" si="37"/>
        <v>8</v>
      </c>
      <c r="O49" s="790">
        <f t="shared" si="38"/>
        <v>721</v>
      </c>
    </row>
    <row r="50" spans="1:15" x14ac:dyDescent="0.3">
      <c r="A50" s="812"/>
      <c r="B50" s="822"/>
      <c r="C50" s="823"/>
      <c r="D50" s="824"/>
      <c r="E50" s="769">
        <f t="shared" ref="E50" si="39">IF(A50&gt;0,VLOOKUP(A50&amp;"A",Results3,30+$K50,FALSE),0)</f>
        <v>0</v>
      </c>
      <c r="F50" s="825"/>
      <c r="G50" s="769">
        <f t="shared" ref="G50" si="40">IF(A50&gt;0,VLOOKUP(A50&amp;"B",Results3,30+$L50,FALSE),0)</f>
        <v>0</v>
      </c>
      <c r="H50" s="600"/>
      <c r="I50" s="810" t="str">
        <f t="shared" ref="I50" si="41">IF(A50&gt;0,VLOOKUP(A50&amp;"A",Results3,46+$Q$5,FALSE)," ")</f>
        <v xml:space="preserve"> </v>
      </c>
      <c r="J50" s="811" t="str">
        <f t="shared" ref="J50" si="42">IF(A50&gt;0,VLOOKUP(A50&amp;"B",Results3,46+$Q$5,FALSE)," ")</f>
        <v xml:space="preserve"> </v>
      </c>
      <c r="K50" s="814" t="str">
        <f t="shared" ref="K50" si="43">IF(A50&gt;0,VLOOKUP(A50&amp;"A",Results3,54+$Q$5,FALSE)," ")</f>
        <v xml:space="preserve"> </v>
      </c>
      <c r="L50" s="813" t="str">
        <f t="shared" ref="L50" si="44">IF(A50&gt;0,VLOOKUP(A50&amp;"B",Results3,54+$Q$5,FALSE)," ")</f>
        <v xml:space="preserve"> </v>
      </c>
      <c r="M50" s="812">
        <f t="shared" ref="M50:N50" si="45">IF(OR(I50="DNF",ISTEXT(K50)),0,IF(K50&gt;0,$P$5-K50,0))</f>
        <v>0</v>
      </c>
      <c r="N50" s="813">
        <f t="shared" si="45"/>
        <v>0</v>
      </c>
      <c r="O50" s="790"/>
    </row>
    <row r="51" spans="1:15" ht="15.6" x14ac:dyDescent="0.3">
      <c r="A51" s="56"/>
      <c r="B51" s="56"/>
      <c r="C51" s="834" t="s">
        <v>296</v>
      </c>
      <c r="D51" s="817"/>
      <c r="E51" s="56"/>
      <c r="F51" s="791"/>
      <c r="G51" s="56"/>
      <c r="H51" s="604"/>
      <c r="I51" s="56"/>
      <c r="J51" s="821"/>
      <c r="K51" s="56"/>
      <c r="L51" s="806"/>
      <c r="M51" s="56"/>
      <c r="N51" s="806"/>
      <c r="O51" s="790"/>
    </row>
    <row r="52" spans="1:15" x14ac:dyDescent="0.3">
      <c r="A52" s="801">
        <v>86</v>
      </c>
      <c r="B52" s="774">
        <f>IF($A52&gt;0,VLOOKUP($A52,EventsOrder,2,FALSE)," ")</f>
        <v>5.0999999999999996</v>
      </c>
      <c r="C52" s="792" t="str">
        <f>IF($A52&gt;0,VLOOKUP($A52,EventsOrder,6,FALSE)," ")</f>
        <v xml:space="preserve">4 x 100m </v>
      </c>
      <c r="D52" s="819"/>
      <c r="E52" s="858" t="str">
        <f>C3</f>
        <v>BRAT</v>
      </c>
      <c r="G52" s="118"/>
      <c r="H52" s="604"/>
      <c r="I52" s="1209">
        <f>IF($A52&gt;0,VLOOKUP($O52,Results,R$21,FALSE),0)</f>
        <v>47</v>
      </c>
      <c r="J52" s="821"/>
      <c r="K52" s="807">
        <f>IF($A52&gt;0,VLOOKUP($O52,Results,R$22,FALSE),0)</f>
        <v>1</v>
      </c>
      <c r="L52" s="806"/>
      <c r="M52" s="790">
        <f>IF($A52&gt;0,VLOOKUP($O52,Results,R$23,FALSE),0)</f>
        <v>8</v>
      </c>
      <c r="N52" s="806"/>
      <c r="O52" s="790">
        <f t="shared" si="38"/>
        <v>861</v>
      </c>
    </row>
    <row r="53" spans="1:15" x14ac:dyDescent="0.3">
      <c r="A53" s="790" t="str">
        <f>A52&amp;"R"</f>
        <v>86R</v>
      </c>
      <c r="D53" s="819">
        <v>1</v>
      </c>
      <c r="E53" s="118" t="str">
        <f>HLOOKUP($R$5,Relays,27,FALSE)</f>
        <v xml:space="preserve">William Tse </v>
      </c>
      <c r="F53" s="566">
        <v>2</v>
      </c>
      <c r="G53" s="118" t="str">
        <f>HLOOKUP($R$5,Relays,28,FALSE)</f>
        <v>Elliot Jones</v>
      </c>
      <c r="H53" s="604"/>
      <c r="J53" s="821"/>
      <c r="L53" s="604"/>
      <c r="N53" s="604"/>
    </row>
    <row r="54" spans="1:15" x14ac:dyDescent="0.3">
      <c r="A54" s="812" t="str">
        <f>A52&amp;"S"</f>
        <v>86S</v>
      </c>
      <c r="B54" s="822"/>
      <c r="C54" s="823"/>
      <c r="D54" s="824">
        <v>3</v>
      </c>
      <c r="E54" s="769" t="str">
        <f>HLOOKUP($R$5,Relays,29,FALSE)</f>
        <v>Ethan Jatta</v>
      </c>
      <c r="F54" s="829">
        <v>4</v>
      </c>
      <c r="G54" s="769" t="str">
        <f>HLOOKUP($R$5,Relays,30,FALSE)</f>
        <v>Adam Makame</v>
      </c>
      <c r="H54" s="600"/>
      <c r="I54" s="810"/>
      <c r="J54" s="811"/>
      <c r="K54" s="814"/>
      <c r="L54" s="813"/>
      <c r="M54" s="812"/>
      <c r="N54" s="813"/>
      <c r="O54" s="790"/>
    </row>
    <row r="55" spans="1:15" x14ac:dyDescent="0.3">
      <c r="A55" s="790"/>
      <c r="B55" s="774"/>
      <c r="C55" s="838" t="s">
        <v>173</v>
      </c>
      <c r="D55" s="819"/>
      <c r="E55" s="118"/>
      <c r="F55" s="566"/>
      <c r="G55" s="118"/>
      <c r="H55" s="604"/>
      <c r="I55" s="820"/>
      <c r="J55" s="821"/>
      <c r="K55" s="807"/>
      <c r="L55" s="806"/>
      <c r="M55" s="807"/>
      <c r="N55" s="806"/>
      <c r="O55" s="790"/>
    </row>
    <row r="56" spans="1:15" x14ac:dyDescent="0.3">
      <c r="A56" s="801">
        <v>7</v>
      </c>
      <c r="B56" s="774">
        <f>IF($A56&gt;0,VLOOKUP($A56,EventsOrder,2,FALSE)," ")</f>
        <v>12</v>
      </c>
      <c r="C56" s="792" t="str">
        <f>IF($A56&gt;0,VLOOKUP($A56,EventsOrder,6,FALSE)," ")</f>
        <v>Long Jump Pit 2</v>
      </c>
      <c r="D56" s="819"/>
      <c r="E56" s="118" t="str">
        <f>IF($A56&gt;0,VLOOKUP($O56,Results,7,FALSE),0)</f>
        <v>Muayyad Mohamed</v>
      </c>
      <c r="F56" s="848"/>
      <c r="G56" s="118" t="str">
        <f>IF($A56&gt;0,VLOOKUP($O56,Results,9,FALSE),0)</f>
        <v>Leo Rice</v>
      </c>
      <c r="H56" s="803"/>
      <c r="I56" s="804">
        <f t="shared" ref="I56:J60" si="46">IF($A56&gt;0,VLOOKUP($O56,Results,R$21,FALSE),0)</f>
        <v>5.72</v>
      </c>
      <c r="J56" s="805">
        <f t="shared" si="46"/>
        <v>5.0199999999999996</v>
      </c>
      <c r="K56" s="790">
        <f t="shared" ref="K56:L60" si="47">IF($A56&gt;0,VLOOKUP($O56,Results,R$22,FALSE),0)</f>
        <v>1</v>
      </c>
      <c r="L56" s="806">
        <f t="shared" si="47"/>
        <v>1</v>
      </c>
      <c r="M56" s="807">
        <f t="shared" ref="M56:N60" si="48">IF($A56&gt;0,VLOOKUP($O56,Results,R$23,FALSE),0)</f>
        <v>8</v>
      </c>
      <c r="N56" s="806">
        <f t="shared" si="48"/>
        <v>8</v>
      </c>
      <c r="O56" s="790">
        <f t="shared" ref="O56:O60" si="49">IF(A56&gt;0,(A56*10)+Q$5,0)</f>
        <v>71</v>
      </c>
    </row>
    <row r="57" spans="1:15" x14ac:dyDescent="0.3">
      <c r="A57" s="801">
        <v>22</v>
      </c>
      <c r="B57" s="774">
        <f>IF($A57&gt;0,VLOOKUP($A57,EventsOrder,2,FALSE)," ")</f>
        <v>1</v>
      </c>
      <c r="C57" s="792" t="str">
        <f>IF($A57&gt;0,VLOOKUP($A57,EventsOrder,6,FALSE)," ")</f>
        <v xml:space="preserve">Shot </v>
      </c>
      <c r="D57" s="819"/>
      <c r="E57" s="118" t="str">
        <f>IF($A57&gt;0,VLOOKUP($O57,Results,7,FALSE),0)</f>
        <v>Heinrich</v>
      </c>
      <c r="F57" s="848"/>
      <c r="G57" s="118" t="str">
        <f>IF($A57&gt;0,VLOOKUP($O57,Results,9,FALSE),0)</f>
        <v xml:space="preserve">Austin Demanya </v>
      </c>
      <c r="H57" s="803"/>
      <c r="I57" s="804">
        <f t="shared" si="46"/>
        <v>11.33</v>
      </c>
      <c r="J57" s="805">
        <f t="shared" si="46"/>
        <v>9.7200000000000006</v>
      </c>
      <c r="K57" s="790">
        <f t="shared" si="47"/>
        <v>1</v>
      </c>
      <c r="L57" s="806">
        <f t="shared" si="47"/>
        <v>1</v>
      </c>
      <c r="M57" s="807">
        <f t="shared" si="48"/>
        <v>8</v>
      </c>
      <c r="N57" s="806">
        <f t="shared" si="48"/>
        <v>8</v>
      </c>
      <c r="O57" s="790">
        <f t="shared" si="49"/>
        <v>221</v>
      </c>
    </row>
    <row r="58" spans="1:15" x14ac:dyDescent="0.3">
      <c r="A58" s="801">
        <v>37</v>
      </c>
      <c r="B58" s="774">
        <f>IF($A58&gt;0,VLOOKUP($A58,EventsOrder,2,FALSE)," ")</f>
        <v>1.5</v>
      </c>
      <c r="C58" s="792" t="str">
        <f>IF($A58&gt;0,VLOOKUP($A58,EventsOrder,6,FALSE)," ")</f>
        <v>Javelin Match 1 &amp; 3</v>
      </c>
      <c r="D58" s="819"/>
      <c r="E58" s="118" t="str">
        <f>IF($A58&gt;0,VLOOKUP($O58,Results,7,FALSE),0)</f>
        <v>Mustopha Bailey</v>
      </c>
      <c r="F58" s="848"/>
      <c r="G58" s="118" t="str">
        <f>IF($A58&gt;0,VLOOKUP($O58,Results,9,FALSE),0)</f>
        <v>Bertie Albatov</v>
      </c>
      <c r="H58" s="803"/>
      <c r="I58" s="804">
        <f t="shared" si="46"/>
        <v>30.66</v>
      </c>
      <c r="J58" s="805">
        <f t="shared" si="46"/>
        <v>16.489999999999998</v>
      </c>
      <c r="K58" s="790">
        <f t="shared" si="47"/>
        <v>5</v>
      </c>
      <c r="L58" s="806">
        <f t="shared" si="47"/>
        <v>6</v>
      </c>
      <c r="M58" s="807">
        <f t="shared" si="48"/>
        <v>4</v>
      </c>
      <c r="N58" s="806">
        <f t="shared" si="48"/>
        <v>3</v>
      </c>
      <c r="O58" s="790">
        <f t="shared" si="49"/>
        <v>371</v>
      </c>
    </row>
    <row r="59" spans="1:15" x14ac:dyDescent="0.3">
      <c r="A59" s="801">
        <v>45</v>
      </c>
      <c r="B59" s="774">
        <f>IF($A59&gt;0,VLOOKUP($A59,EventsOrder,2,FALSE)," ")</f>
        <v>2.2999999999999998</v>
      </c>
      <c r="C59" s="792" t="str">
        <f>IF($A59&gt;0,VLOOKUP($A59,EventsOrder,6,FALSE)," ")</f>
        <v xml:space="preserve">High Jump </v>
      </c>
      <c r="D59" s="819"/>
      <c r="E59" s="118" t="str">
        <f>IF($A59&gt;0,VLOOKUP($O59,Results,7,FALSE),0)</f>
        <v xml:space="preserve">Austin Demanya </v>
      </c>
      <c r="F59" s="848"/>
      <c r="G59" s="118" t="str">
        <f>IF($A59&gt;0,VLOOKUP($O59,Results,9,FALSE),0)</f>
        <v>Eben Ashton</v>
      </c>
      <c r="H59" s="803"/>
      <c r="I59" s="804">
        <f t="shared" si="46"/>
        <v>1.58</v>
      </c>
      <c r="J59" s="805">
        <f t="shared" si="46"/>
        <v>1.55</v>
      </c>
      <c r="K59" s="790">
        <f t="shared" si="47"/>
        <v>2</v>
      </c>
      <c r="L59" s="806">
        <f t="shared" si="47"/>
        <v>1</v>
      </c>
      <c r="M59" s="807">
        <f t="shared" si="48"/>
        <v>7</v>
      </c>
      <c r="N59" s="806">
        <f t="shared" si="48"/>
        <v>8</v>
      </c>
      <c r="O59" s="790">
        <f t="shared" si="49"/>
        <v>451</v>
      </c>
    </row>
    <row r="60" spans="1:15" x14ac:dyDescent="0.3">
      <c r="A60" s="801">
        <v>60</v>
      </c>
      <c r="B60" s="774">
        <f>IF($A60&gt;0,VLOOKUP($A60,EventsOrder,2,FALSE)," ")</f>
        <v>3.3</v>
      </c>
      <c r="C60" s="792" t="str">
        <f>IF($A60&gt;0,VLOOKUP($A60,EventsOrder,6,FALSE)," ")</f>
        <v>Discus Match 2</v>
      </c>
      <c r="D60" s="819"/>
      <c r="E60" s="118">
        <f>IF($A60&gt;0,VLOOKUP($O60,Results,7,FALSE),0)</f>
        <v>0</v>
      </c>
      <c r="F60" s="848"/>
      <c r="G60" s="118">
        <f>IF($A60&gt;0,VLOOKUP($O60,Results,9,FALSE),0)</f>
        <v>0</v>
      </c>
      <c r="H60" s="803"/>
      <c r="I60" s="804">
        <f t="shared" si="46"/>
        <v>0</v>
      </c>
      <c r="J60" s="805">
        <f t="shared" si="46"/>
        <v>0</v>
      </c>
      <c r="K60" s="790">
        <f t="shared" si="47"/>
        <v>0</v>
      </c>
      <c r="L60" s="806">
        <f t="shared" si="47"/>
        <v>0</v>
      </c>
      <c r="M60" s="807">
        <f t="shared" si="48"/>
        <v>0</v>
      </c>
      <c r="N60" s="806">
        <f t="shared" si="48"/>
        <v>0</v>
      </c>
      <c r="O60" s="790">
        <f t="shared" si="49"/>
        <v>601</v>
      </c>
    </row>
    <row r="61" spans="1:15" x14ac:dyDescent="0.3">
      <c r="A61" s="790">
        <v>0</v>
      </c>
      <c r="B61" s="774" t="s">
        <v>237</v>
      </c>
      <c r="C61" s="830" t="s">
        <v>350</v>
      </c>
      <c r="D61" s="824"/>
      <c r="E61" s="769">
        <f t="shared" ref="E61" si="50">IF(A61&gt;0,VLOOKUP(A61&amp;"A",Results3,30+$K61,FALSE),0)</f>
        <v>0</v>
      </c>
      <c r="F61" s="825"/>
      <c r="G61" s="769">
        <f t="shared" ref="G61" si="51">IF(A61&gt;0,VLOOKUP(A61&amp;"B",Results3,30+$L61,FALSE),0)</f>
        <v>0</v>
      </c>
      <c r="H61" s="600"/>
      <c r="I61" s="810" t="str">
        <f t="shared" ref="I61" si="52">IF(A61&gt;0,VLOOKUP(A61&amp;"A",Results3,46+$Q$5,FALSE)," ")</f>
        <v xml:space="preserve"> </v>
      </c>
      <c r="J61" s="811" t="str">
        <f t="shared" ref="J61" si="53">IF(A61&gt;0,VLOOKUP(A61&amp;"B",Results3,46+$Q$5,FALSE)," ")</f>
        <v xml:space="preserve"> </v>
      </c>
      <c r="K61" s="814" t="str">
        <f t="shared" ref="K61" si="54">IF(A61&gt;0,VLOOKUP(A61&amp;"A",Results3,54+$Q$5,FALSE)," ")</f>
        <v xml:space="preserve"> </v>
      </c>
      <c r="L61" s="813" t="str">
        <f t="shared" ref="L61" si="55">IF(A61&gt;0,VLOOKUP(A61&amp;"B",Results3,54+$Q$5,FALSE)," ")</f>
        <v xml:space="preserve"> </v>
      </c>
      <c r="M61" s="831">
        <v>0</v>
      </c>
      <c r="N61" s="813">
        <f t="shared" ref="N61" si="56">IF(OR(J61="DNF",ISTEXT(L61)),0,IF(L61&gt;0,$P$5-L61,0))</f>
        <v>0</v>
      </c>
      <c r="O61" s="790"/>
    </row>
    <row r="62" spans="1:15" x14ac:dyDescent="0.3">
      <c r="A62" s="790"/>
      <c r="B62" s="774"/>
      <c r="C62" s="118"/>
      <c r="D62" s="118"/>
      <c r="H62" s="32"/>
      <c r="K62" s="790"/>
      <c r="L62" s="815" t="s">
        <v>78</v>
      </c>
      <c r="M62" s="816">
        <f>SUM(M44:M61)</f>
        <v>75</v>
      </c>
      <c r="N62" s="816">
        <f>SUM(N44:N61)</f>
        <v>72</v>
      </c>
      <c r="O62" s="816"/>
    </row>
    <row r="63" spans="1:15" x14ac:dyDescent="0.3">
      <c r="A63" s="790"/>
      <c r="B63" s="774"/>
      <c r="C63" s="118"/>
      <c r="D63" s="118"/>
      <c r="K63" s="790"/>
      <c r="L63" s="790"/>
      <c r="M63" s="790"/>
      <c r="N63" s="790"/>
      <c r="O63" s="790"/>
    </row>
    <row r="64" spans="1:15" ht="15.6" x14ac:dyDescent="0.3">
      <c r="A64" s="56" t="s">
        <v>165</v>
      </c>
      <c r="B64" s="56" t="s">
        <v>165</v>
      </c>
      <c r="C64" s="832" t="s">
        <v>482</v>
      </c>
      <c r="D64" s="817"/>
      <c r="E64" s="32" t="s">
        <v>346</v>
      </c>
      <c r="G64" s="32" t="s">
        <v>346</v>
      </c>
      <c r="H64" s="32"/>
      <c r="I64" s="1437" t="s">
        <v>342</v>
      </c>
      <c r="J64" s="1438"/>
      <c r="K64" s="1439" t="s">
        <v>343</v>
      </c>
      <c r="L64" s="1440"/>
      <c r="M64" s="1439" t="s">
        <v>76</v>
      </c>
      <c r="N64" s="1440"/>
      <c r="O64" s="56"/>
    </row>
    <row r="65" spans="1:15" ht="15.6" x14ac:dyDescent="0.3">
      <c r="A65" s="56" t="s">
        <v>167</v>
      </c>
      <c r="B65" s="56" t="s">
        <v>168</v>
      </c>
      <c r="C65" s="118"/>
      <c r="D65" s="817"/>
      <c r="E65" s="56" t="s">
        <v>149</v>
      </c>
      <c r="F65" s="791"/>
      <c r="G65" s="56" t="s">
        <v>94</v>
      </c>
      <c r="H65" s="32"/>
      <c r="I65" s="783" t="s">
        <v>149</v>
      </c>
      <c r="J65" s="785" t="s">
        <v>94</v>
      </c>
      <c r="K65" s="783" t="s">
        <v>149</v>
      </c>
      <c r="L65" s="785" t="s">
        <v>94</v>
      </c>
      <c r="M65" s="783" t="s">
        <v>149</v>
      </c>
      <c r="N65" s="785" t="s">
        <v>94</v>
      </c>
      <c r="O65" s="56"/>
    </row>
    <row r="66" spans="1:15" ht="15.6" x14ac:dyDescent="0.3">
      <c r="A66" s="56"/>
      <c r="B66" s="56"/>
      <c r="C66" s="834" t="s">
        <v>349</v>
      </c>
      <c r="D66" s="835"/>
      <c r="E66" s="859"/>
      <c r="F66" s="860"/>
      <c r="G66" s="859"/>
      <c r="H66" s="833"/>
      <c r="I66" s="612"/>
      <c r="J66" s="818"/>
      <c r="K66" s="612"/>
      <c r="L66" s="818"/>
      <c r="M66" s="612"/>
      <c r="N66" s="818"/>
      <c r="O66" s="56"/>
    </row>
    <row r="67" spans="1:15" ht="15.6" x14ac:dyDescent="0.3">
      <c r="A67" s="801">
        <v>18</v>
      </c>
      <c r="B67" s="774">
        <f t="shared" ref="B67:B72" si="57">IF($A67&gt;0,VLOOKUP($A67,EventsOrder,2,FALSE)," ")</f>
        <v>12.2</v>
      </c>
      <c r="C67" s="792" t="str">
        <f t="shared" ref="C67:C72" si="58">IF($A67&gt;0,VLOOKUP($A67,EventsOrder,6,FALSE)," ")</f>
        <v xml:space="preserve">800m (U18/U20) </v>
      </c>
      <c r="D67" s="836"/>
      <c r="E67" s="118" t="str">
        <f t="shared" ref="E67:E72" si="59">IF($A67&gt;0,VLOOKUP($O67,Results,7,FALSE),0)</f>
        <v>Christian Middleton</v>
      </c>
      <c r="F67" s="848"/>
      <c r="G67" s="118">
        <f t="shared" ref="G67:G72" si="60">IF($A67&gt;0,VLOOKUP($O67,Results,9,FALSE),0)</f>
        <v>0</v>
      </c>
      <c r="H67" s="803"/>
      <c r="I67" s="804" t="str">
        <f t="shared" ref="I67:J72" si="61">IF($A67&gt;0,VLOOKUP($O67,Results,R$21,FALSE),0)</f>
        <v>2.15.7</v>
      </c>
      <c r="J67" s="805">
        <f t="shared" si="61"/>
        <v>0</v>
      </c>
      <c r="K67" s="790">
        <f t="shared" ref="K67:L72" si="62">IF($A67&gt;0,VLOOKUP($O67,Results,R$22,FALSE),0)</f>
        <v>4</v>
      </c>
      <c r="L67" s="806">
        <f t="shared" si="62"/>
        <v>0</v>
      </c>
      <c r="M67" s="807">
        <f t="shared" ref="M67:N72" si="63">IF($A67&gt;0,VLOOKUP($O67,Results,R$23,FALSE),0)</f>
        <v>5</v>
      </c>
      <c r="N67" s="806">
        <f t="shared" si="63"/>
        <v>0</v>
      </c>
      <c r="O67" s="790">
        <f t="shared" ref="O67:O75" si="64">IF(A67&gt;0,(A67*10)+Q$5,0)</f>
        <v>181</v>
      </c>
    </row>
    <row r="68" spans="1:15" ht="15.6" x14ac:dyDescent="0.3">
      <c r="A68" s="801">
        <v>27</v>
      </c>
      <c r="B68" s="774">
        <f t="shared" si="57"/>
        <v>1.1000000000000001</v>
      </c>
      <c r="C68" s="792" t="str">
        <f t="shared" si="58"/>
        <v xml:space="preserve">110m hurdles (U18) </v>
      </c>
      <c r="D68" s="836"/>
      <c r="E68" s="118">
        <f t="shared" si="59"/>
        <v>0</v>
      </c>
      <c r="F68" s="848"/>
      <c r="G68" s="118">
        <f t="shared" si="60"/>
        <v>0</v>
      </c>
      <c r="H68" s="803"/>
      <c r="I68" s="1209">
        <f t="shared" si="61"/>
        <v>0</v>
      </c>
      <c r="J68" s="1210">
        <f t="shared" si="61"/>
        <v>0</v>
      </c>
      <c r="K68" s="790">
        <f t="shared" si="62"/>
        <v>0</v>
      </c>
      <c r="L68" s="806">
        <f t="shared" si="62"/>
        <v>0</v>
      </c>
      <c r="M68" s="807">
        <f t="shared" si="63"/>
        <v>0</v>
      </c>
      <c r="N68" s="806">
        <f t="shared" si="63"/>
        <v>0</v>
      </c>
      <c r="O68" s="790">
        <f t="shared" si="64"/>
        <v>271</v>
      </c>
    </row>
    <row r="69" spans="1:15" ht="15.6" x14ac:dyDescent="0.3">
      <c r="A69" s="801">
        <v>31</v>
      </c>
      <c r="B69" s="774">
        <f t="shared" si="57"/>
        <v>1.35</v>
      </c>
      <c r="C69" s="792" t="str">
        <f t="shared" si="58"/>
        <v xml:space="preserve">400m (U18/U20) </v>
      </c>
      <c r="D69" s="836"/>
      <c r="E69" s="118">
        <f t="shared" si="59"/>
        <v>0</v>
      </c>
      <c r="F69" s="848"/>
      <c r="G69" s="118">
        <f t="shared" si="60"/>
        <v>0</v>
      </c>
      <c r="H69" s="803"/>
      <c r="I69" s="1209">
        <f t="shared" si="61"/>
        <v>0</v>
      </c>
      <c r="J69" s="1210">
        <f t="shared" si="61"/>
        <v>0</v>
      </c>
      <c r="K69" s="790">
        <f t="shared" si="62"/>
        <v>0</v>
      </c>
      <c r="L69" s="806">
        <f t="shared" si="62"/>
        <v>0</v>
      </c>
      <c r="M69" s="807">
        <f t="shared" si="63"/>
        <v>0</v>
      </c>
      <c r="N69" s="806">
        <f t="shared" si="63"/>
        <v>0</v>
      </c>
      <c r="O69" s="790">
        <f t="shared" si="64"/>
        <v>311</v>
      </c>
    </row>
    <row r="70" spans="1:15" ht="15.6" x14ac:dyDescent="0.3">
      <c r="A70" s="801">
        <v>46</v>
      </c>
      <c r="B70" s="774">
        <f t="shared" si="57"/>
        <v>2.4500000000000002</v>
      </c>
      <c r="C70" s="792" t="str">
        <f t="shared" si="58"/>
        <v xml:space="preserve">100m (U18/U20) </v>
      </c>
      <c r="D70" s="836"/>
      <c r="E70" s="118" t="str">
        <f t="shared" si="59"/>
        <v>Miguel Daley</v>
      </c>
      <c r="F70" s="848"/>
      <c r="G70" s="118" t="str">
        <f t="shared" si="60"/>
        <v>Saleh Beshir</v>
      </c>
      <c r="H70" s="803"/>
      <c r="I70" s="1209">
        <f t="shared" si="61"/>
        <v>11.9</v>
      </c>
      <c r="J70" s="1210">
        <f t="shared" si="61"/>
        <v>12.7</v>
      </c>
      <c r="K70" s="790">
        <f t="shared" si="62"/>
        <v>3</v>
      </c>
      <c r="L70" s="806">
        <f t="shared" si="62"/>
        <v>3</v>
      </c>
      <c r="M70" s="807">
        <f t="shared" si="63"/>
        <v>6</v>
      </c>
      <c r="N70" s="806">
        <f t="shared" si="63"/>
        <v>6</v>
      </c>
      <c r="O70" s="790">
        <f t="shared" si="64"/>
        <v>461</v>
      </c>
    </row>
    <row r="71" spans="1:15" ht="15.6" x14ac:dyDescent="0.3">
      <c r="A71" s="801">
        <v>62</v>
      </c>
      <c r="B71" s="774">
        <f t="shared" si="57"/>
        <v>3.3</v>
      </c>
      <c r="C71" s="792" t="str">
        <f t="shared" si="58"/>
        <v xml:space="preserve">1500m (U18/U20) </v>
      </c>
      <c r="D71" s="836"/>
      <c r="E71" s="118" t="str">
        <f t="shared" si="59"/>
        <v xml:space="preserve">Evan Tomlinson </v>
      </c>
      <c r="F71" s="848"/>
      <c r="G71" s="118" t="str">
        <f t="shared" si="60"/>
        <v>Edward Jagger</v>
      </c>
      <c r="H71" s="803"/>
      <c r="I71" s="1209" t="str">
        <f t="shared" si="61"/>
        <v>4.20.6</v>
      </c>
      <c r="J71" s="1210" t="str">
        <f t="shared" si="61"/>
        <v>4.49.5</v>
      </c>
      <c r="K71" s="790">
        <f t="shared" si="62"/>
        <v>2</v>
      </c>
      <c r="L71" s="806">
        <f t="shared" si="62"/>
        <v>2</v>
      </c>
      <c r="M71" s="807">
        <f t="shared" si="63"/>
        <v>7</v>
      </c>
      <c r="N71" s="806">
        <f t="shared" si="63"/>
        <v>7</v>
      </c>
      <c r="O71" s="790">
        <f t="shared" si="64"/>
        <v>621</v>
      </c>
    </row>
    <row r="72" spans="1:15" ht="15.6" x14ac:dyDescent="0.3">
      <c r="A72" s="801">
        <v>76</v>
      </c>
      <c r="B72" s="774">
        <f t="shared" si="57"/>
        <v>4.3</v>
      </c>
      <c r="C72" s="792" t="str">
        <f t="shared" si="58"/>
        <v xml:space="preserve">200m (U18/U20) </v>
      </c>
      <c r="D72" s="836"/>
      <c r="E72" s="118" t="str">
        <f t="shared" si="59"/>
        <v>Miguel Daley</v>
      </c>
      <c r="F72" s="848"/>
      <c r="G72" s="118" t="str">
        <f t="shared" si="60"/>
        <v>Saleh Beshir</v>
      </c>
      <c r="H72" s="803"/>
      <c r="I72" s="804">
        <f t="shared" si="61"/>
        <v>25.2</v>
      </c>
      <c r="J72" s="805">
        <f t="shared" si="61"/>
        <v>0</v>
      </c>
      <c r="K72" s="790">
        <f t="shared" si="62"/>
        <v>4</v>
      </c>
      <c r="L72" s="806">
        <f t="shared" si="62"/>
        <v>0</v>
      </c>
      <c r="M72" s="807">
        <f t="shared" si="63"/>
        <v>5</v>
      </c>
      <c r="N72" s="806">
        <f t="shared" si="63"/>
        <v>0</v>
      </c>
      <c r="O72" s="790">
        <f t="shared" si="64"/>
        <v>761</v>
      </c>
    </row>
    <row r="73" spans="1:15" ht="15.6" x14ac:dyDescent="0.3">
      <c r="A73" s="812"/>
      <c r="B73" s="822"/>
      <c r="C73" s="823"/>
      <c r="D73" s="837"/>
      <c r="E73" s="769">
        <f t="shared" ref="E73" si="65">IF(A73&gt;0,VLOOKUP(A73&amp;"A",Results3,30+$K73,FALSE),0)</f>
        <v>0</v>
      </c>
      <c r="F73" s="825"/>
      <c r="G73" s="769">
        <f t="shared" ref="G73" si="66">IF(A73&gt;0,VLOOKUP(A73&amp;"B",Results3,30+$L73,FALSE),0)</f>
        <v>0</v>
      </c>
      <c r="H73" s="600"/>
      <c r="I73" s="810" t="str">
        <f t="shared" ref="I73" si="67">IF(A73&gt;0,VLOOKUP(A73&amp;"A",Results3,46+$Q$5,FALSE)," ")</f>
        <v xml:space="preserve"> </v>
      </c>
      <c r="J73" s="811" t="str">
        <f t="shared" ref="J73" si="68">IF(A73&gt;0,VLOOKUP(A73&amp;"B",Results3,46+$Q$5,FALSE)," ")</f>
        <v xml:space="preserve"> </v>
      </c>
      <c r="K73" s="814" t="str">
        <f t="shared" ref="K73" si="69">IF(A73&gt;0,VLOOKUP(A73&amp;"A",Results3,54+$Q$5,FALSE)," ")</f>
        <v xml:space="preserve"> </v>
      </c>
      <c r="L73" s="813" t="str">
        <f t="shared" ref="L73" si="70">IF(A73&gt;0,VLOOKUP(A73&amp;"B",Results3,54+$Q$5,FALSE)," ")</f>
        <v xml:space="preserve"> </v>
      </c>
      <c r="M73" s="814">
        <f t="shared" ref="M73:N73" si="71">IF(OR(I73="DNF",ISTEXT(K73)),0,IF(K73&gt;0,$P$5-K73,0))</f>
        <v>0</v>
      </c>
      <c r="N73" s="813">
        <f t="shared" si="71"/>
        <v>0</v>
      </c>
      <c r="O73" s="790"/>
    </row>
    <row r="74" spans="1:15" ht="15.6" x14ac:dyDescent="0.3">
      <c r="A74" s="56"/>
      <c r="B74" s="56"/>
      <c r="C74" s="1274" t="s">
        <v>296</v>
      </c>
      <c r="D74" s="817"/>
      <c r="E74" s="56"/>
      <c r="F74" s="791"/>
      <c r="G74" s="56"/>
      <c r="H74" s="604"/>
      <c r="I74" s="56"/>
      <c r="J74" s="821"/>
      <c r="K74" s="56"/>
      <c r="L74" s="806"/>
      <c r="M74" s="56"/>
      <c r="N74" s="806"/>
      <c r="O74" s="790"/>
    </row>
    <row r="75" spans="1:15" ht="15.6" x14ac:dyDescent="0.3">
      <c r="A75" s="801">
        <v>87</v>
      </c>
      <c r="B75" s="774">
        <f>IF($A75&gt;0,VLOOKUP($A75,EventsOrder,2,FALSE)," ")</f>
        <v>5.15</v>
      </c>
      <c r="C75" s="792" t="str">
        <f>IF($A75&gt;0,VLOOKUP($A75,EventsOrder,6,FALSE)," ")</f>
        <v xml:space="preserve">4 x 100m (U18/U20) </v>
      </c>
      <c r="D75" s="836"/>
      <c r="E75" s="858" t="str">
        <f>C3</f>
        <v>BRAT</v>
      </c>
      <c r="G75" s="118"/>
      <c r="H75" s="604"/>
      <c r="I75" s="804">
        <f>IF($A75&gt;0,VLOOKUP($O75,Results,R$21,FALSE),0)</f>
        <v>0</v>
      </c>
      <c r="J75" s="821"/>
      <c r="K75" s="807">
        <f>IF($A75&gt;0,VLOOKUP($O75,Results,R$22,FALSE),0)</f>
        <v>0</v>
      </c>
      <c r="L75" s="806"/>
      <c r="M75" s="807">
        <f>IF($A75&gt;0,VLOOKUP($O75,Results,R$23,FALSE),0)</f>
        <v>0</v>
      </c>
      <c r="N75" s="806"/>
      <c r="O75" s="790">
        <f t="shared" si="64"/>
        <v>871</v>
      </c>
    </row>
    <row r="76" spans="1:15" x14ac:dyDescent="0.3">
      <c r="A76" s="790" t="str">
        <f>A75&amp;"R"</f>
        <v>87R</v>
      </c>
      <c r="D76" s="819">
        <v>1</v>
      </c>
      <c r="E76" s="118" t="str">
        <f>HLOOKUP($R$5,Relays,32,FALSE)</f>
        <v>Dominic Francis-Gordon</v>
      </c>
      <c r="F76" s="566">
        <v>2</v>
      </c>
      <c r="G76" s="118" t="str">
        <f>HLOOKUP($R$5,Relays,33,FALSE)</f>
        <v>Heinrich</v>
      </c>
      <c r="H76" s="604"/>
      <c r="I76" s="820"/>
      <c r="J76" s="821"/>
      <c r="K76" s="807"/>
      <c r="L76" s="806"/>
      <c r="M76" s="807"/>
      <c r="N76" s="806">
        <f>IF(OR(J76="DNF",ISTEXT(L76)),0,IF(L76&gt;0,$P$5-L76,0))</f>
        <v>0</v>
      </c>
      <c r="O76" s="790"/>
    </row>
    <row r="77" spans="1:15" x14ac:dyDescent="0.3">
      <c r="A77" s="812" t="str">
        <f>A75&amp;"S"</f>
        <v>87S</v>
      </c>
      <c r="B77" s="822"/>
      <c r="C77" s="823"/>
      <c r="D77" s="824">
        <v>3</v>
      </c>
      <c r="E77" s="769" t="str">
        <f>HLOOKUP($R$5,Relays,34,FALSE)</f>
        <v xml:space="preserve">JAYARD VALERIO </v>
      </c>
      <c r="F77" s="829">
        <v>4</v>
      </c>
      <c r="G77" s="769" t="str">
        <f>HLOOKUP($R$5,Relays,35,FALSE)</f>
        <v xml:space="preserve">Austin Demanya </v>
      </c>
      <c r="H77" s="600"/>
      <c r="I77" s="810"/>
      <c r="J77" s="811"/>
      <c r="K77" s="814"/>
      <c r="L77" s="813"/>
      <c r="M77" s="814"/>
      <c r="N77" s="813"/>
      <c r="O77" s="790"/>
    </row>
    <row r="78" spans="1:15" x14ac:dyDescent="0.3">
      <c r="A78" s="790"/>
      <c r="B78" s="774"/>
      <c r="C78" s="838" t="s">
        <v>173</v>
      </c>
      <c r="D78" s="819"/>
      <c r="E78" s="118"/>
      <c r="F78" s="566"/>
      <c r="G78" s="118"/>
      <c r="H78" s="604"/>
      <c r="I78" s="820"/>
      <c r="J78" s="821"/>
      <c r="K78" s="807"/>
      <c r="L78" s="806"/>
      <c r="M78" s="807"/>
      <c r="N78" s="806"/>
      <c r="O78" s="790"/>
    </row>
    <row r="79" spans="1:15" ht="15.6" x14ac:dyDescent="0.3">
      <c r="A79" s="801">
        <v>11</v>
      </c>
      <c r="B79" s="774">
        <f t="shared" ref="B79:B84" si="72">IF($A79&gt;0,VLOOKUP($A79,EventsOrder,2,FALSE)," ")</f>
        <v>12.15</v>
      </c>
      <c r="C79" s="792" t="str">
        <f>IF($A79&gt;0,VLOOKUP($A79,EventsOrder,6,FALSE)," ")</f>
        <v xml:space="preserve">Shot (U18) </v>
      </c>
      <c r="D79" s="836"/>
      <c r="E79" s="118">
        <f>IF($A79&gt;0,VLOOKUP($O79,Results,7,FALSE),0)</f>
        <v>0</v>
      </c>
      <c r="F79" s="848"/>
      <c r="G79" s="118">
        <f>IF($A79&gt;0,VLOOKUP($O79,Results,9,FALSE),0)</f>
        <v>0</v>
      </c>
      <c r="H79" s="803"/>
      <c r="I79" s="804">
        <f t="shared" ref="I79:J83" si="73">IF($A79&gt;0,VLOOKUP($O79,Results,R$21,FALSE),0)</f>
        <v>0</v>
      </c>
      <c r="J79" s="805">
        <f t="shared" si="73"/>
        <v>0</v>
      </c>
      <c r="K79" s="790">
        <f t="shared" ref="K79:L83" si="74">IF($A79&gt;0,VLOOKUP($O79,Results,R$22,FALSE),0)</f>
        <v>0</v>
      </c>
      <c r="L79" s="806">
        <f t="shared" si="74"/>
        <v>0</v>
      </c>
      <c r="M79" s="807">
        <f t="shared" ref="M79:N83" si="75">IF($A79&gt;0,VLOOKUP($O79,Results,R$23,FALSE),0)</f>
        <v>0</v>
      </c>
      <c r="N79" s="806">
        <f t="shared" si="75"/>
        <v>0</v>
      </c>
      <c r="O79" s="790">
        <f t="shared" ref="O79:O83" si="76">IF(A79&gt;0,(A79*10)+Q$5,0)</f>
        <v>111</v>
      </c>
    </row>
    <row r="80" spans="1:15" ht="15.6" x14ac:dyDescent="0.3">
      <c r="A80" s="801">
        <v>23</v>
      </c>
      <c r="B80" s="774">
        <f t="shared" si="72"/>
        <v>1</v>
      </c>
      <c r="C80" s="792" t="str">
        <f>IF($A80&gt;0,VLOOKUP($A80,EventsOrder,6,FALSE)," ")</f>
        <v>Discus (U18) Match 2</v>
      </c>
      <c r="D80" s="836"/>
      <c r="E80" s="118">
        <f>IF($A80&gt;0,VLOOKUP($O80,Results,7,FALSE),0)</f>
        <v>0</v>
      </c>
      <c r="F80" s="848"/>
      <c r="G80" s="118">
        <f>IF($A80&gt;0,VLOOKUP($O80,Results,9,FALSE),0)</f>
        <v>0</v>
      </c>
      <c r="H80" s="803"/>
      <c r="I80" s="804">
        <f t="shared" si="73"/>
        <v>0</v>
      </c>
      <c r="J80" s="805">
        <f t="shared" si="73"/>
        <v>0</v>
      </c>
      <c r="K80" s="790">
        <f t="shared" si="74"/>
        <v>0</v>
      </c>
      <c r="L80" s="806">
        <f t="shared" si="74"/>
        <v>0</v>
      </c>
      <c r="M80" s="807">
        <f t="shared" si="75"/>
        <v>0</v>
      </c>
      <c r="N80" s="806">
        <f t="shared" si="75"/>
        <v>0</v>
      </c>
      <c r="O80" s="790">
        <f t="shared" si="76"/>
        <v>231</v>
      </c>
    </row>
    <row r="81" spans="1:15" ht="15.6" x14ac:dyDescent="0.3">
      <c r="A81" s="801">
        <v>30</v>
      </c>
      <c r="B81" s="774">
        <f t="shared" si="72"/>
        <v>1.3</v>
      </c>
      <c r="C81" s="792" t="str">
        <f>IF($A81&gt;0,VLOOKUP($A81,EventsOrder,6,FALSE)," ")</f>
        <v>Long Jump (U18/20) Pit1</v>
      </c>
      <c r="D81" s="836"/>
      <c r="E81" s="118" t="str">
        <f>IF($A81&gt;0,VLOOKUP($O81,Results,7,FALSE),0)</f>
        <v>Saleh Beshir</v>
      </c>
      <c r="F81" s="848"/>
      <c r="G81" s="118">
        <f>IF($A81&gt;0,VLOOKUP($O81,Results,9,FALSE),0)</f>
        <v>0</v>
      </c>
      <c r="H81" s="803"/>
      <c r="I81" s="804">
        <f t="shared" si="73"/>
        <v>4.6500000000000004</v>
      </c>
      <c r="J81" s="805">
        <f t="shared" si="73"/>
        <v>0</v>
      </c>
      <c r="K81" s="790">
        <f t="shared" si="74"/>
        <v>3</v>
      </c>
      <c r="L81" s="806">
        <f t="shared" si="74"/>
        <v>0</v>
      </c>
      <c r="M81" s="807">
        <f t="shared" si="75"/>
        <v>6</v>
      </c>
      <c r="N81" s="806">
        <f t="shared" si="75"/>
        <v>0</v>
      </c>
      <c r="O81" s="790">
        <f t="shared" si="76"/>
        <v>301</v>
      </c>
    </row>
    <row r="82" spans="1:15" ht="15.6" x14ac:dyDescent="0.3">
      <c r="A82" s="801">
        <v>61</v>
      </c>
      <c r="B82" s="774">
        <f t="shared" si="72"/>
        <v>3.3</v>
      </c>
      <c r="C82" s="792" t="str">
        <f>IF($A82&gt;0,VLOOKUP($A82,EventsOrder,6,FALSE)," ")</f>
        <v>Javelin (U18) Match 1 &amp; 3</v>
      </c>
      <c r="D82" s="836"/>
      <c r="E82" s="118">
        <f>IF($A82&gt;0,VLOOKUP($O82,Results,7,FALSE),0)</f>
        <v>0</v>
      </c>
      <c r="F82" s="848"/>
      <c r="G82" s="118">
        <f>IF($A82&gt;0,VLOOKUP($O82,Results,9,FALSE),0)</f>
        <v>0</v>
      </c>
      <c r="H82" s="803"/>
      <c r="I82" s="804">
        <f t="shared" si="73"/>
        <v>0</v>
      </c>
      <c r="J82" s="805">
        <f t="shared" si="73"/>
        <v>0</v>
      </c>
      <c r="K82" s="790">
        <f t="shared" si="74"/>
        <v>0</v>
      </c>
      <c r="L82" s="806">
        <f t="shared" si="74"/>
        <v>0</v>
      </c>
      <c r="M82" s="807">
        <f t="shared" si="75"/>
        <v>0</v>
      </c>
      <c r="N82" s="806">
        <f t="shared" si="75"/>
        <v>0</v>
      </c>
      <c r="O82" s="790">
        <f t="shared" si="76"/>
        <v>611</v>
      </c>
    </row>
    <row r="83" spans="1:15" ht="15.6" x14ac:dyDescent="0.3">
      <c r="A83" s="801">
        <v>69</v>
      </c>
      <c r="B83" s="774">
        <f t="shared" si="72"/>
        <v>4.0999999999999996</v>
      </c>
      <c r="C83" s="792" t="str">
        <f>IF($A83&gt;0,VLOOKUP($A83,EventsOrder,6,FALSE)," ")</f>
        <v xml:space="preserve">High Jump (U18/U20) </v>
      </c>
      <c r="D83" s="836"/>
      <c r="E83" s="118" t="str">
        <f>IF($A83&gt;0,VLOOKUP($O83,Results,7,FALSE),0)</f>
        <v>Miguel Daley</v>
      </c>
      <c r="F83" s="848"/>
      <c r="G83" s="118">
        <f>IF($A83&gt;0,VLOOKUP($O83,Results,9,FALSE),0)</f>
        <v>0</v>
      </c>
      <c r="H83" s="803"/>
      <c r="I83" s="804">
        <f t="shared" si="73"/>
        <v>0</v>
      </c>
      <c r="J83" s="805">
        <f t="shared" si="73"/>
        <v>0</v>
      </c>
      <c r="K83" s="790">
        <f t="shared" si="74"/>
        <v>0</v>
      </c>
      <c r="L83" s="806">
        <f t="shared" si="74"/>
        <v>0</v>
      </c>
      <c r="M83" s="807">
        <f t="shared" si="75"/>
        <v>0</v>
      </c>
      <c r="N83" s="806">
        <f t="shared" si="75"/>
        <v>0</v>
      </c>
      <c r="O83" s="790">
        <f t="shared" si="76"/>
        <v>691</v>
      </c>
    </row>
    <row r="84" spans="1:15" ht="15.6" x14ac:dyDescent="0.3">
      <c r="A84" s="790">
        <v>0</v>
      </c>
      <c r="B84" s="774" t="str">
        <f t="shared" si="72"/>
        <v xml:space="preserve"> </v>
      </c>
      <c r="C84" s="830" t="s">
        <v>350</v>
      </c>
      <c r="D84" s="837"/>
      <c r="E84" s="769">
        <f t="shared" ref="E84" si="77">IF(A84&gt;0,VLOOKUP(A84&amp;"A",Results3,30+$K84,FALSE),0)</f>
        <v>0</v>
      </c>
      <c r="F84" s="825"/>
      <c r="G84" s="769">
        <f t="shared" ref="G84" si="78">IF(A84&gt;0,VLOOKUP(A84&amp;"B",Results3,30+$L84,FALSE),0)</f>
        <v>0</v>
      </c>
      <c r="H84" s="600"/>
      <c r="I84" s="810" t="str">
        <f t="shared" ref="I84" si="79">IF(A84&gt;0,VLOOKUP(A84&amp;"A",Results3,46+$Q$5,FALSE)," ")</f>
        <v xml:space="preserve"> </v>
      </c>
      <c r="J84" s="811" t="str">
        <f t="shared" ref="J84" si="80">IF(A84&gt;0,VLOOKUP(A84&amp;"B",Results3,46+$Q$5,FALSE)," ")</f>
        <v xml:space="preserve"> </v>
      </c>
      <c r="K84" s="814" t="str">
        <f t="shared" ref="K84" si="81">IF(A84&gt;0,VLOOKUP(A84&amp;"A",Results3,54+$Q$5,FALSE)," ")</f>
        <v xml:space="preserve"> </v>
      </c>
      <c r="L84" s="813" t="str">
        <f t="shared" ref="L84" si="82">IF(A84&gt;0,VLOOKUP(A84&amp;"B",Results3,54+$Q$5,FALSE)," ")</f>
        <v xml:space="preserve"> </v>
      </c>
      <c r="M84" s="831">
        <v>0</v>
      </c>
      <c r="N84" s="813">
        <f t="shared" ref="N84" si="83">IF(OR(J84="DNF",ISTEXT(L84)),0,IF(L84&gt;0,$P$5-L84,0))</f>
        <v>0</v>
      </c>
      <c r="O84" s="790"/>
    </row>
    <row r="85" spans="1:15" ht="15.6" x14ac:dyDescent="0.3">
      <c r="A85" s="790"/>
      <c r="B85" s="774"/>
      <c r="C85" s="792"/>
      <c r="D85" s="817"/>
      <c r="E85" s="118"/>
      <c r="G85" s="118"/>
      <c r="H85" s="32"/>
      <c r="K85" s="790"/>
      <c r="L85" s="839" t="s">
        <v>78</v>
      </c>
      <c r="M85" s="816">
        <f>SUM(M67:M84)</f>
        <v>29</v>
      </c>
      <c r="N85" s="816">
        <f>SUM(N67:N84)</f>
        <v>13</v>
      </c>
      <c r="O85" s="816"/>
    </row>
    <row r="86" spans="1:15" ht="15.6" x14ac:dyDescent="0.3">
      <c r="A86" s="790"/>
      <c r="B86" s="774"/>
      <c r="C86" s="118"/>
      <c r="D86" s="817"/>
      <c r="K86" s="790"/>
      <c r="L86" s="839" t="s">
        <v>351</v>
      </c>
      <c r="M86" s="816">
        <f>M85+M62+M39</f>
        <v>165</v>
      </c>
      <c r="N86" s="816">
        <f>N85+N62+N39</f>
        <v>144</v>
      </c>
      <c r="O86" s="816">
        <f>M86+N86</f>
        <v>309</v>
      </c>
    </row>
    <row r="87" spans="1:15" x14ac:dyDescent="0.3">
      <c r="A87" s="790"/>
      <c r="B87" s="774"/>
      <c r="C87" s="118"/>
      <c r="D87" s="118"/>
      <c r="K87" s="790"/>
      <c r="L87" s="790"/>
      <c r="M87" s="790"/>
      <c r="N87" s="790"/>
      <c r="O87" s="790"/>
    </row>
    <row r="88" spans="1:15" ht="15.6" x14ac:dyDescent="0.3">
      <c r="A88" s="56" t="s">
        <v>165</v>
      </c>
      <c r="B88" s="56" t="s">
        <v>165</v>
      </c>
      <c r="C88" s="840" t="s">
        <v>483</v>
      </c>
      <c r="D88" s="817"/>
      <c r="E88" s="32" t="s">
        <v>346</v>
      </c>
      <c r="G88" s="32" t="s">
        <v>346</v>
      </c>
      <c r="H88" s="32"/>
      <c r="I88" s="1437" t="s">
        <v>342</v>
      </c>
      <c r="J88" s="1438"/>
      <c r="K88" s="1439" t="s">
        <v>343</v>
      </c>
      <c r="L88" s="1440"/>
      <c r="M88" s="1439" t="s">
        <v>76</v>
      </c>
      <c r="N88" s="1440"/>
      <c r="O88" s="56"/>
    </row>
    <row r="89" spans="1:15" x14ac:dyDescent="0.3">
      <c r="A89" s="56" t="s">
        <v>167</v>
      </c>
      <c r="B89" s="56" t="s">
        <v>168</v>
      </c>
      <c r="C89" s="118"/>
      <c r="D89" s="118"/>
      <c r="E89" s="56" t="s">
        <v>149</v>
      </c>
      <c r="F89" s="791"/>
      <c r="G89" s="56" t="s">
        <v>94</v>
      </c>
      <c r="H89" s="56"/>
      <c r="I89" s="783" t="s">
        <v>149</v>
      </c>
      <c r="J89" s="785" t="s">
        <v>94</v>
      </c>
      <c r="K89" s="783" t="s">
        <v>149</v>
      </c>
      <c r="L89" s="785" t="s">
        <v>94</v>
      </c>
      <c r="M89" s="783" t="s">
        <v>149</v>
      </c>
      <c r="N89" s="785" t="s">
        <v>94</v>
      </c>
      <c r="O89" s="56"/>
    </row>
    <row r="90" spans="1:15" x14ac:dyDescent="0.3">
      <c r="A90" s="801">
        <v>6</v>
      </c>
      <c r="B90" s="774">
        <f t="shared" ref="B90:B97" si="84">IF($A90&gt;0,VLOOKUP($A90,EventsOrder,2,FALSE)," ")</f>
        <v>11.45</v>
      </c>
      <c r="C90" s="792" t="str">
        <f t="shared" ref="C90:C97" si="85">IF($A90&gt;0,VLOOKUP($A90,EventsOrder,6,FALSE)," ")</f>
        <v xml:space="preserve">Howler </v>
      </c>
      <c r="D90" s="861"/>
      <c r="E90" s="794" t="str">
        <f t="shared" ref="E90:E96" si="86">IF($A90&gt;0,VLOOKUP($O90,Results,7,FALSE),0)</f>
        <v>Khushi Chanal</v>
      </c>
      <c r="F90" s="862"/>
      <c r="G90" s="794" t="str">
        <f t="shared" ref="G90:G96" si="87">IF($A90&gt;0,VLOOKUP($O90,Results,9,FALSE),0)</f>
        <v>Sophia Thomas</v>
      </c>
      <c r="H90" s="438"/>
      <c r="I90" s="804">
        <f t="shared" ref="I90:J93" si="88">IF($A90&gt;0,VLOOKUP($O90,Results,R$21,FALSE),0)</f>
        <v>16.38</v>
      </c>
      <c r="J90" s="805">
        <f t="shared" si="88"/>
        <v>11.41</v>
      </c>
      <c r="K90" s="790">
        <f t="shared" ref="K90:L93" si="89">IF($A90&gt;0,VLOOKUP($O90,Results,R$22,FALSE),0)</f>
        <v>3</v>
      </c>
      <c r="L90" s="806">
        <f t="shared" si="89"/>
        <v>5</v>
      </c>
      <c r="M90" s="807">
        <f t="shared" ref="M90:N93" si="90">IF($A90&gt;0,VLOOKUP($O90,Results,R$23,FALSE),0)</f>
        <v>6</v>
      </c>
      <c r="N90" s="806">
        <f t="shared" si="90"/>
        <v>4</v>
      </c>
      <c r="O90" s="790">
        <f t="shared" ref="O90:O93" si="91">IF(A90&gt;0,(A90*10)+Q$5,0)</f>
        <v>61</v>
      </c>
    </row>
    <row r="91" spans="1:15" x14ac:dyDescent="0.3">
      <c r="A91" s="801">
        <v>32</v>
      </c>
      <c r="B91" s="774">
        <f t="shared" si="84"/>
        <v>1.5</v>
      </c>
      <c r="C91" s="792" t="str">
        <f t="shared" si="85"/>
        <v xml:space="preserve">600m </v>
      </c>
      <c r="D91" s="819"/>
      <c r="E91" s="118" t="str">
        <f t="shared" si="86"/>
        <v>Beatrix Thompson</v>
      </c>
      <c r="F91" s="848"/>
      <c r="G91" s="118" t="str">
        <f t="shared" si="87"/>
        <v xml:space="preserve">
Azucena Cereceda</v>
      </c>
      <c r="H91" s="803"/>
      <c r="I91" s="804" t="str">
        <f t="shared" si="88"/>
        <v>2.07.7</v>
      </c>
      <c r="J91" s="805" t="str">
        <f t="shared" si="88"/>
        <v>2.08.9</v>
      </c>
      <c r="K91" s="790">
        <f t="shared" si="89"/>
        <v>6</v>
      </c>
      <c r="L91" s="806">
        <f t="shared" si="89"/>
        <v>4</v>
      </c>
      <c r="M91" s="807">
        <f t="shared" si="90"/>
        <v>3</v>
      </c>
      <c r="N91" s="806">
        <f t="shared" si="90"/>
        <v>5</v>
      </c>
      <c r="O91" s="790">
        <f t="shared" si="91"/>
        <v>321</v>
      </c>
    </row>
    <row r="92" spans="1:15" x14ac:dyDescent="0.3">
      <c r="A92" s="801">
        <v>40</v>
      </c>
      <c r="B92" s="774">
        <f t="shared" si="84"/>
        <v>2.1</v>
      </c>
      <c r="C92" s="792" t="str">
        <f t="shared" si="85"/>
        <v>Long Jump Pit 2</v>
      </c>
      <c r="D92" s="808"/>
      <c r="E92" s="118" t="str">
        <f t="shared" si="86"/>
        <v>Beatrice-Rosie Follows</v>
      </c>
      <c r="F92" s="848"/>
      <c r="G92" s="118" t="str">
        <f t="shared" si="87"/>
        <v>Azucena Cereceda</v>
      </c>
      <c r="H92" s="803"/>
      <c r="I92" s="804">
        <f t="shared" si="88"/>
        <v>2.98</v>
      </c>
      <c r="J92" s="805">
        <f t="shared" si="88"/>
        <v>0</v>
      </c>
      <c r="K92" s="790">
        <f t="shared" si="89"/>
        <v>8</v>
      </c>
      <c r="L92" s="806">
        <f t="shared" si="89"/>
        <v>0</v>
      </c>
      <c r="M92" s="807">
        <f t="shared" si="90"/>
        <v>1</v>
      </c>
      <c r="N92" s="806">
        <f t="shared" si="90"/>
        <v>0</v>
      </c>
      <c r="O92" s="790">
        <f t="shared" si="91"/>
        <v>401</v>
      </c>
    </row>
    <row r="93" spans="1:15" x14ac:dyDescent="0.3">
      <c r="A93" s="801">
        <v>50</v>
      </c>
      <c r="B93" s="774">
        <f t="shared" si="84"/>
        <v>3</v>
      </c>
      <c r="C93" s="792" t="str">
        <f t="shared" si="85"/>
        <v xml:space="preserve">75m </v>
      </c>
      <c r="D93" s="808"/>
      <c r="E93" s="118" t="str">
        <f t="shared" si="86"/>
        <v>Beatrice-Rosie Follows</v>
      </c>
      <c r="F93" s="848"/>
      <c r="G93" s="118" t="str">
        <f t="shared" si="87"/>
        <v>Khushi Chanal</v>
      </c>
      <c r="H93" s="803"/>
      <c r="I93" s="804">
        <f t="shared" si="88"/>
        <v>11.9</v>
      </c>
      <c r="J93" s="805">
        <f t="shared" si="88"/>
        <v>13.1</v>
      </c>
      <c r="K93" s="790">
        <f t="shared" si="89"/>
        <v>6</v>
      </c>
      <c r="L93" s="806">
        <f t="shared" si="89"/>
        <v>7</v>
      </c>
      <c r="M93" s="807">
        <f t="shared" si="90"/>
        <v>3</v>
      </c>
      <c r="N93" s="806">
        <f t="shared" si="90"/>
        <v>2</v>
      </c>
      <c r="O93" s="790">
        <f t="shared" si="91"/>
        <v>501</v>
      </c>
    </row>
    <row r="94" spans="1:15" x14ac:dyDescent="0.3">
      <c r="A94" s="801">
        <v>51</v>
      </c>
      <c r="B94" s="774">
        <f t="shared" si="84"/>
        <v>3.4</v>
      </c>
      <c r="C94" s="792" t="str">
        <f t="shared" si="85"/>
        <v xml:space="preserve">150m </v>
      </c>
      <c r="D94" s="808"/>
      <c r="E94" s="118" t="str">
        <f t="shared" si="86"/>
        <v xml:space="preserve">
Beatrice Rosie Follows</v>
      </c>
      <c r="F94" s="848"/>
      <c r="G94" s="118" t="str">
        <f t="shared" si="87"/>
        <v>Azucena Cereceda</v>
      </c>
      <c r="H94" s="803"/>
      <c r="I94" s="804">
        <f t="shared" ref="I94" si="92">IF($A94&gt;0,VLOOKUP($O94,Results,R$21,FALSE),0)</f>
        <v>24.4</v>
      </c>
      <c r="J94" s="805">
        <f t="shared" ref="J94" si="93">IF($A94&gt;0,VLOOKUP($O94,Results,S$21,FALSE),0)</f>
        <v>26</v>
      </c>
      <c r="K94" s="790">
        <f t="shared" ref="K94" si="94">IF($A94&gt;0,VLOOKUP($O94,Results,R$22,FALSE),0)</f>
        <v>8</v>
      </c>
      <c r="L94" s="806">
        <f t="shared" ref="L94" si="95">IF($A94&gt;0,VLOOKUP($O94,Results,S$22,FALSE),0)</f>
        <v>8</v>
      </c>
      <c r="M94" s="807">
        <f t="shared" ref="M94" si="96">IF($A94&gt;0,VLOOKUP($O94,Results,R$23,FALSE),0)</f>
        <v>1</v>
      </c>
      <c r="N94" s="806">
        <f t="shared" ref="N94" si="97">IF($A94&gt;0,VLOOKUP($O94,Results,S$23,FALSE),0)</f>
        <v>1</v>
      </c>
      <c r="O94" s="790">
        <f t="shared" ref="O94" si="98">IF(A94&gt;0,(A94*10)+Q$5,0)</f>
        <v>511</v>
      </c>
    </row>
    <row r="95" spans="1:15" x14ac:dyDescent="0.3">
      <c r="A95" s="801"/>
      <c r="B95" s="774" t="str">
        <f t="shared" si="84"/>
        <v xml:space="preserve"> </v>
      </c>
      <c r="C95" s="792" t="str">
        <f t="shared" si="85"/>
        <v xml:space="preserve"> </v>
      </c>
      <c r="D95" s="802">
        <f>IF($A95&gt;0,VLOOKUP($O95,Results,R$19,FALSE),0)</f>
        <v>0</v>
      </c>
      <c r="E95" s="118">
        <f t="shared" si="86"/>
        <v>0</v>
      </c>
      <c r="F95" s="848">
        <f>IF($A95&gt;0,VLOOKUP($O95,Results,S$19,FALSE),0)</f>
        <v>0</v>
      </c>
      <c r="G95" s="118">
        <f t="shared" si="87"/>
        <v>0</v>
      </c>
      <c r="H95" s="803"/>
      <c r="I95" s="804">
        <f t="shared" ref="I95:J97" si="99">IF($A95&gt;0,VLOOKUP($O95,Results,R$21,FALSE),0)</f>
        <v>0</v>
      </c>
      <c r="J95" s="805">
        <f t="shared" si="99"/>
        <v>0</v>
      </c>
      <c r="K95" s="790">
        <f t="shared" ref="K95:L97" si="100">IF($A95&gt;0,VLOOKUP($O95,Results,R$22,FALSE),0)</f>
        <v>0</v>
      </c>
      <c r="L95" s="806">
        <f t="shared" si="100"/>
        <v>0</v>
      </c>
      <c r="M95" s="807"/>
      <c r="N95" s="806"/>
      <c r="O95" s="790">
        <f t="shared" ref="O95:O97" si="101">IF(A95&gt;0,(A95*10)+Q$5,0)</f>
        <v>0</v>
      </c>
    </row>
    <row r="96" spans="1:15" x14ac:dyDescent="0.3">
      <c r="A96" s="801"/>
      <c r="B96" s="774" t="str">
        <f t="shared" si="84"/>
        <v xml:space="preserve"> </v>
      </c>
      <c r="C96" s="792" t="str">
        <f t="shared" si="85"/>
        <v xml:space="preserve"> </v>
      </c>
      <c r="D96" s="802">
        <f>IF($A96&gt;0,VLOOKUP($O96,Results,R$19,FALSE),0)</f>
        <v>0</v>
      </c>
      <c r="E96" s="118">
        <f t="shared" si="86"/>
        <v>0</v>
      </c>
      <c r="F96" s="848">
        <f>IF($A96&gt;0,VLOOKUP($O96,Results,S$19,FALSE),0)</f>
        <v>0</v>
      </c>
      <c r="G96" s="118">
        <f t="shared" si="87"/>
        <v>0</v>
      </c>
      <c r="H96" s="803"/>
      <c r="I96" s="1209">
        <f t="shared" si="99"/>
        <v>0</v>
      </c>
      <c r="J96" s="1210">
        <f t="shared" si="99"/>
        <v>0</v>
      </c>
      <c r="K96" s="790">
        <f t="shared" si="100"/>
        <v>0</v>
      </c>
      <c r="L96" s="806">
        <f t="shared" si="100"/>
        <v>0</v>
      </c>
      <c r="M96" s="807"/>
      <c r="N96" s="806"/>
      <c r="O96" s="790">
        <f t="shared" si="101"/>
        <v>0</v>
      </c>
    </row>
    <row r="97" spans="1:15" x14ac:dyDescent="0.3">
      <c r="A97" s="801">
        <v>81</v>
      </c>
      <c r="B97" s="774">
        <f t="shared" si="84"/>
        <v>4.4000000000000004</v>
      </c>
      <c r="C97" s="792" t="str">
        <f t="shared" si="85"/>
        <v xml:space="preserve">4 x 100m  </v>
      </c>
      <c r="D97" s="802"/>
      <c r="E97" s="830" t="str">
        <f>C3</f>
        <v>BRAT</v>
      </c>
      <c r="F97" s="863"/>
      <c r="G97" s="118"/>
      <c r="H97" s="818"/>
      <c r="I97" s="1209">
        <f t="shared" si="99"/>
        <v>69.2</v>
      </c>
      <c r="J97" s="1210">
        <f t="shared" si="99"/>
        <v>0</v>
      </c>
      <c r="K97" s="807">
        <f t="shared" si="100"/>
        <v>8</v>
      </c>
      <c r="L97" s="806">
        <f t="shared" si="100"/>
        <v>0</v>
      </c>
      <c r="M97" s="807">
        <f t="shared" ref="M97" si="102">IF($A97&gt;0,VLOOKUP($O97,Results,R$23,FALSE),0)</f>
        <v>1</v>
      </c>
      <c r="N97" s="806"/>
      <c r="O97" s="790">
        <f t="shared" si="101"/>
        <v>811</v>
      </c>
    </row>
    <row r="98" spans="1:15" x14ac:dyDescent="0.3">
      <c r="A98" s="790" t="str">
        <f>A97&amp;"R"</f>
        <v>81R</v>
      </c>
      <c r="C98" s="792"/>
      <c r="D98" s="841">
        <v>1</v>
      </c>
      <c r="E98" s="118" t="str">
        <f>HLOOKUP($R$5,Relays,2,FALSE)</f>
        <v xml:space="preserve">Adrian Ward </v>
      </c>
      <c r="F98" s="863">
        <v>2</v>
      </c>
      <c r="G98" s="118" t="str">
        <f>HLOOKUP($R$5,Relays,3,FALSE)</f>
        <v xml:space="preserve">Leo Parekh </v>
      </c>
      <c r="H98" s="818"/>
      <c r="I98" s="820"/>
      <c r="J98" s="821"/>
      <c r="K98" s="807"/>
      <c r="L98" s="806"/>
      <c r="M98" s="807"/>
      <c r="N98" s="806">
        <f>IF(OR(J98="DNF",ISTEXT(L98)),0,IF(L98&gt;0,$P$5-L98,0))</f>
        <v>0</v>
      </c>
      <c r="O98" s="790"/>
    </row>
    <row r="99" spans="1:15" x14ac:dyDescent="0.3">
      <c r="A99" s="790" t="str">
        <f>A97&amp;"S"</f>
        <v>81S</v>
      </c>
      <c r="B99" s="774"/>
      <c r="D99" s="842">
        <v>3</v>
      </c>
      <c r="E99" s="769" t="str">
        <f>HLOOKUP($R$5,Relays,4,FALSE)</f>
        <v>Zachary Asanga</v>
      </c>
      <c r="F99" s="843">
        <v>4</v>
      </c>
      <c r="G99" s="769" t="str">
        <f>HLOOKUP($R$5,Relays,5,FALSE)</f>
        <v xml:space="preserve">Oliver brooks </v>
      </c>
      <c r="H99" s="785"/>
      <c r="I99" s="810"/>
      <c r="J99" s="811"/>
      <c r="K99" s="814"/>
      <c r="L99" s="813"/>
      <c r="M99" s="814"/>
      <c r="N99" s="813"/>
      <c r="O99" s="790"/>
    </row>
    <row r="100" spans="1:15" x14ac:dyDescent="0.3">
      <c r="A100" s="790"/>
      <c r="B100" s="774"/>
      <c r="C100" s="118"/>
      <c r="D100" s="118"/>
      <c r="H100" s="56"/>
      <c r="K100" s="790"/>
      <c r="L100" s="815" t="s">
        <v>78</v>
      </c>
      <c r="M100" s="816">
        <f>SUM(M90:M99)</f>
        <v>15</v>
      </c>
      <c r="N100" s="816">
        <f>SUM(N90:N99)</f>
        <v>12</v>
      </c>
      <c r="O100" s="816"/>
    </row>
    <row r="101" spans="1:15" x14ac:dyDescent="0.3">
      <c r="A101" s="790"/>
      <c r="B101" s="774"/>
      <c r="C101" s="118"/>
      <c r="D101" s="118"/>
      <c r="H101" s="56"/>
      <c r="K101" s="790"/>
      <c r="L101" s="790"/>
      <c r="M101" s="816"/>
      <c r="N101" s="816"/>
      <c r="O101" s="816"/>
    </row>
    <row r="102" spans="1:15" ht="15.6" x14ac:dyDescent="0.3">
      <c r="A102" s="56" t="s">
        <v>165</v>
      </c>
      <c r="B102" s="56" t="s">
        <v>165</v>
      </c>
      <c r="C102" s="840" t="s">
        <v>484</v>
      </c>
      <c r="D102" s="817"/>
      <c r="E102" s="32" t="s">
        <v>346</v>
      </c>
      <c r="G102" s="32" t="s">
        <v>346</v>
      </c>
      <c r="H102" s="56"/>
      <c r="I102" s="1437" t="s">
        <v>342</v>
      </c>
      <c r="J102" s="1438"/>
      <c r="K102" s="1439" t="s">
        <v>343</v>
      </c>
      <c r="L102" s="1440"/>
      <c r="M102" s="1439" t="s">
        <v>76</v>
      </c>
      <c r="N102" s="1440"/>
      <c r="O102" s="56"/>
    </row>
    <row r="103" spans="1:15" x14ac:dyDescent="0.3">
      <c r="A103" s="56" t="s">
        <v>167</v>
      </c>
      <c r="B103" s="56" t="s">
        <v>168</v>
      </c>
      <c r="C103" s="118"/>
      <c r="D103" s="118"/>
      <c r="E103" s="56" t="s">
        <v>149</v>
      </c>
      <c r="F103" s="791"/>
      <c r="G103" s="56" t="s">
        <v>94</v>
      </c>
      <c r="H103" s="56"/>
      <c r="I103" s="783" t="s">
        <v>149</v>
      </c>
      <c r="J103" s="785" t="s">
        <v>94</v>
      </c>
      <c r="K103" s="783" t="s">
        <v>149</v>
      </c>
      <c r="L103" s="785" t="s">
        <v>94</v>
      </c>
      <c r="M103" s="783" t="s">
        <v>149</v>
      </c>
      <c r="N103" s="785" t="s">
        <v>94</v>
      </c>
      <c r="O103" s="56"/>
    </row>
    <row r="104" spans="1:15" x14ac:dyDescent="0.3">
      <c r="A104" s="56"/>
      <c r="B104" s="56"/>
      <c r="C104" s="834" t="s">
        <v>349</v>
      </c>
      <c r="D104" s="793"/>
      <c r="E104" s="859"/>
      <c r="F104" s="860"/>
      <c r="G104" s="859"/>
      <c r="H104" s="833"/>
      <c r="I104" s="612"/>
      <c r="J104" s="818"/>
      <c r="K104" s="612"/>
      <c r="L104" s="818"/>
      <c r="M104" s="612"/>
      <c r="N104" s="818"/>
      <c r="O104" s="56"/>
    </row>
    <row r="105" spans="1:15" x14ac:dyDescent="0.3">
      <c r="A105" s="801">
        <v>2</v>
      </c>
      <c r="B105" s="774">
        <f>IF($A105&gt;0,VLOOKUP($A105,EventsOrder,2,FALSE)," ")</f>
        <v>11</v>
      </c>
      <c r="C105" s="792" t="str">
        <f>IF($A105&gt;0,VLOOKUP($A105,EventsOrder,6,FALSE)," ")</f>
        <v xml:space="preserve">1500m </v>
      </c>
      <c r="D105" s="819"/>
      <c r="E105" s="118" t="str">
        <f>IF($A105&gt;0,VLOOKUP($O105,Results,7,FALSE),0)</f>
        <v>Sophie McKinnon</v>
      </c>
      <c r="F105" s="848"/>
      <c r="G105" s="118" t="str">
        <f>IF($A105&gt;0,VLOOKUP($O105,Results,9,FALSE),0)</f>
        <v xml:space="preserve">
Maliyka lewis</v>
      </c>
      <c r="H105" s="803"/>
      <c r="I105" s="804" t="str">
        <f t="shared" ref="I105:J109" si="103">IF($A105&gt;0,VLOOKUP($O105,Results,R$21,FALSE),0)</f>
        <v>5.22.0</v>
      </c>
      <c r="J105" s="805" t="str">
        <f t="shared" si="103"/>
        <v>6.20.6</v>
      </c>
      <c r="K105" s="790">
        <f t="shared" ref="K105:L109" si="104">IF($A105&gt;0,VLOOKUP($O105,Results,R$22,FALSE),0)</f>
        <v>4</v>
      </c>
      <c r="L105" s="806">
        <f t="shared" si="104"/>
        <v>7</v>
      </c>
      <c r="M105" s="807">
        <f t="shared" ref="M105:N109" si="105">IF($A105&gt;0,VLOOKUP($O105,Results,R$23,FALSE),0)</f>
        <v>5</v>
      </c>
      <c r="N105" s="806">
        <f t="shared" si="105"/>
        <v>2</v>
      </c>
      <c r="O105" s="790">
        <f t="shared" ref="O105:O112" si="106">IF(A105&gt;0,(A105*10)+Q$5,0)</f>
        <v>21</v>
      </c>
    </row>
    <row r="106" spans="1:15" x14ac:dyDescent="0.3">
      <c r="A106" s="801">
        <v>8</v>
      </c>
      <c r="B106" s="774">
        <f>IF($A106&gt;0,VLOOKUP($A106,EventsOrder,2,FALSE)," ")</f>
        <v>11.3</v>
      </c>
      <c r="C106" s="792" t="str">
        <f>IF($A106&gt;0,VLOOKUP($A106,EventsOrder,6,FALSE)," ")</f>
        <v xml:space="preserve">75m hurdles </v>
      </c>
      <c r="D106" s="819"/>
      <c r="E106" s="118" t="str">
        <f>IF($A106&gt;0,VLOOKUP($O106,Results,7,FALSE),0)</f>
        <v>Darcy mcdaid</v>
      </c>
      <c r="F106" s="848"/>
      <c r="G106" s="118" t="str">
        <f>IF($A106&gt;0,VLOOKUP($O106,Results,9,FALSE),0)</f>
        <v>Agnes thomson</v>
      </c>
      <c r="H106" s="803"/>
      <c r="I106" s="1209">
        <f t="shared" si="103"/>
        <v>13.2</v>
      </c>
      <c r="J106" s="1210">
        <f t="shared" si="103"/>
        <v>12.9</v>
      </c>
      <c r="K106" s="790">
        <f t="shared" si="104"/>
        <v>2</v>
      </c>
      <c r="L106" s="806">
        <f t="shared" si="104"/>
        <v>1</v>
      </c>
      <c r="M106" s="807">
        <f t="shared" si="105"/>
        <v>7</v>
      </c>
      <c r="N106" s="806">
        <f t="shared" si="105"/>
        <v>8</v>
      </c>
      <c r="O106" s="790">
        <f t="shared" si="106"/>
        <v>81</v>
      </c>
    </row>
    <row r="107" spans="1:15" x14ac:dyDescent="0.3">
      <c r="A107" s="801">
        <v>25</v>
      </c>
      <c r="B107" s="774">
        <f>IF($A107&gt;0,VLOOKUP($A107,EventsOrder,2,FALSE)," ")</f>
        <v>12.4</v>
      </c>
      <c r="C107" s="792" t="str">
        <f>IF($A107&gt;0,VLOOKUP($A107,EventsOrder,6,FALSE)," ")</f>
        <v xml:space="preserve">800m </v>
      </c>
      <c r="D107" s="819"/>
      <c r="E107" s="118" t="str">
        <f>IF($A107&gt;0,VLOOKUP($O107,Results,7,FALSE),0)</f>
        <v xml:space="preserve">
Eliana Dawit</v>
      </c>
      <c r="F107" s="848"/>
      <c r="G107" s="118" t="str">
        <f>IF($A107&gt;0,VLOOKUP($O107,Results,9,FALSE),0)</f>
        <v>Joanna O'Connor Delgado</v>
      </c>
      <c r="H107" s="803"/>
      <c r="I107" s="1209" t="str">
        <f t="shared" si="103"/>
        <v>2.33.4</v>
      </c>
      <c r="J107" s="1210" t="str">
        <f t="shared" si="103"/>
        <v>3.02.3</v>
      </c>
      <c r="K107" s="790">
        <f t="shared" si="104"/>
        <v>5</v>
      </c>
      <c r="L107" s="806">
        <f t="shared" si="104"/>
        <v>7</v>
      </c>
      <c r="M107" s="807">
        <f t="shared" si="105"/>
        <v>4</v>
      </c>
      <c r="N107" s="806">
        <f t="shared" si="105"/>
        <v>2</v>
      </c>
      <c r="O107" s="790">
        <f t="shared" si="106"/>
        <v>251</v>
      </c>
    </row>
    <row r="108" spans="1:15" x14ac:dyDescent="0.3">
      <c r="A108" s="801">
        <v>39</v>
      </c>
      <c r="B108" s="774">
        <f>IF($A108&gt;0,VLOOKUP($A108,EventsOrder,2,FALSE)," ")</f>
        <v>2.2000000000000002</v>
      </c>
      <c r="C108" s="792" t="str">
        <f>IF($A108&gt;0,VLOOKUP($A108,EventsOrder,6,FALSE)," ")</f>
        <v xml:space="preserve">100m </v>
      </c>
      <c r="D108" s="819"/>
      <c r="E108" s="118" t="str">
        <f>IF($A108&gt;0,VLOOKUP($O108,Results,7,FALSE),0)</f>
        <v>Agnes thomson</v>
      </c>
      <c r="F108" s="848"/>
      <c r="G108" s="118" t="str">
        <f>IF($A108&gt;0,VLOOKUP($O108,Results,9,FALSE),0)</f>
        <v>Savannah wedderburn</v>
      </c>
      <c r="H108" s="803"/>
      <c r="I108" s="1209">
        <f t="shared" si="103"/>
        <v>14.4</v>
      </c>
      <c r="J108" s="1210">
        <f t="shared" si="103"/>
        <v>14.5</v>
      </c>
      <c r="K108" s="790">
        <f t="shared" si="104"/>
        <v>6</v>
      </c>
      <c r="L108" s="806">
        <f t="shared" si="104"/>
        <v>1</v>
      </c>
      <c r="M108" s="807">
        <f t="shared" si="105"/>
        <v>3</v>
      </c>
      <c r="N108" s="806">
        <f t="shared" si="105"/>
        <v>8</v>
      </c>
      <c r="O108" s="790">
        <f t="shared" si="106"/>
        <v>391</v>
      </c>
    </row>
    <row r="109" spans="1:15" x14ac:dyDescent="0.3">
      <c r="A109" s="801">
        <v>66</v>
      </c>
      <c r="B109" s="774">
        <f>IF($A109&gt;0,VLOOKUP($A109,EventsOrder,2,FALSE)," ")</f>
        <v>3.55</v>
      </c>
      <c r="C109" s="792" t="str">
        <f>IF($A109&gt;0,VLOOKUP($A109,EventsOrder,6,FALSE)," ")</f>
        <v xml:space="preserve">200m </v>
      </c>
      <c r="D109" s="819"/>
      <c r="E109" s="118" t="str">
        <f>IF($A109&gt;0,VLOOKUP($O109,Results,7,FALSE),0)</f>
        <v xml:space="preserve">
Savannah Wedderburn</v>
      </c>
      <c r="F109" s="848"/>
      <c r="G109" s="118" t="str">
        <f>IF($A109&gt;0,VLOOKUP($O109,Results,9,FALSE),0)</f>
        <v>Darcy mcdaid</v>
      </c>
      <c r="H109" s="803"/>
      <c r="I109" s="1209">
        <f t="shared" si="103"/>
        <v>31.8</v>
      </c>
      <c r="J109" s="1210">
        <f t="shared" si="103"/>
        <v>29.1</v>
      </c>
      <c r="K109" s="790">
        <f t="shared" si="104"/>
        <v>8</v>
      </c>
      <c r="L109" s="806">
        <f t="shared" si="104"/>
        <v>3</v>
      </c>
      <c r="M109" s="807">
        <f t="shared" si="105"/>
        <v>1</v>
      </c>
      <c r="N109" s="806">
        <f t="shared" si="105"/>
        <v>6</v>
      </c>
      <c r="O109" s="790">
        <f t="shared" si="106"/>
        <v>661</v>
      </c>
    </row>
    <row r="110" spans="1:15" x14ac:dyDescent="0.3">
      <c r="A110" s="812"/>
      <c r="B110" s="822"/>
      <c r="C110" s="823"/>
      <c r="D110" s="824"/>
      <c r="E110" s="769">
        <f t="shared" ref="E110" si="107">IF(A110&gt;0,VLOOKUP(A110&amp;"A",Results3,30+$K110,FALSE),0)</f>
        <v>0</v>
      </c>
      <c r="F110" s="825"/>
      <c r="G110" s="769">
        <f t="shared" ref="G110" si="108">IF(A110&gt;0,VLOOKUP(A110&amp;"B",Results3,30+$L110,FALSE),0)</f>
        <v>0</v>
      </c>
      <c r="H110" s="785"/>
      <c r="I110" s="810" t="str">
        <f t="shared" ref="I110" si="109">IF(A110&gt;0,VLOOKUP(A110&amp;"A",Results3,46+$Q$5,FALSE)," ")</f>
        <v xml:space="preserve"> </v>
      </c>
      <c r="J110" s="811" t="str">
        <f t="shared" ref="J110" si="110">IF(A110&gt;0,VLOOKUP(A110&amp;"B",Results3,46+$Q$5,FALSE)," ")</f>
        <v xml:space="preserve"> </v>
      </c>
      <c r="K110" s="814" t="str">
        <f t="shared" ref="K110" si="111">IF(A110&gt;0,VLOOKUP(A110&amp;"A",Results3,54+$Q$5,FALSE)," ")</f>
        <v xml:space="preserve"> </v>
      </c>
      <c r="L110" s="813" t="str">
        <f t="shared" ref="L110" si="112">IF(A110&gt;0,VLOOKUP(A110&amp;"B",Results3,54+$Q$5,FALSE)," ")</f>
        <v xml:space="preserve"> </v>
      </c>
      <c r="M110" s="814">
        <f t="shared" ref="M110:N110" si="113">IF(OR(I110="DNF",ISTEXT(K110)),0,IF(K110&gt;0,$P$5-K110,0))</f>
        <v>0</v>
      </c>
      <c r="N110" s="813">
        <f t="shared" si="113"/>
        <v>0</v>
      </c>
      <c r="O110" s="790"/>
    </row>
    <row r="111" spans="1:15" ht="15.6" x14ac:dyDescent="0.3">
      <c r="A111" s="56"/>
      <c r="B111" s="56"/>
      <c r="C111" s="834" t="s">
        <v>296</v>
      </c>
      <c r="D111" s="817"/>
      <c r="E111" s="56"/>
      <c r="F111" s="791"/>
      <c r="G111" s="56"/>
      <c r="H111" s="818"/>
      <c r="I111" s="56"/>
      <c r="J111" s="821"/>
      <c r="K111" s="56"/>
      <c r="L111" s="806"/>
      <c r="M111" s="56"/>
      <c r="N111" s="806"/>
      <c r="O111" s="790"/>
    </row>
    <row r="112" spans="1:15" x14ac:dyDescent="0.3">
      <c r="A112" s="801">
        <v>82</v>
      </c>
      <c r="B112" s="774">
        <f>IF($A112&gt;0,VLOOKUP($A112,EventsOrder,2,FALSE)," ")</f>
        <v>4.5</v>
      </c>
      <c r="C112" s="792" t="str">
        <f>IF($A112&gt;0,VLOOKUP($A112,EventsOrder,6,FALSE)," ")</f>
        <v xml:space="preserve">4 x 100m </v>
      </c>
      <c r="D112" s="819"/>
      <c r="E112" s="858" t="str">
        <f>C3</f>
        <v>BRAT</v>
      </c>
      <c r="G112" s="118"/>
      <c r="H112" s="818"/>
      <c r="I112" s="1209">
        <f>IF($A112&gt;0,VLOOKUP($O112,Results,R$21,FALSE),0)</f>
        <v>57.5</v>
      </c>
      <c r="J112" s="805"/>
      <c r="K112" s="807">
        <f>IF($A112&gt;0,VLOOKUP($O112,Results,R$22,FALSE),0)</f>
        <v>5</v>
      </c>
      <c r="L112" s="806"/>
      <c r="M112" s="807">
        <f>IF($A112&gt;0,VLOOKUP($O112,Results,R$23,FALSE),0)</f>
        <v>4</v>
      </c>
      <c r="N112" s="806"/>
      <c r="O112" s="790">
        <f t="shared" si="106"/>
        <v>821</v>
      </c>
    </row>
    <row r="113" spans="1:15" x14ac:dyDescent="0.3">
      <c r="A113" s="790" t="str">
        <f>A112&amp;"R"</f>
        <v>82R</v>
      </c>
      <c r="D113" s="819">
        <v>1</v>
      </c>
      <c r="E113" s="118" t="str">
        <f>HLOOKUP($R$5,Relays,7,FALSE)</f>
        <v>Beatrice-Rosie Follows</v>
      </c>
      <c r="F113" s="566">
        <v>2</v>
      </c>
      <c r="G113" s="118" t="str">
        <f>HLOOKUP($R$5,Relays,8,FALSE)</f>
        <v>Azucena Cereceda</v>
      </c>
      <c r="H113" s="818"/>
      <c r="I113" s="820"/>
      <c r="J113" s="821"/>
      <c r="K113" s="807"/>
      <c r="L113" s="806"/>
      <c r="M113" s="807"/>
      <c r="N113" s="806"/>
      <c r="O113" s="790"/>
    </row>
    <row r="114" spans="1:15" x14ac:dyDescent="0.3">
      <c r="A114" s="812" t="str">
        <f>A112&amp;"S"</f>
        <v>82S</v>
      </c>
      <c r="B114" s="822"/>
      <c r="C114" s="823"/>
      <c r="D114" s="824">
        <v>3</v>
      </c>
      <c r="E114" s="769" t="str">
        <f>HLOOKUP($R$5,Relays,9,FALSE)</f>
        <v>Khushi Chanal</v>
      </c>
      <c r="F114" s="829">
        <v>4</v>
      </c>
      <c r="G114" s="769" t="str">
        <f>HLOOKUP($R$5,Relays,10,FALSE)</f>
        <v>Beatrix Thompson</v>
      </c>
      <c r="H114" s="785"/>
      <c r="I114" s="810"/>
      <c r="J114" s="811"/>
      <c r="K114" s="814"/>
      <c r="L114" s="813"/>
      <c r="M114" s="814"/>
      <c r="N114" s="813"/>
      <c r="O114" s="790"/>
    </row>
    <row r="115" spans="1:15" x14ac:dyDescent="0.3">
      <c r="A115" s="790"/>
      <c r="B115" s="774"/>
      <c r="C115" s="838" t="s">
        <v>173</v>
      </c>
      <c r="D115" s="819"/>
      <c r="E115" s="118"/>
      <c r="F115" s="566"/>
      <c r="G115" s="118"/>
      <c r="H115" s="604"/>
      <c r="I115" s="820"/>
      <c r="J115" s="821"/>
      <c r="K115" s="807"/>
      <c r="L115" s="806"/>
      <c r="M115" s="807"/>
      <c r="N115" s="806"/>
      <c r="O115" s="790"/>
    </row>
    <row r="116" spans="1:15" x14ac:dyDescent="0.3">
      <c r="A116" s="801">
        <v>29</v>
      </c>
      <c r="B116" s="774">
        <f>IF($A116&gt;0,VLOOKUP($A116,EventsOrder,2,FALSE)," ")</f>
        <v>1.3</v>
      </c>
      <c r="C116" s="792" t="str">
        <f>IF($A116&gt;0,VLOOKUP($A116,EventsOrder,6,FALSE)," ")</f>
        <v xml:space="preserve">High Jump </v>
      </c>
      <c r="D116" s="819"/>
      <c r="E116" s="118" t="str">
        <f>IF($A116&gt;0,VLOOKUP($O116,Results,7,FALSE),0)</f>
        <v>Rose Ricardo</v>
      </c>
      <c r="F116" s="848"/>
      <c r="G116" s="118" t="str">
        <f>IF($A116&gt;0,VLOOKUP($O116,Results,9,FALSE),0)</f>
        <v>Mar O'Connor Delgado</v>
      </c>
      <c r="H116" s="803"/>
      <c r="I116" s="804">
        <f t="shared" ref="I116:J120" si="114">IF($A116&gt;0,VLOOKUP($O116,Results,R$21,FALSE),0)</f>
        <v>1.44</v>
      </c>
      <c r="J116" s="805">
        <f t="shared" si="114"/>
        <v>1.3</v>
      </c>
      <c r="K116" s="790">
        <f t="shared" ref="K116:L120" si="115">IF($A116&gt;0,VLOOKUP($O116,Results,R$22,FALSE),0)</f>
        <v>2</v>
      </c>
      <c r="L116" s="806">
        <f t="shared" si="115"/>
        <v>2</v>
      </c>
      <c r="M116" s="807">
        <f t="shared" ref="M116:N120" si="116">IF($A116&gt;0,VLOOKUP($O116,Results,R$23,FALSE),0)</f>
        <v>7</v>
      </c>
      <c r="N116" s="806">
        <f t="shared" si="116"/>
        <v>7</v>
      </c>
      <c r="O116" s="790">
        <f t="shared" ref="O116:O120" si="117">IF(A116&gt;0,(A116*10)+Q$5,0)</f>
        <v>291</v>
      </c>
    </row>
    <row r="117" spans="1:15" x14ac:dyDescent="0.3">
      <c r="A117" s="801">
        <v>36</v>
      </c>
      <c r="B117" s="774">
        <f>IF($A117&gt;0,VLOOKUP($A117,EventsOrder,2,FALSE)," ")</f>
        <v>1.5</v>
      </c>
      <c r="C117" s="792" t="str">
        <f>IF($A117&gt;0,VLOOKUP($A117,EventsOrder,6,FALSE)," ")</f>
        <v>Discus Match 2</v>
      </c>
      <c r="D117" s="819"/>
      <c r="E117" s="118">
        <f>IF($A117&gt;0,VLOOKUP($O117,Results,7,FALSE),0)</f>
        <v>0</v>
      </c>
      <c r="F117" s="848"/>
      <c r="G117" s="118">
        <f>IF($A117&gt;0,VLOOKUP($O117,Results,9,FALSE),0)</f>
        <v>0</v>
      </c>
      <c r="H117" s="803"/>
      <c r="I117" s="804">
        <f t="shared" si="114"/>
        <v>0</v>
      </c>
      <c r="J117" s="805">
        <f t="shared" si="114"/>
        <v>0</v>
      </c>
      <c r="K117" s="790">
        <f t="shared" si="115"/>
        <v>0</v>
      </c>
      <c r="L117" s="806">
        <f t="shared" si="115"/>
        <v>0</v>
      </c>
      <c r="M117" s="807">
        <f t="shared" si="116"/>
        <v>0</v>
      </c>
      <c r="N117" s="806">
        <f t="shared" si="116"/>
        <v>0</v>
      </c>
      <c r="O117" s="790">
        <f t="shared" si="117"/>
        <v>361</v>
      </c>
    </row>
    <row r="118" spans="1:15" x14ac:dyDescent="0.3">
      <c r="A118" s="801">
        <v>52</v>
      </c>
      <c r="B118" s="774">
        <f>IF($A118&gt;0,VLOOKUP($A118,EventsOrder,2,FALSE)," ")</f>
        <v>2.5</v>
      </c>
      <c r="C118" s="792" t="str">
        <f>IF($A118&gt;0,VLOOKUP($A118,EventsOrder,6,FALSE)," ")</f>
        <v>Long Jump Pit 1</v>
      </c>
      <c r="D118" s="819"/>
      <c r="E118" s="118" t="str">
        <f>IF($A118&gt;0,VLOOKUP($O118,Results,7,FALSE),0)</f>
        <v>Mar O'Connor Delgado</v>
      </c>
      <c r="F118" s="848"/>
      <c r="G118" s="118" t="str">
        <f>IF($A118&gt;0,VLOOKUP($O118,Results,9,FALSE),0)</f>
        <v>Agnes thomson</v>
      </c>
      <c r="H118" s="803"/>
      <c r="I118" s="804">
        <f t="shared" si="114"/>
        <v>3.9</v>
      </c>
      <c r="J118" s="805">
        <f t="shared" si="114"/>
        <v>3.85</v>
      </c>
      <c r="K118" s="790">
        <f t="shared" si="115"/>
        <v>2</v>
      </c>
      <c r="L118" s="806">
        <f t="shared" si="115"/>
        <v>1</v>
      </c>
      <c r="M118" s="807">
        <f t="shared" si="116"/>
        <v>7</v>
      </c>
      <c r="N118" s="806">
        <f t="shared" si="116"/>
        <v>8</v>
      </c>
      <c r="O118" s="790">
        <f t="shared" si="117"/>
        <v>521</v>
      </c>
    </row>
    <row r="119" spans="1:15" x14ac:dyDescent="0.3">
      <c r="A119" s="801">
        <v>59</v>
      </c>
      <c r="B119" s="774">
        <f>IF($A119&gt;0,VLOOKUP($A119,EventsOrder,2,FALSE)," ")</f>
        <v>3.3</v>
      </c>
      <c r="C119" s="792" t="str">
        <f>IF($A119&gt;0,VLOOKUP($A119,EventsOrder,6,FALSE)," ")</f>
        <v xml:space="preserve">Shot </v>
      </c>
      <c r="D119" s="819"/>
      <c r="E119" s="118" t="str">
        <f>IF($A119&gt;0,VLOOKUP($O119,Results,7,FALSE),0)</f>
        <v>Rose Ricardo</v>
      </c>
      <c r="F119" s="848"/>
      <c r="G119" s="118" t="str">
        <f>IF($A119&gt;0,VLOOKUP($O119,Results,9,FALSE),0)</f>
        <v>Hiba Bailey</v>
      </c>
      <c r="H119" s="803"/>
      <c r="I119" s="804">
        <f t="shared" si="114"/>
        <v>8.4499999999999993</v>
      </c>
      <c r="J119" s="805">
        <f t="shared" si="114"/>
        <v>6.98</v>
      </c>
      <c r="K119" s="790">
        <f t="shared" si="115"/>
        <v>2</v>
      </c>
      <c r="L119" s="806">
        <f t="shared" si="115"/>
        <v>1</v>
      </c>
      <c r="M119" s="807">
        <f t="shared" si="116"/>
        <v>7</v>
      </c>
      <c r="N119" s="806">
        <f t="shared" si="116"/>
        <v>8</v>
      </c>
      <c r="O119" s="790">
        <f t="shared" si="117"/>
        <v>591</v>
      </c>
    </row>
    <row r="120" spans="1:15" x14ac:dyDescent="0.3">
      <c r="A120" s="801">
        <v>75</v>
      </c>
      <c r="B120" s="774">
        <f>IF($A120&gt;0,VLOOKUP($A120,EventsOrder,2,FALSE)," ")</f>
        <v>4.2</v>
      </c>
      <c r="C120" s="792" t="str">
        <f>IF($A120&gt;0,VLOOKUP($A120,EventsOrder,6,FALSE)," ")</f>
        <v>Javelin Match 1 &amp; 3</v>
      </c>
      <c r="D120" s="819"/>
      <c r="E120" s="118" t="str">
        <f>IF($A120&gt;0,VLOOKUP($O120,Results,7,FALSE),0)</f>
        <v>Darcy mcdaid</v>
      </c>
      <c r="F120" s="848"/>
      <c r="G120" s="118" t="str">
        <f>IF($A120&gt;0,VLOOKUP($O120,Results,9,FALSE),0)</f>
        <v>Hiba Bailey</v>
      </c>
      <c r="H120" s="803"/>
      <c r="I120" s="804">
        <f t="shared" si="114"/>
        <v>23.03</v>
      </c>
      <c r="J120" s="805">
        <f t="shared" si="114"/>
        <v>17.399999999999999</v>
      </c>
      <c r="K120" s="790">
        <f t="shared" si="115"/>
        <v>3</v>
      </c>
      <c r="L120" s="806">
        <f t="shared" si="115"/>
        <v>2</v>
      </c>
      <c r="M120" s="807">
        <f t="shared" si="116"/>
        <v>6</v>
      </c>
      <c r="N120" s="806">
        <f t="shared" si="116"/>
        <v>7</v>
      </c>
      <c r="O120" s="790">
        <f t="shared" si="117"/>
        <v>751</v>
      </c>
    </row>
    <row r="121" spans="1:15" x14ac:dyDescent="0.3">
      <c r="A121" s="790"/>
      <c r="B121" s="774"/>
      <c r="C121" s="830" t="s">
        <v>350</v>
      </c>
      <c r="D121" s="824"/>
      <c r="E121" s="769">
        <f t="shared" ref="E121" si="118">IF(A121&gt;0,VLOOKUP(A121&amp;"A",Results3,30+$K121,FALSE),0)</f>
        <v>0</v>
      </c>
      <c r="F121" s="825"/>
      <c r="G121" s="769">
        <f t="shared" ref="G121" si="119">IF(A121&gt;0,VLOOKUP(A121&amp;"B",Results3,30+$L121,FALSE),0)</f>
        <v>0</v>
      </c>
      <c r="H121" s="785"/>
      <c r="I121" s="810" t="str">
        <f t="shared" ref="I121" si="120">IF(A121&gt;0,VLOOKUP(A121&amp;"A",Results3,46+$Q$5,FALSE)," ")</f>
        <v xml:space="preserve"> </v>
      </c>
      <c r="J121" s="811" t="str">
        <f>IF(A121&gt;0,VLOOKUP(A121&amp;"B",Results3,46+$Q$5,FALSE)," ")</f>
        <v xml:space="preserve"> </v>
      </c>
      <c r="K121" s="814" t="str">
        <f t="shared" ref="K121" si="121">IF(A121&gt;0,VLOOKUP(A121&amp;"A",Results3,54+$Q$5,FALSE)," ")</f>
        <v xml:space="preserve"> </v>
      </c>
      <c r="L121" s="813" t="str">
        <f>IF(A121&gt;0,VLOOKUP(A121&amp;"B",Results3,54+$Q$5,FALSE)," ")</f>
        <v xml:space="preserve"> </v>
      </c>
      <c r="M121" s="831">
        <v>0</v>
      </c>
      <c r="N121" s="813">
        <f t="shared" ref="N121" si="122">IF(OR(J121="DNF",ISTEXT(L121)),0,IF(L121&gt;0,$P$5-L121,0))</f>
        <v>0</v>
      </c>
      <c r="O121" s="790"/>
    </row>
    <row r="122" spans="1:15" x14ac:dyDescent="0.3">
      <c r="A122" s="790"/>
      <c r="B122" s="774"/>
      <c r="C122" s="118"/>
      <c r="D122" s="118"/>
      <c r="H122" s="56"/>
      <c r="K122" s="790"/>
      <c r="L122" s="815" t="s">
        <v>78</v>
      </c>
      <c r="M122" s="816">
        <f>SUM(M105:M121)</f>
        <v>51</v>
      </c>
      <c r="N122" s="816">
        <f>SUM(N105:N121)</f>
        <v>56</v>
      </c>
      <c r="O122" s="816"/>
    </row>
    <row r="123" spans="1:15" x14ac:dyDescent="0.3">
      <c r="A123" s="790"/>
      <c r="B123" s="774"/>
      <c r="C123" s="118"/>
      <c r="D123" s="118"/>
      <c r="H123" s="56"/>
      <c r="K123" s="790"/>
      <c r="L123" s="790"/>
      <c r="M123" s="790"/>
      <c r="N123" s="790"/>
      <c r="O123" s="790"/>
    </row>
    <row r="124" spans="1:15" ht="15.6" x14ac:dyDescent="0.3">
      <c r="A124" s="56" t="s">
        <v>165</v>
      </c>
      <c r="B124" s="56" t="s">
        <v>165</v>
      </c>
      <c r="C124" s="840" t="s">
        <v>485</v>
      </c>
      <c r="D124" s="840"/>
      <c r="E124" s="32" t="s">
        <v>346</v>
      </c>
      <c r="G124" s="32" t="s">
        <v>346</v>
      </c>
      <c r="H124" s="56"/>
      <c r="I124" s="1437" t="s">
        <v>342</v>
      </c>
      <c r="J124" s="1438"/>
      <c r="K124" s="1439" t="s">
        <v>343</v>
      </c>
      <c r="L124" s="1440"/>
      <c r="M124" s="1439" t="s">
        <v>76</v>
      </c>
      <c r="N124" s="1440"/>
      <c r="O124" s="56"/>
    </row>
    <row r="125" spans="1:15" x14ac:dyDescent="0.3">
      <c r="A125" s="56" t="s">
        <v>167</v>
      </c>
      <c r="B125" s="56" t="s">
        <v>168</v>
      </c>
      <c r="C125" s="118"/>
      <c r="D125" s="118"/>
      <c r="E125" s="56" t="s">
        <v>149</v>
      </c>
      <c r="F125" s="791"/>
      <c r="G125" s="56" t="s">
        <v>94</v>
      </c>
      <c r="H125" s="56"/>
      <c r="I125" s="783" t="s">
        <v>149</v>
      </c>
      <c r="J125" s="785" t="s">
        <v>94</v>
      </c>
      <c r="K125" s="783" t="s">
        <v>149</v>
      </c>
      <c r="L125" s="785" t="s">
        <v>94</v>
      </c>
      <c r="M125" s="783" t="s">
        <v>149</v>
      </c>
      <c r="N125" s="785" t="s">
        <v>94</v>
      </c>
      <c r="O125" s="56"/>
    </row>
    <row r="126" spans="1:15" x14ac:dyDescent="0.3">
      <c r="A126" s="56"/>
      <c r="B126" s="56"/>
      <c r="C126" s="834" t="s">
        <v>349</v>
      </c>
      <c r="D126" s="793"/>
      <c r="E126" s="859"/>
      <c r="F126" s="860"/>
      <c r="G126" s="859"/>
      <c r="H126" s="833"/>
      <c r="I126" s="612"/>
      <c r="J126" s="818"/>
      <c r="K126" s="612"/>
      <c r="L126" s="818"/>
      <c r="M126" s="612"/>
      <c r="N126" s="818"/>
      <c r="O126" s="56"/>
    </row>
    <row r="127" spans="1:15" x14ac:dyDescent="0.3">
      <c r="A127" s="801">
        <v>3</v>
      </c>
      <c r="B127" s="774">
        <f t="shared" ref="B127:B132" si="123">IF($A127&gt;0,VLOOKUP($A127,EventsOrder,2,FALSE)," ")</f>
        <v>11.1</v>
      </c>
      <c r="C127" s="792" t="str">
        <f t="shared" ref="C127:C132" si="124">IF($A127&gt;0,VLOOKUP($A127,EventsOrder,6,FALSE)," ")</f>
        <v xml:space="preserve">1500m </v>
      </c>
      <c r="D127" s="819"/>
      <c r="E127" s="118" t="str">
        <f t="shared" ref="E127:E132" si="125">IF($A127&gt;0,VLOOKUP($O127,Results,7,FALSE),0)</f>
        <v>Orla Woodman</v>
      </c>
      <c r="F127" s="848"/>
      <c r="G127" s="118" t="str">
        <f t="shared" ref="G127:G132" si="126">IF($A127&gt;0,VLOOKUP($O127,Results,9,FALSE),0)</f>
        <v>Lacey-May larkin</v>
      </c>
      <c r="H127" s="803"/>
      <c r="I127" s="804" t="str">
        <f t="shared" ref="I127:J132" si="127">IF($A127&gt;0,VLOOKUP($O127,Results,R$21,FALSE),0)</f>
        <v>6.10.7</v>
      </c>
      <c r="J127" s="805">
        <f t="shared" si="127"/>
        <v>0</v>
      </c>
      <c r="K127" s="790">
        <f t="shared" ref="K127:L132" si="128">IF($A127&gt;0,VLOOKUP($O127,Results,R$22,FALSE),0)</f>
        <v>6</v>
      </c>
      <c r="L127" s="806">
        <f t="shared" si="128"/>
        <v>0</v>
      </c>
      <c r="M127" s="807">
        <f t="shared" ref="M127:N132" si="129">IF($A127&gt;0,VLOOKUP($O127,Results,R$23,FALSE),0)</f>
        <v>3</v>
      </c>
      <c r="N127" s="806">
        <f t="shared" si="129"/>
        <v>0</v>
      </c>
      <c r="O127" s="790">
        <f t="shared" ref="O127:O132" si="130">IF(A127&gt;0,(A127*10)+Q$5,0)</f>
        <v>31</v>
      </c>
    </row>
    <row r="128" spans="1:15" x14ac:dyDescent="0.3">
      <c r="A128" s="801">
        <v>10</v>
      </c>
      <c r="B128" s="774">
        <f t="shared" si="123"/>
        <v>11.5</v>
      </c>
      <c r="C128" s="792" t="str">
        <f t="shared" si="124"/>
        <v xml:space="preserve">80m hurdles </v>
      </c>
      <c r="D128" s="819"/>
      <c r="E128" s="118" t="str">
        <f t="shared" si="125"/>
        <v>Alisia Scarlett-Thomas</v>
      </c>
      <c r="F128" s="848"/>
      <c r="G128" s="118" t="str">
        <f t="shared" si="126"/>
        <v>Amber Stevens</v>
      </c>
      <c r="H128" s="803"/>
      <c r="I128" s="1209">
        <f t="shared" si="127"/>
        <v>12.8</v>
      </c>
      <c r="J128" s="1210">
        <f t="shared" si="127"/>
        <v>14.4</v>
      </c>
      <c r="K128" s="790">
        <f t="shared" si="128"/>
        <v>2</v>
      </c>
      <c r="L128" s="806">
        <f t="shared" si="128"/>
        <v>2</v>
      </c>
      <c r="M128" s="807">
        <f t="shared" si="129"/>
        <v>7</v>
      </c>
      <c r="N128" s="806">
        <f t="shared" si="129"/>
        <v>7</v>
      </c>
      <c r="O128" s="790">
        <f t="shared" si="130"/>
        <v>101</v>
      </c>
    </row>
    <row r="129" spans="1:15" x14ac:dyDescent="0.3">
      <c r="A129" s="801">
        <v>26</v>
      </c>
      <c r="B129" s="774">
        <f t="shared" si="123"/>
        <v>1</v>
      </c>
      <c r="C129" s="792" t="str">
        <f t="shared" si="124"/>
        <v xml:space="preserve">800m </v>
      </c>
      <c r="D129" s="819"/>
      <c r="E129" s="118" t="str">
        <f t="shared" si="125"/>
        <v xml:space="preserve">
Maiara Dalmedo</v>
      </c>
      <c r="F129" s="848"/>
      <c r="G129" s="118" t="str">
        <f t="shared" si="126"/>
        <v>Isabel Pickering</v>
      </c>
      <c r="H129" s="803"/>
      <c r="I129" s="804" t="str">
        <f t="shared" si="127"/>
        <v>2.51.4</v>
      </c>
      <c r="J129" s="805" t="str">
        <f t="shared" si="127"/>
        <v>3.01.8</v>
      </c>
      <c r="K129" s="790">
        <f t="shared" si="128"/>
        <v>7</v>
      </c>
      <c r="L129" s="806">
        <f t="shared" si="128"/>
        <v>5</v>
      </c>
      <c r="M129" s="807">
        <f t="shared" si="129"/>
        <v>2</v>
      </c>
      <c r="N129" s="806">
        <f t="shared" si="129"/>
        <v>4</v>
      </c>
      <c r="O129" s="790">
        <f t="shared" si="130"/>
        <v>261</v>
      </c>
    </row>
    <row r="130" spans="1:15" x14ac:dyDescent="0.3">
      <c r="A130" s="801">
        <v>41</v>
      </c>
      <c r="B130" s="774">
        <f t="shared" si="123"/>
        <v>2.25</v>
      </c>
      <c r="C130" s="792" t="str">
        <f t="shared" si="124"/>
        <v xml:space="preserve">100m </v>
      </c>
      <c r="D130" s="819"/>
      <c r="E130" s="118" t="str">
        <f t="shared" si="125"/>
        <v xml:space="preserve">Araya Williams </v>
      </c>
      <c r="F130" s="848"/>
      <c r="G130" s="118" t="str">
        <f t="shared" si="126"/>
        <v>Tamera Campbell</v>
      </c>
      <c r="H130" s="803"/>
      <c r="I130" s="1209">
        <f t="shared" si="127"/>
        <v>12.3</v>
      </c>
      <c r="J130" s="1210">
        <f t="shared" si="127"/>
        <v>13.2</v>
      </c>
      <c r="K130" s="790">
        <f t="shared" si="128"/>
        <v>1</v>
      </c>
      <c r="L130" s="806">
        <f t="shared" si="128"/>
        <v>1</v>
      </c>
      <c r="M130" s="807">
        <f t="shared" si="129"/>
        <v>8</v>
      </c>
      <c r="N130" s="806">
        <f t="shared" si="129"/>
        <v>8</v>
      </c>
      <c r="O130" s="790">
        <f t="shared" si="130"/>
        <v>411</v>
      </c>
    </row>
    <row r="131" spans="1:15" x14ac:dyDescent="0.3">
      <c r="A131" s="801">
        <v>63</v>
      </c>
      <c r="B131" s="774">
        <f t="shared" si="123"/>
        <v>1.4</v>
      </c>
      <c r="C131" s="792" t="str">
        <f t="shared" si="124"/>
        <v xml:space="preserve">300m </v>
      </c>
      <c r="D131" s="819"/>
      <c r="E131" s="118" t="str">
        <f t="shared" si="125"/>
        <v>Jessika Cox</v>
      </c>
      <c r="F131" s="848"/>
      <c r="G131" s="118" t="str">
        <f t="shared" si="126"/>
        <v>Josephine Colclough</v>
      </c>
      <c r="H131" s="803"/>
      <c r="I131" s="1209">
        <f t="shared" si="127"/>
        <v>45.1</v>
      </c>
      <c r="J131" s="1210">
        <f t="shared" si="127"/>
        <v>48.8</v>
      </c>
      <c r="K131" s="790">
        <f t="shared" si="128"/>
        <v>6</v>
      </c>
      <c r="L131" s="806">
        <f t="shared" si="128"/>
        <v>5</v>
      </c>
      <c r="M131" s="807">
        <f t="shared" si="129"/>
        <v>3</v>
      </c>
      <c r="N131" s="806">
        <f t="shared" si="129"/>
        <v>4</v>
      </c>
      <c r="O131" s="790">
        <f t="shared" si="130"/>
        <v>631</v>
      </c>
    </row>
    <row r="132" spans="1:15" x14ac:dyDescent="0.3">
      <c r="A132" s="844">
        <v>68</v>
      </c>
      <c r="B132" s="822">
        <f t="shared" si="123"/>
        <v>4.0999999999999996</v>
      </c>
      <c r="C132" s="823" t="str">
        <f t="shared" si="124"/>
        <v xml:space="preserve">200m </v>
      </c>
      <c r="D132" s="824"/>
      <c r="E132" s="769" t="str">
        <f t="shared" si="125"/>
        <v xml:space="preserve">Araya Williams </v>
      </c>
      <c r="F132" s="809"/>
      <c r="G132" s="769" t="str">
        <f t="shared" si="126"/>
        <v xml:space="preserve">Erin Colclough </v>
      </c>
      <c r="H132" s="826"/>
      <c r="I132" s="1209">
        <f t="shared" si="127"/>
        <v>25.7</v>
      </c>
      <c r="J132" s="1210">
        <f t="shared" si="127"/>
        <v>29.6</v>
      </c>
      <c r="K132" s="790">
        <f t="shared" si="128"/>
        <v>1</v>
      </c>
      <c r="L132" s="806">
        <f t="shared" si="128"/>
        <v>5</v>
      </c>
      <c r="M132" s="807">
        <f t="shared" si="129"/>
        <v>8</v>
      </c>
      <c r="N132" s="806">
        <f t="shared" si="129"/>
        <v>4</v>
      </c>
      <c r="O132" s="790">
        <f t="shared" si="130"/>
        <v>681</v>
      </c>
    </row>
    <row r="133" spans="1:15" ht="15.6" x14ac:dyDescent="0.3">
      <c r="A133" s="56"/>
      <c r="B133" s="56"/>
      <c r="C133" s="1274" t="s">
        <v>296</v>
      </c>
      <c r="D133" s="817"/>
      <c r="E133" s="56"/>
      <c r="F133" s="791"/>
      <c r="G133" s="56"/>
      <c r="H133" s="818"/>
      <c r="I133" s="56"/>
      <c r="J133" s="821"/>
      <c r="K133" s="56"/>
      <c r="L133" s="806"/>
      <c r="M133" s="56"/>
      <c r="N133" s="806"/>
      <c r="O133" s="790"/>
    </row>
    <row r="134" spans="1:15" x14ac:dyDescent="0.3">
      <c r="A134" s="801">
        <v>83</v>
      </c>
      <c r="B134" s="774">
        <f>IF($A134&gt;0,VLOOKUP($A134,EventsOrder,2,FALSE)," ")</f>
        <v>4.55</v>
      </c>
      <c r="C134" s="792" t="str">
        <f>IF($A134&gt;0,VLOOKUP($A134,EventsOrder,6,FALSE)," ")</f>
        <v xml:space="preserve">4 x 100m </v>
      </c>
      <c r="D134" s="819"/>
      <c r="E134" s="858" t="str">
        <f>C3</f>
        <v>BRAT</v>
      </c>
      <c r="G134" s="118"/>
      <c r="H134" s="818"/>
      <c r="I134" s="1209">
        <f>IF($A134&gt;0,VLOOKUP($O134,Results,R$21,FALSE),0)</f>
        <v>50.4</v>
      </c>
      <c r="J134" s="821"/>
      <c r="K134" s="807">
        <f>IF($A134&gt;0,VLOOKUP($O134,Results,R$22,FALSE),0)</f>
        <v>1</v>
      </c>
      <c r="L134" s="806"/>
      <c r="M134" s="807">
        <f>IF($A134&gt;0,VLOOKUP($O134,Results,R$23,FALSE),0)</f>
        <v>8</v>
      </c>
      <c r="N134" s="806"/>
      <c r="O134" s="790">
        <f t="shared" ref="O134" si="131">IF(A134&gt;0,(A134*10)+Q$5,0)</f>
        <v>831</v>
      </c>
    </row>
    <row r="135" spans="1:15" x14ac:dyDescent="0.3">
      <c r="A135" s="790" t="str">
        <f>A134&amp;"R"</f>
        <v>83R</v>
      </c>
      <c r="D135" s="819">
        <v>1</v>
      </c>
      <c r="E135" s="118" t="str">
        <f>HLOOKUP($R$5,Relays,12,FALSE)</f>
        <v>Darcy mcdaid</v>
      </c>
      <c r="F135" s="566">
        <v>2</v>
      </c>
      <c r="G135" s="118" t="str">
        <f>HLOOKUP($R$5,Relays,13,FALSE)</f>
        <v>Agnes thomson</v>
      </c>
      <c r="H135" s="818"/>
      <c r="I135" s="820"/>
      <c r="J135" s="821"/>
      <c r="K135" s="807"/>
      <c r="L135" s="806"/>
      <c r="M135" s="807"/>
      <c r="N135" s="806"/>
      <c r="O135" s="790"/>
    </row>
    <row r="136" spans="1:15" x14ac:dyDescent="0.3">
      <c r="A136" s="812" t="str">
        <f>A134&amp;"S"</f>
        <v>83S</v>
      </c>
      <c r="B136" s="822"/>
      <c r="C136" s="823"/>
      <c r="D136" s="824">
        <v>3</v>
      </c>
      <c r="E136" s="769" t="str">
        <f>HLOOKUP($R$5,Relays,14,FALSE)</f>
        <v>Rose Ricardo</v>
      </c>
      <c r="F136" s="829">
        <v>4</v>
      </c>
      <c r="G136" s="769" t="str">
        <f>HLOOKUP($R$5,Relays,15,FALSE)</f>
        <v>Savannah wedderburn</v>
      </c>
      <c r="H136" s="785"/>
      <c r="I136" s="810"/>
      <c r="J136" s="811"/>
      <c r="K136" s="814"/>
      <c r="L136" s="813"/>
      <c r="M136" s="814"/>
      <c r="N136" s="813"/>
      <c r="O136" s="790"/>
    </row>
    <row r="137" spans="1:15" x14ac:dyDescent="0.3">
      <c r="A137" s="790"/>
      <c r="B137" s="774"/>
      <c r="C137" s="845" t="s">
        <v>173</v>
      </c>
      <c r="D137" s="819"/>
      <c r="E137" s="118"/>
      <c r="F137" s="566"/>
      <c r="G137" s="118"/>
      <c r="H137" s="604"/>
      <c r="I137" s="820"/>
      <c r="J137" s="821"/>
      <c r="K137" s="807"/>
      <c r="L137" s="806"/>
      <c r="M137" s="807"/>
      <c r="N137" s="806"/>
      <c r="O137" s="790"/>
    </row>
    <row r="138" spans="1:15" x14ac:dyDescent="0.3">
      <c r="A138" s="801">
        <v>12</v>
      </c>
      <c r="B138" s="774">
        <f t="shared" ref="B138:B143" si="132">IF($A138&gt;0,VLOOKUP($A138,EventsOrder,2,FALSE)," ")</f>
        <v>12.15</v>
      </c>
      <c r="C138" s="792" t="str">
        <f t="shared" ref="C138:C143" si="133">IF($A138&gt;0,VLOOKUP($A138,EventsOrder,6,FALSE)," ")</f>
        <v>Discus Match 2</v>
      </c>
      <c r="D138" s="819"/>
      <c r="E138" s="118">
        <f t="shared" ref="E138:E143" si="134">IF($A138&gt;0,VLOOKUP($O138,Results,7,FALSE),0)</f>
        <v>0</v>
      </c>
      <c r="F138" s="848"/>
      <c r="G138" s="118">
        <f t="shared" ref="G138:G143" si="135">IF($A138&gt;0,VLOOKUP($O138,Results,9,FALSE),0)</f>
        <v>0</v>
      </c>
      <c r="H138" s="803"/>
      <c r="I138" s="804">
        <f t="shared" ref="I138:J143" si="136">IF($A138&gt;0,VLOOKUP($O138,Results,R$21,FALSE),0)</f>
        <v>0</v>
      </c>
      <c r="J138" s="805">
        <f t="shared" si="136"/>
        <v>0</v>
      </c>
      <c r="K138" s="790">
        <f t="shared" ref="K138:L143" si="137">IF($A138&gt;0,VLOOKUP($O138,Results,R$22,FALSE),0)</f>
        <v>0</v>
      </c>
      <c r="L138" s="806">
        <f t="shared" si="137"/>
        <v>0</v>
      </c>
      <c r="M138" s="807">
        <f t="shared" ref="M138:N143" si="138">IF($A138&gt;0,VLOOKUP($O138,Results,R$23,FALSE),0)</f>
        <v>0</v>
      </c>
      <c r="N138" s="806">
        <f t="shared" si="138"/>
        <v>0</v>
      </c>
      <c r="O138" s="790">
        <f t="shared" ref="O138:O142" si="139">IF(A138&gt;0,(A138*10)+Q$5,0)</f>
        <v>121</v>
      </c>
    </row>
    <row r="139" spans="1:15" x14ac:dyDescent="0.3">
      <c r="A139" s="801">
        <v>17</v>
      </c>
      <c r="B139" s="774">
        <f t="shared" si="132"/>
        <v>12.3</v>
      </c>
      <c r="C139" s="792" t="str">
        <f t="shared" si="133"/>
        <v xml:space="preserve">High Jump </v>
      </c>
      <c r="D139" s="819"/>
      <c r="E139" s="118" t="str">
        <f t="shared" si="134"/>
        <v>Josephine Colclough</v>
      </c>
      <c r="F139" s="848"/>
      <c r="G139" s="118" t="str">
        <f t="shared" si="135"/>
        <v>Amber Stevens</v>
      </c>
      <c r="H139" s="803"/>
      <c r="I139" s="804">
        <f t="shared" si="136"/>
        <v>1.4</v>
      </c>
      <c r="J139" s="805">
        <f t="shared" si="136"/>
        <v>1.35</v>
      </c>
      <c r="K139" s="790">
        <f t="shared" si="137"/>
        <v>5</v>
      </c>
      <c r="L139" s="806">
        <f t="shared" si="137"/>
        <v>3</v>
      </c>
      <c r="M139" s="807">
        <f t="shared" si="138"/>
        <v>4</v>
      </c>
      <c r="N139" s="806">
        <f t="shared" si="138"/>
        <v>6</v>
      </c>
      <c r="O139" s="790">
        <f t="shared" si="139"/>
        <v>171</v>
      </c>
    </row>
    <row r="140" spans="1:15" x14ac:dyDescent="0.3">
      <c r="A140" s="801">
        <v>21</v>
      </c>
      <c r="B140" s="774">
        <f t="shared" si="132"/>
        <v>1</v>
      </c>
      <c r="C140" s="792" t="str">
        <f t="shared" si="133"/>
        <v>Long Jump Pit 2</v>
      </c>
      <c r="D140" s="819"/>
      <c r="E140" s="118" t="str">
        <f t="shared" si="134"/>
        <v>Tamera Campbell</v>
      </c>
      <c r="F140" s="848"/>
      <c r="G140" s="118" t="str">
        <f t="shared" si="135"/>
        <v>Libby Molenaar</v>
      </c>
      <c r="H140" s="803"/>
      <c r="I140" s="804">
        <f t="shared" si="136"/>
        <v>5.01</v>
      </c>
      <c r="J140" s="805">
        <f t="shared" si="136"/>
        <v>4.55</v>
      </c>
      <c r="K140" s="790">
        <f t="shared" si="137"/>
        <v>1</v>
      </c>
      <c r="L140" s="806">
        <f t="shared" si="137"/>
        <v>1</v>
      </c>
      <c r="M140" s="807">
        <f t="shared" si="138"/>
        <v>8</v>
      </c>
      <c r="N140" s="806">
        <f t="shared" si="138"/>
        <v>8</v>
      </c>
      <c r="O140" s="790">
        <f t="shared" si="139"/>
        <v>211</v>
      </c>
    </row>
    <row r="141" spans="1:15" x14ac:dyDescent="0.3">
      <c r="A141" s="801">
        <v>49</v>
      </c>
      <c r="B141" s="774">
        <f t="shared" si="132"/>
        <v>2.4</v>
      </c>
      <c r="C141" s="792" t="str">
        <f t="shared" si="133"/>
        <v>Javelin Match 1 &amp; 3</v>
      </c>
      <c r="D141" s="819"/>
      <c r="E141" s="118" t="str">
        <f t="shared" si="134"/>
        <v>Palia-Elsie Kalala</v>
      </c>
      <c r="F141" s="848"/>
      <c r="G141" s="118" t="str">
        <f t="shared" si="135"/>
        <v>Amber Stevens</v>
      </c>
      <c r="H141" s="803"/>
      <c r="I141" s="804">
        <f t="shared" si="136"/>
        <v>18.149999999999999</v>
      </c>
      <c r="J141" s="805">
        <f t="shared" si="136"/>
        <v>15.45</v>
      </c>
      <c r="K141" s="790">
        <f t="shared" si="137"/>
        <v>6</v>
      </c>
      <c r="L141" s="806">
        <f t="shared" si="137"/>
        <v>3</v>
      </c>
      <c r="M141" s="807">
        <f t="shared" si="138"/>
        <v>3</v>
      </c>
      <c r="N141" s="806">
        <f t="shared" si="138"/>
        <v>6</v>
      </c>
      <c r="O141" s="790">
        <f t="shared" si="139"/>
        <v>491</v>
      </c>
    </row>
    <row r="142" spans="1:15" x14ac:dyDescent="0.3">
      <c r="A142" s="801">
        <v>73</v>
      </c>
      <c r="B142" s="774">
        <f t="shared" si="132"/>
        <v>4.2</v>
      </c>
      <c r="C142" s="792" t="str">
        <f t="shared" si="133"/>
        <v xml:space="preserve">Shot </v>
      </c>
      <c r="D142" s="819"/>
      <c r="E142" s="118" t="str">
        <f t="shared" si="134"/>
        <v>Palia-Elsie Kalala</v>
      </c>
      <c r="F142" s="848"/>
      <c r="G142" s="118" t="str">
        <f t="shared" si="135"/>
        <v>Alisia Scarlett-Thomas</v>
      </c>
      <c r="H142" s="803"/>
      <c r="I142" s="804">
        <f t="shared" si="136"/>
        <v>8.42</v>
      </c>
      <c r="J142" s="805">
        <f t="shared" si="136"/>
        <v>7.17</v>
      </c>
      <c r="K142" s="790">
        <f t="shared" si="137"/>
        <v>1</v>
      </c>
      <c r="L142" s="806">
        <f t="shared" si="137"/>
        <v>2</v>
      </c>
      <c r="M142" s="807">
        <f t="shared" si="138"/>
        <v>8</v>
      </c>
      <c r="N142" s="806">
        <f t="shared" si="138"/>
        <v>7</v>
      </c>
      <c r="O142" s="790">
        <f t="shared" si="139"/>
        <v>731</v>
      </c>
    </row>
    <row r="143" spans="1:15" x14ac:dyDescent="0.3">
      <c r="A143" s="801"/>
      <c r="B143" s="774" t="str">
        <f t="shared" si="132"/>
        <v xml:space="preserve"> </v>
      </c>
      <c r="C143" s="792" t="str">
        <f t="shared" si="133"/>
        <v xml:space="preserve"> </v>
      </c>
      <c r="D143" s="819"/>
      <c r="E143" s="118">
        <f t="shared" si="134"/>
        <v>0</v>
      </c>
      <c r="F143" s="848"/>
      <c r="G143" s="118">
        <f t="shared" si="135"/>
        <v>0</v>
      </c>
      <c r="H143" s="803"/>
      <c r="I143" s="804">
        <f t="shared" si="136"/>
        <v>0</v>
      </c>
      <c r="J143" s="805">
        <f t="shared" si="136"/>
        <v>0</v>
      </c>
      <c r="K143" s="790">
        <f t="shared" si="137"/>
        <v>0</v>
      </c>
      <c r="L143" s="806">
        <f t="shared" si="137"/>
        <v>0</v>
      </c>
      <c r="M143" s="807">
        <f t="shared" si="138"/>
        <v>0</v>
      </c>
      <c r="N143" s="806">
        <f t="shared" si="138"/>
        <v>0</v>
      </c>
      <c r="O143" s="790"/>
    </row>
    <row r="144" spans="1:15" x14ac:dyDescent="0.3">
      <c r="A144" s="790"/>
      <c r="B144" s="774"/>
      <c r="C144" s="830" t="s">
        <v>350</v>
      </c>
      <c r="D144" s="824"/>
      <c r="E144" s="769">
        <f t="shared" ref="E144" si="140">IF(A144&gt;0,VLOOKUP(A144&amp;"A",Results3,30+$K144,FALSE),0)</f>
        <v>0</v>
      </c>
      <c r="F144" s="825"/>
      <c r="G144" s="769">
        <f t="shared" ref="G144" si="141">IF(A144&gt;0,VLOOKUP(A144&amp;"B",Results3,30+$L144,FALSE),0)</f>
        <v>0</v>
      </c>
      <c r="H144" s="785"/>
      <c r="I144" s="810" t="str">
        <f t="shared" ref="I144" si="142">IF(A144&gt;0,VLOOKUP(A144&amp;"A",Results3,46+$Q$5,FALSE)," ")</f>
        <v xml:space="preserve"> </v>
      </c>
      <c r="J144" s="811" t="str">
        <f t="shared" ref="J144" si="143">IF(A144&gt;0,VLOOKUP(A144&amp;"B",Results3,46+$Q$5,FALSE)," ")</f>
        <v xml:space="preserve"> </v>
      </c>
      <c r="K144" s="814" t="str">
        <f t="shared" ref="K144" si="144">IF(A144&gt;0,VLOOKUP(A144&amp;"A",Results3,54+$Q$5,FALSE)," ")</f>
        <v xml:space="preserve"> </v>
      </c>
      <c r="L144" s="813" t="str">
        <f t="shared" ref="L144" si="145">IF(A144&gt;0,VLOOKUP(A144&amp;"B",Results3,54+$Q$5,FALSE)," ")</f>
        <v xml:space="preserve"> </v>
      </c>
      <c r="M144" s="831">
        <v>0</v>
      </c>
      <c r="N144" s="813">
        <f t="shared" ref="N144" si="146">IF(OR(J144="DNF",ISTEXT(L144)),0,IF(L144&gt;0,$P$5-L144,0))</f>
        <v>0</v>
      </c>
      <c r="O144" s="790"/>
    </row>
    <row r="145" spans="1:15" x14ac:dyDescent="0.3">
      <c r="A145" s="790"/>
      <c r="B145" s="774"/>
      <c r="C145" s="118"/>
      <c r="D145" s="118"/>
      <c r="H145" s="56"/>
      <c r="K145" s="790"/>
      <c r="L145" s="815" t="s">
        <v>78</v>
      </c>
      <c r="M145" s="816">
        <f>SUM(M127:M144)</f>
        <v>62</v>
      </c>
      <c r="N145" s="816">
        <f>SUM(N127:N144)</f>
        <v>54</v>
      </c>
      <c r="O145" s="816"/>
    </row>
    <row r="146" spans="1:15" x14ac:dyDescent="0.3">
      <c r="A146" s="790"/>
      <c r="B146" s="774"/>
      <c r="C146" s="118"/>
      <c r="D146" s="118"/>
      <c r="H146" s="56"/>
      <c r="K146" s="790"/>
      <c r="L146" s="790"/>
      <c r="M146" s="790"/>
      <c r="N146" s="790"/>
      <c r="O146" s="790"/>
    </row>
    <row r="147" spans="1:15" ht="15.6" x14ac:dyDescent="0.3">
      <c r="A147" s="56" t="s">
        <v>165</v>
      </c>
      <c r="B147" s="56" t="s">
        <v>165</v>
      </c>
      <c r="C147" s="840" t="s">
        <v>487</v>
      </c>
      <c r="D147" s="817"/>
      <c r="E147" s="32" t="s">
        <v>346</v>
      </c>
      <c r="G147" s="32" t="s">
        <v>346</v>
      </c>
      <c r="H147" s="56"/>
      <c r="I147" s="1437" t="s">
        <v>342</v>
      </c>
      <c r="J147" s="1438"/>
      <c r="K147" s="1439" t="s">
        <v>343</v>
      </c>
      <c r="L147" s="1440"/>
      <c r="M147" s="1439" t="s">
        <v>76</v>
      </c>
      <c r="N147" s="1440"/>
      <c r="O147" s="56"/>
    </row>
    <row r="148" spans="1:15" x14ac:dyDescent="0.3">
      <c r="A148" s="56" t="s">
        <v>167</v>
      </c>
      <c r="B148" s="56" t="s">
        <v>168</v>
      </c>
      <c r="C148" s="118"/>
      <c r="D148" s="118"/>
      <c r="E148" s="56" t="s">
        <v>149</v>
      </c>
      <c r="F148" s="791"/>
      <c r="G148" s="56" t="s">
        <v>94</v>
      </c>
      <c r="H148" s="56"/>
      <c r="I148" s="783" t="s">
        <v>149</v>
      </c>
      <c r="J148" s="785" t="s">
        <v>94</v>
      </c>
      <c r="K148" s="783" t="s">
        <v>149</v>
      </c>
      <c r="L148" s="785" t="s">
        <v>94</v>
      </c>
      <c r="M148" s="783" t="s">
        <v>149</v>
      </c>
      <c r="N148" s="785" t="s">
        <v>94</v>
      </c>
      <c r="O148" s="56"/>
    </row>
    <row r="149" spans="1:15" x14ac:dyDescent="0.3">
      <c r="A149" s="56"/>
      <c r="B149" s="56"/>
      <c r="C149" s="834" t="s">
        <v>349</v>
      </c>
      <c r="D149" s="793"/>
      <c r="E149" s="859"/>
      <c r="F149" s="860"/>
      <c r="G149" s="859"/>
      <c r="H149" s="833"/>
      <c r="I149" s="612"/>
      <c r="J149" s="818"/>
      <c r="K149" s="612"/>
      <c r="L149" s="818"/>
      <c r="M149" s="612"/>
      <c r="N149" s="818"/>
      <c r="O149" s="56"/>
    </row>
    <row r="150" spans="1:15" x14ac:dyDescent="0.3">
      <c r="A150" s="801">
        <v>4</v>
      </c>
      <c r="B150" s="774">
        <f t="shared" ref="B150:B156" si="147">IF($A150&gt;0,VLOOKUP($A150,EventsOrder,2,FALSE)," ")</f>
        <v>11.2</v>
      </c>
      <c r="C150" s="792" t="str">
        <f t="shared" ref="C150:C156" si="148">IF($A150&gt;0,VLOOKUP($A150,EventsOrder,6,FALSE)," ")</f>
        <v xml:space="preserve">1500m (U18/U20) </v>
      </c>
      <c r="D150" s="819"/>
      <c r="E150" s="118" t="str">
        <f t="shared" ref="E150:E155" si="149">IF($A150&gt;0,VLOOKUP($O150,Results,7,FALSE),0)</f>
        <v>Alba Smith-Pena</v>
      </c>
      <c r="F150" s="848"/>
      <c r="G150" s="118">
        <f t="shared" ref="G150:G155" si="150">IF($A150&gt;0,VLOOKUP($O150,Results,9,FALSE),0)</f>
        <v>0</v>
      </c>
      <c r="H150" s="803"/>
      <c r="I150" s="804">
        <f t="shared" ref="I150:J155" si="151">IF($A150&gt;0,VLOOKUP($O150,Results,R$21,FALSE),0)</f>
        <v>0</v>
      </c>
      <c r="J150" s="805">
        <f t="shared" si="151"/>
        <v>0</v>
      </c>
      <c r="K150" s="790">
        <f t="shared" ref="K150:L155" si="152">IF($A150&gt;0,VLOOKUP($O150,Results,R$22,FALSE),0)</f>
        <v>0</v>
      </c>
      <c r="L150" s="806">
        <f t="shared" si="152"/>
        <v>0</v>
      </c>
      <c r="M150" s="807">
        <f t="shared" ref="M150:N155" si="153">IF($A150&gt;0,VLOOKUP($O150,Results,R$23,FALSE),0)</f>
        <v>0</v>
      </c>
      <c r="N150" s="806">
        <f t="shared" si="153"/>
        <v>0</v>
      </c>
      <c r="O150" s="790">
        <f t="shared" ref="O150:O155" si="154">IF(A150&gt;0,(A150*10)+Q$5,0)</f>
        <v>41</v>
      </c>
    </row>
    <row r="151" spans="1:15" x14ac:dyDescent="0.3">
      <c r="A151" s="801">
        <v>19</v>
      </c>
      <c r="B151" s="774">
        <f t="shared" si="147"/>
        <v>12.3</v>
      </c>
      <c r="C151" s="792" t="str">
        <f t="shared" si="148"/>
        <v xml:space="preserve">100m hurdles (U18) </v>
      </c>
      <c r="D151" s="819"/>
      <c r="E151" s="118">
        <f t="shared" si="149"/>
        <v>0</v>
      </c>
      <c r="F151" s="848"/>
      <c r="G151" s="118">
        <f t="shared" si="150"/>
        <v>0</v>
      </c>
      <c r="H151" s="803"/>
      <c r="I151" s="1209">
        <f t="shared" si="151"/>
        <v>0</v>
      </c>
      <c r="J151" s="1210">
        <f t="shared" si="151"/>
        <v>0</v>
      </c>
      <c r="K151" s="790">
        <f t="shared" si="152"/>
        <v>0</v>
      </c>
      <c r="L151" s="806">
        <f t="shared" si="152"/>
        <v>0</v>
      </c>
      <c r="M151" s="807">
        <f t="shared" si="153"/>
        <v>0</v>
      </c>
      <c r="N151" s="806">
        <f t="shared" si="153"/>
        <v>0</v>
      </c>
      <c r="O151" s="790">
        <f t="shared" si="154"/>
        <v>191</v>
      </c>
    </row>
    <row r="152" spans="1:15" x14ac:dyDescent="0.3">
      <c r="A152" s="801">
        <v>28</v>
      </c>
      <c r="B152" s="774">
        <f t="shared" si="147"/>
        <v>1.2</v>
      </c>
      <c r="C152" s="792" t="str">
        <f t="shared" si="148"/>
        <v xml:space="preserve">800m (U18/U20) </v>
      </c>
      <c r="D152" s="819"/>
      <c r="E152" s="118" t="str">
        <f t="shared" si="149"/>
        <v>Arriella Dalmedo</v>
      </c>
      <c r="F152" s="848"/>
      <c r="G152" s="118">
        <f t="shared" si="150"/>
        <v>0</v>
      </c>
      <c r="H152" s="803"/>
      <c r="I152" s="804" t="str">
        <f t="shared" si="151"/>
        <v>2.38.6</v>
      </c>
      <c r="J152" s="805">
        <f t="shared" si="151"/>
        <v>0</v>
      </c>
      <c r="K152" s="790">
        <f t="shared" si="152"/>
        <v>2</v>
      </c>
      <c r="L152" s="806">
        <f t="shared" si="152"/>
        <v>0</v>
      </c>
      <c r="M152" s="807">
        <f t="shared" si="153"/>
        <v>7</v>
      </c>
      <c r="N152" s="806">
        <f t="shared" si="153"/>
        <v>0</v>
      </c>
      <c r="O152" s="790">
        <f t="shared" si="154"/>
        <v>281</v>
      </c>
    </row>
    <row r="153" spans="1:15" x14ac:dyDescent="0.3">
      <c r="A153" s="801">
        <v>33</v>
      </c>
      <c r="B153" s="774">
        <f t="shared" si="147"/>
        <v>1.3</v>
      </c>
      <c r="C153" s="792" t="str">
        <f t="shared" si="148"/>
        <v xml:space="preserve">400m (U18/U20) </v>
      </c>
      <c r="D153" s="819"/>
      <c r="E153" s="118" t="str">
        <f t="shared" si="149"/>
        <v>Arriella Dalmedo</v>
      </c>
      <c r="F153" s="848"/>
      <c r="G153" s="118">
        <f t="shared" si="150"/>
        <v>0</v>
      </c>
      <c r="H153" s="803"/>
      <c r="I153" s="1209">
        <f t="shared" si="151"/>
        <v>72.5</v>
      </c>
      <c r="J153" s="1210">
        <f t="shared" si="151"/>
        <v>0</v>
      </c>
      <c r="K153" s="790">
        <f t="shared" si="152"/>
        <v>3</v>
      </c>
      <c r="L153" s="806">
        <f t="shared" si="152"/>
        <v>0</v>
      </c>
      <c r="M153" s="807">
        <f t="shared" si="153"/>
        <v>6</v>
      </c>
      <c r="N153" s="806">
        <f t="shared" si="153"/>
        <v>0</v>
      </c>
      <c r="O153" s="790">
        <f t="shared" si="154"/>
        <v>331</v>
      </c>
    </row>
    <row r="154" spans="1:15" x14ac:dyDescent="0.3">
      <c r="A154" s="801">
        <v>42</v>
      </c>
      <c r="B154" s="774">
        <f t="shared" si="147"/>
        <v>2.2999999999999998</v>
      </c>
      <c r="C154" s="792" t="str">
        <f t="shared" si="148"/>
        <v xml:space="preserve">100m (U18/U20) </v>
      </c>
      <c r="D154" s="819"/>
      <c r="E154" s="118" t="str">
        <f t="shared" si="149"/>
        <v xml:space="preserve">Daniella Anozie </v>
      </c>
      <c r="F154" s="848"/>
      <c r="G154" s="118" t="str">
        <f t="shared" si="150"/>
        <v>Maryam Mohammed Hadi</v>
      </c>
      <c r="H154" s="803"/>
      <c r="I154" s="1209">
        <f t="shared" si="151"/>
        <v>14.6</v>
      </c>
      <c r="J154" s="1210">
        <f t="shared" si="151"/>
        <v>0</v>
      </c>
      <c r="K154" s="790">
        <f t="shared" si="152"/>
        <v>3</v>
      </c>
      <c r="L154" s="806">
        <f t="shared" si="152"/>
        <v>0</v>
      </c>
      <c r="M154" s="807">
        <f t="shared" si="153"/>
        <v>6</v>
      </c>
      <c r="N154" s="806">
        <f t="shared" si="153"/>
        <v>0</v>
      </c>
      <c r="O154" s="790">
        <f t="shared" si="154"/>
        <v>421</v>
      </c>
    </row>
    <row r="155" spans="1:15" x14ac:dyDescent="0.3">
      <c r="A155" s="801">
        <v>70</v>
      </c>
      <c r="B155" s="774">
        <f t="shared" si="147"/>
        <v>4.1500000000000004</v>
      </c>
      <c r="C155" s="792" t="str">
        <f t="shared" si="148"/>
        <v xml:space="preserve">200m (U18/U20) </v>
      </c>
      <c r="D155" s="819"/>
      <c r="E155" s="118" t="str">
        <f t="shared" si="149"/>
        <v xml:space="preserve">Daniella Anozie </v>
      </c>
      <c r="F155" s="848"/>
      <c r="G155" s="118" t="str">
        <f t="shared" si="150"/>
        <v>Maryam Mohammed Hadi</v>
      </c>
      <c r="H155" s="803"/>
      <c r="I155" s="1209">
        <f t="shared" si="151"/>
        <v>29.8</v>
      </c>
      <c r="J155" s="1210">
        <f t="shared" si="151"/>
        <v>0</v>
      </c>
      <c r="K155" s="790">
        <f t="shared" si="152"/>
        <v>5</v>
      </c>
      <c r="L155" s="806">
        <f t="shared" si="152"/>
        <v>0</v>
      </c>
      <c r="M155" s="807">
        <f t="shared" si="153"/>
        <v>4</v>
      </c>
      <c r="N155" s="806">
        <f t="shared" si="153"/>
        <v>0</v>
      </c>
      <c r="O155" s="790">
        <f t="shared" si="154"/>
        <v>701</v>
      </c>
    </row>
    <row r="156" spans="1:15" x14ac:dyDescent="0.3">
      <c r="A156" s="812"/>
      <c r="B156" s="822" t="str">
        <f t="shared" si="147"/>
        <v xml:space="preserve"> </v>
      </c>
      <c r="C156" s="823" t="str">
        <f t="shared" si="148"/>
        <v xml:space="preserve"> </v>
      </c>
      <c r="D156" s="824"/>
      <c r="E156" s="769">
        <f t="shared" ref="E156" si="155">IF(A156&gt;0,VLOOKUP(A156&amp;"A",Results3,30+$K156,FALSE),0)</f>
        <v>0</v>
      </c>
      <c r="F156" s="825"/>
      <c r="G156" s="769">
        <f t="shared" ref="G156" si="156">IF(A156&gt;0,VLOOKUP(A156&amp;"B",Results3,30+$L156,FALSE),0)</f>
        <v>0</v>
      </c>
      <c r="H156" s="785"/>
      <c r="I156" s="810" t="str">
        <f t="shared" ref="I156" si="157">IF(A156&gt;0,VLOOKUP(A156&amp;"A",Results3,46+$Q$5,FALSE)," ")</f>
        <v xml:space="preserve"> </v>
      </c>
      <c r="J156" s="811" t="str">
        <f t="shared" ref="J156" si="158">IF(A156&gt;0,VLOOKUP(A156&amp;"B",Results3,46+$Q$5,FALSE)," ")</f>
        <v xml:space="preserve"> </v>
      </c>
      <c r="K156" s="814" t="str">
        <f t="shared" ref="K156" si="159">IF(A156&gt;0,VLOOKUP(A156&amp;"A",Results3,54+$Q$5,FALSE)," ")</f>
        <v xml:space="preserve"> </v>
      </c>
      <c r="L156" s="813" t="str">
        <f t="shared" ref="L156" si="160">IF(A156&gt;0,VLOOKUP(A156&amp;"B",Results3,54+$Q$5,FALSE)," ")</f>
        <v xml:space="preserve"> </v>
      </c>
      <c r="M156" s="814">
        <f t="shared" ref="M156:N156" si="161">IF(OR(I156="DNF",ISTEXT(K156)),0,IF(K156&gt;0,$P$5-K156,0))</f>
        <v>0</v>
      </c>
      <c r="N156" s="813">
        <f t="shared" si="161"/>
        <v>0</v>
      </c>
      <c r="O156" s="790"/>
    </row>
    <row r="157" spans="1:15" ht="15.6" x14ac:dyDescent="0.3">
      <c r="A157" s="56"/>
      <c r="B157" s="56"/>
      <c r="C157" s="1274" t="s">
        <v>296</v>
      </c>
      <c r="D157" s="817"/>
      <c r="E157" s="56"/>
      <c r="F157" s="791"/>
      <c r="G157" s="56"/>
      <c r="H157" s="818"/>
      <c r="I157" s="56"/>
      <c r="J157" s="821"/>
      <c r="K157" s="56"/>
      <c r="L157" s="806"/>
      <c r="M157" s="56"/>
      <c r="N157" s="806"/>
      <c r="O157" s="790"/>
    </row>
    <row r="158" spans="1:15" x14ac:dyDescent="0.3">
      <c r="A158" s="801">
        <v>84</v>
      </c>
      <c r="B158" s="774">
        <f>IF($A158&gt;0,VLOOKUP($A158,EventsOrder,2,FALSE)," ")</f>
        <v>5</v>
      </c>
      <c r="C158" s="792" t="str">
        <f>IF($A158&gt;0,VLOOKUP($A158,EventsOrder,6,FALSE)," ")</f>
        <v xml:space="preserve">4 x 100m (U18/U20) </v>
      </c>
      <c r="D158" s="819"/>
      <c r="E158" s="858" t="str">
        <f>C3</f>
        <v>BRAT</v>
      </c>
      <c r="G158" s="118"/>
      <c r="H158" s="818"/>
      <c r="I158" s="1209">
        <f>IF($A158&gt;0,VLOOKUP($O158,Results,R$21,FALSE),0)</f>
        <v>0</v>
      </c>
      <c r="J158" s="821"/>
      <c r="K158" s="807">
        <f>IF($A158&gt;0,VLOOKUP($O158,Results,R$22,FALSE),0)</f>
        <v>0</v>
      </c>
      <c r="L158" s="806"/>
      <c r="M158" s="807">
        <f>IF($A158&gt;0,VLOOKUP($O158,Results,R$23,FALSE),0)</f>
        <v>0</v>
      </c>
      <c r="N158" s="806"/>
      <c r="O158" s="790">
        <f t="shared" ref="O158" si="162">IF(A158&gt;0,(A158*10)+Q$5,0)</f>
        <v>841</v>
      </c>
    </row>
    <row r="159" spans="1:15" x14ac:dyDescent="0.3">
      <c r="A159" s="790" t="str">
        <f>A158&amp;"R"</f>
        <v>84R</v>
      </c>
      <c r="B159" s="774"/>
      <c r="C159" s="792"/>
      <c r="D159" s="819">
        <v>1</v>
      </c>
      <c r="E159" s="118" t="str">
        <f>HLOOKUP($R$5,Relays,17,FALSE)</f>
        <v>Alisia Scarlett-Thomas</v>
      </c>
      <c r="F159" s="566">
        <v>2</v>
      </c>
      <c r="G159" s="118" t="str">
        <f>HLOOKUP($R$5,Relays,18,FALSE)</f>
        <v>Tamera Campbell</v>
      </c>
      <c r="H159" s="818"/>
      <c r="I159" s="820"/>
      <c r="J159" s="821"/>
      <c r="K159" s="807"/>
      <c r="L159" s="806"/>
      <c r="M159" s="807"/>
      <c r="N159" s="806"/>
      <c r="O159" s="790"/>
    </row>
    <row r="160" spans="1:15" x14ac:dyDescent="0.3">
      <c r="A160" s="812" t="str">
        <f>A158&amp;"S"</f>
        <v>84S</v>
      </c>
      <c r="B160" s="822"/>
      <c r="C160" s="823"/>
      <c r="D160" s="824">
        <v>3</v>
      </c>
      <c r="E160" s="769" t="str">
        <f>HLOOKUP($R$5,Relays,19,FALSE)</f>
        <v xml:space="preserve">Erin Colclough </v>
      </c>
      <c r="F160" s="829">
        <v>4</v>
      </c>
      <c r="G160" s="769" t="str">
        <f>HLOOKUP($R$5,Relays,20,FALSE)</f>
        <v xml:space="preserve">Araya Williams </v>
      </c>
      <c r="H160" s="785"/>
      <c r="I160" s="810"/>
      <c r="J160" s="811"/>
      <c r="K160" s="814"/>
      <c r="L160" s="813"/>
      <c r="M160" s="814"/>
      <c r="N160" s="813"/>
      <c r="O160" s="790"/>
    </row>
    <row r="161" spans="1:15" x14ac:dyDescent="0.3">
      <c r="A161" s="790"/>
      <c r="B161" s="774"/>
      <c r="C161" s="838" t="s">
        <v>173</v>
      </c>
      <c r="D161" s="819"/>
      <c r="E161" s="118"/>
      <c r="F161" s="566"/>
      <c r="G161" s="118"/>
      <c r="H161" s="604"/>
      <c r="I161" s="820"/>
      <c r="J161" s="821"/>
      <c r="K161" s="807"/>
      <c r="L161" s="806"/>
      <c r="M161" s="807"/>
      <c r="N161" s="806"/>
      <c r="O161" s="790"/>
    </row>
    <row r="162" spans="1:15" x14ac:dyDescent="0.3">
      <c r="A162" s="801">
        <v>13</v>
      </c>
      <c r="B162" s="774">
        <f>IF($A162&gt;0,VLOOKUP($A162,EventsOrder,2,FALSE)," ")</f>
        <v>12.15</v>
      </c>
      <c r="C162" s="792" t="str">
        <f>IF($A162&gt;0,VLOOKUP($A162,EventsOrder,6,FALSE)," ")</f>
        <v>Javelin (U18) Match 1 &amp; 3</v>
      </c>
      <c r="D162" s="819"/>
      <c r="E162" s="118" t="str">
        <f>IF($A162&gt;0,VLOOKUP($O162,Results,7,FALSE),0)</f>
        <v>Alba Smith-Pena</v>
      </c>
      <c r="F162" s="848"/>
      <c r="G162" s="118">
        <f>IF($A162&gt;0,VLOOKUP($O162,Results,9,FALSE),0)</f>
        <v>0</v>
      </c>
      <c r="H162" s="803"/>
      <c r="I162" s="804">
        <f t="shared" ref="I162:J166" si="163">IF($A162&gt;0,VLOOKUP($O162,Results,R$21,FALSE),0)</f>
        <v>0</v>
      </c>
      <c r="J162" s="805">
        <f t="shared" si="163"/>
        <v>0</v>
      </c>
      <c r="K162" s="790">
        <f t="shared" ref="K162:L166" si="164">IF($A162&gt;0,VLOOKUP($O162,Results,R$22,FALSE),0)</f>
        <v>0</v>
      </c>
      <c r="L162" s="806">
        <f t="shared" si="164"/>
        <v>0</v>
      </c>
      <c r="M162" s="807">
        <f t="shared" ref="M162:N166" si="165">IF($A162&gt;0,VLOOKUP($O162,Results,R$23,FALSE),0)</f>
        <v>0</v>
      </c>
      <c r="N162" s="806">
        <f t="shared" si="165"/>
        <v>0</v>
      </c>
      <c r="O162" s="790">
        <f t="shared" ref="O162:O166" si="166">IF(A162&gt;0,(A162*10)+Q$5,0)</f>
        <v>131</v>
      </c>
    </row>
    <row r="163" spans="1:15" x14ac:dyDescent="0.3">
      <c r="A163" s="801">
        <v>35</v>
      </c>
      <c r="B163" s="774">
        <f>IF($A163&gt;0,VLOOKUP($A163,EventsOrder,2,FALSE)," ")</f>
        <v>1.5</v>
      </c>
      <c r="C163" s="792" t="str">
        <f>IF($A163&gt;0,VLOOKUP($A163,EventsOrder,6,FALSE)," ")</f>
        <v xml:space="preserve">Shot (U18) </v>
      </c>
      <c r="D163" s="819"/>
      <c r="E163" s="118" t="str">
        <f>IF($A163&gt;0,VLOOKUP($O163,Results,7,FALSE),0)</f>
        <v xml:space="preserve">Hephzibah Emmanuel Kokoh </v>
      </c>
      <c r="F163" s="848"/>
      <c r="G163" s="118" t="str">
        <f>IF($A163&gt;0,VLOOKUP($O163,Results,9,FALSE),0)</f>
        <v xml:space="preserve">Daniella Anozie </v>
      </c>
      <c r="H163" s="803"/>
      <c r="I163" s="804">
        <f t="shared" si="163"/>
        <v>9.0500000000000007</v>
      </c>
      <c r="J163" s="805">
        <f t="shared" si="163"/>
        <v>7.23</v>
      </c>
      <c r="K163" s="790">
        <f t="shared" si="164"/>
        <v>3</v>
      </c>
      <c r="L163" s="806">
        <f t="shared" si="164"/>
        <v>2</v>
      </c>
      <c r="M163" s="807">
        <f t="shared" si="165"/>
        <v>6</v>
      </c>
      <c r="N163" s="806">
        <f t="shared" si="165"/>
        <v>7</v>
      </c>
      <c r="O163" s="790">
        <f t="shared" si="166"/>
        <v>351</v>
      </c>
    </row>
    <row r="164" spans="1:15" x14ac:dyDescent="0.3">
      <c r="A164" s="801">
        <v>48</v>
      </c>
      <c r="B164" s="774">
        <f>IF($A164&gt;0,VLOOKUP($A164,EventsOrder,2,FALSE)," ")</f>
        <v>2.4</v>
      </c>
      <c r="C164" s="792" t="str">
        <f>IF($A164&gt;0,VLOOKUP($A164,EventsOrder,6,FALSE)," ")</f>
        <v>Discus (U18) Match 2</v>
      </c>
      <c r="D164" s="819"/>
      <c r="E164" s="118">
        <f>IF($A164&gt;0,VLOOKUP($O164,Results,7,FALSE),0)</f>
        <v>0</v>
      </c>
      <c r="F164" s="848"/>
      <c r="G164" s="118">
        <f>IF($A164&gt;0,VLOOKUP($O164,Results,9,FALSE),0)</f>
        <v>0</v>
      </c>
      <c r="H164" s="803"/>
      <c r="I164" s="804">
        <f t="shared" si="163"/>
        <v>0</v>
      </c>
      <c r="J164" s="805">
        <f t="shared" si="163"/>
        <v>0</v>
      </c>
      <c r="K164" s="790">
        <f t="shared" si="164"/>
        <v>0</v>
      </c>
      <c r="L164" s="806">
        <f t="shared" si="164"/>
        <v>0</v>
      </c>
      <c r="M164" s="807">
        <f t="shared" si="165"/>
        <v>0</v>
      </c>
      <c r="N164" s="806">
        <f t="shared" si="165"/>
        <v>0</v>
      </c>
      <c r="O164" s="790">
        <f t="shared" si="166"/>
        <v>481</v>
      </c>
    </row>
    <row r="165" spans="1:15" x14ac:dyDescent="0.3">
      <c r="A165" s="801">
        <v>57</v>
      </c>
      <c r="B165" s="774">
        <f>IF($A165&gt;0,VLOOKUP($A165,EventsOrder,2,FALSE)," ")</f>
        <v>3.2</v>
      </c>
      <c r="C165" s="792" t="str">
        <f>IF($A165&gt;0,VLOOKUP($A165,EventsOrder,6,FALSE)," ")</f>
        <v xml:space="preserve">High Jump (U18/U20) </v>
      </c>
      <c r="D165" s="819"/>
      <c r="E165" s="118" t="str">
        <f>IF($A165&gt;0,VLOOKUP($O165,Results,7,FALSE),0)</f>
        <v xml:space="preserve">Hephzibah Emmanuel Kokoh </v>
      </c>
      <c r="F165" s="848"/>
      <c r="G165" s="118">
        <f>IF($A165&gt;0,VLOOKUP($O165,Results,9,FALSE),0)</f>
        <v>0</v>
      </c>
      <c r="H165" s="803"/>
      <c r="I165" s="804">
        <f t="shared" si="163"/>
        <v>0</v>
      </c>
      <c r="J165" s="805">
        <f t="shared" si="163"/>
        <v>0</v>
      </c>
      <c r="K165" s="790">
        <f t="shared" si="164"/>
        <v>0</v>
      </c>
      <c r="L165" s="806">
        <f t="shared" si="164"/>
        <v>0</v>
      </c>
      <c r="M165" s="807">
        <f t="shared" si="165"/>
        <v>0</v>
      </c>
      <c r="N165" s="806">
        <f t="shared" si="165"/>
        <v>0</v>
      </c>
      <c r="O165" s="790">
        <f t="shared" si="166"/>
        <v>571</v>
      </c>
    </row>
    <row r="166" spans="1:15" x14ac:dyDescent="0.3">
      <c r="A166" s="801">
        <v>67</v>
      </c>
      <c r="B166" s="774">
        <f>IF($A166&gt;0,VLOOKUP($A166,EventsOrder,2,FALSE)," ")</f>
        <v>4</v>
      </c>
      <c r="C166" s="792" t="str">
        <f>IF($A166&gt;0,VLOOKUP($A166,EventsOrder,6,FALSE)," ")</f>
        <v>Long Jump (U18/20) Pit1</v>
      </c>
      <c r="D166" s="819"/>
      <c r="E166" s="118" t="str">
        <f>IF($A166&gt;0,VLOOKUP($O166,Results,7,FALSE),0)</f>
        <v xml:space="preserve">Hephzibah Emmanuel Kokoh </v>
      </c>
      <c r="F166" s="848"/>
      <c r="G166" s="118" t="str">
        <f>IF($A166&gt;0,VLOOKUP($O166,Results,9,FALSE),0)</f>
        <v xml:space="preserve">T’yana Josephs </v>
      </c>
      <c r="H166" s="803"/>
      <c r="I166" s="804">
        <f t="shared" si="163"/>
        <v>4.24</v>
      </c>
      <c r="J166" s="805">
        <f t="shared" si="163"/>
        <v>0</v>
      </c>
      <c r="K166" s="790">
        <f t="shared" si="164"/>
        <v>4</v>
      </c>
      <c r="L166" s="806">
        <f t="shared" si="164"/>
        <v>0</v>
      </c>
      <c r="M166" s="807">
        <f t="shared" si="165"/>
        <v>5</v>
      </c>
      <c r="N166" s="806">
        <f t="shared" si="165"/>
        <v>0</v>
      </c>
      <c r="O166" s="790">
        <f t="shared" si="166"/>
        <v>671</v>
      </c>
    </row>
    <row r="167" spans="1:15" x14ac:dyDescent="0.3">
      <c r="A167" s="790"/>
      <c r="B167" s="774"/>
      <c r="C167" s="830" t="s">
        <v>350</v>
      </c>
      <c r="D167" s="824"/>
      <c r="E167" s="769">
        <f t="shared" ref="E167" si="167">IF(A167&gt;0,VLOOKUP(A167&amp;"A",Results3,30+$K167,FALSE),0)</f>
        <v>0</v>
      </c>
      <c r="F167" s="825"/>
      <c r="G167" s="769">
        <f t="shared" ref="G167" si="168">IF(A167&gt;0,VLOOKUP(A167&amp;"B",Results3,30+$L167,FALSE),0)</f>
        <v>0</v>
      </c>
      <c r="H167" s="785"/>
      <c r="I167" s="810" t="str">
        <f t="shared" ref="I167" si="169">IF(A167&gt;0,VLOOKUP(A167&amp;"A",Results3,46+$Q$5,FALSE)," ")</f>
        <v xml:space="preserve"> </v>
      </c>
      <c r="J167" s="811" t="str">
        <f t="shared" ref="J167" si="170">IF(A167&gt;0,VLOOKUP(A167&amp;"B",Results3,46+$Q$5,FALSE)," ")</f>
        <v xml:space="preserve"> </v>
      </c>
      <c r="K167" s="814" t="str">
        <f t="shared" ref="K167" si="171">IF(A167&gt;0,VLOOKUP(A167&amp;"A",Results3,54+$Q$5,FALSE)," ")</f>
        <v xml:space="preserve"> </v>
      </c>
      <c r="L167" s="813" t="str">
        <f t="shared" ref="L167" si="172">IF(A167&gt;0,VLOOKUP(A167&amp;"B",Results3,54+$Q$5,FALSE)," ")</f>
        <v xml:space="preserve"> </v>
      </c>
      <c r="M167" s="831">
        <v>0</v>
      </c>
      <c r="N167" s="813">
        <f t="shared" ref="N167" si="173">IF(OR(J167="DNF",ISTEXT(L167)),0,IF(L167&gt;0,$P$5-L167,0))</f>
        <v>0</v>
      </c>
      <c r="O167" s="790"/>
    </row>
    <row r="168" spans="1:15" x14ac:dyDescent="0.3">
      <c r="H168" s="56"/>
      <c r="L168" s="815" t="s">
        <v>78</v>
      </c>
      <c r="M168" s="816">
        <f>SUM(M150:M167)</f>
        <v>34</v>
      </c>
      <c r="N168" s="816">
        <f>SUM(N150:N167)</f>
        <v>7</v>
      </c>
      <c r="O168" s="816"/>
    </row>
    <row r="169" spans="1:15" x14ac:dyDescent="0.3">
      <c r="H169" s="56"/>
      <c r="L169" s="815" t="s">
        <v>352</v>
      </c>
      <c r="M169" s="816">
        <f>M168+M145+M122</f>
        <v>147</v>
      </c>
      <c r="N169" s="816">
        <f>N168+N145+N122</f>
        <v>117</v>
      </c>
      <c r="O169" s="816"/>
    </row>
    <row r="170" spans="1:15" x14ac:dyDescent="0.3">
      <c r="H170" s="56"/>
      <c r="L170" s="815" t="s">
        <v>353</v>
      </c>
      <c r="M170" s="816">
        <f>M86+M169</f>
        <v>312</v>
      </c>
      <c r="N170" s="816">
        <f>N86+N169</f>
        <v>261</v>
      </c>
      <c r="O170" s="816">
        <f>M170+N170</f>
        <v>573</v>
      </c>
    </row>
    <row r="171" spans="1:15" x14ac:dyDescent="0.3">
      <c r="H171" s="56"/>
    </row>
    <row r="172" spans="1:15" ht="15.6" x14ac:dyDescent="0.3">
      <c r="A172" s="56" t="s">
        <v>165</v>
      </c>
      <c r="B172" s="56" t="s">
        <v>165</v>
      </c>
      <c r="C172" s="840" t="s">
        <v>198</v>
      </c>
      <c r="D172" s="817"/>
      <c r="E172" s="32" t="s">
        <v>346</v>
      </c>
      <c r="G172" s="32" t="s">
        <v>346</v>
      </c>
      <c r="H172" s="56"/>
      <c r="I172" s="1437" t="s">
        <v>342</v>
      </c>
      <c r="J172" s="1438"/>
      <c r="K172" s="1439" t="s">
        <v>343</v>
      </c>
      <c r="L172" s="1440"/>
      <c r="M172" s="1439" t="s">
        <v>76</v>
      </c>
      <c r="N172" s="1440"/>
      <c r="O172" s="56"/>
    </row>
    <row r="173" spans="1:15" x14ac:dyDescent="0.3">
      <c r="A173" s="56" t="s">
        <v>167</v>
      </c>
      <c r="B173" s="56" t="s">
        <v>168</v>
      </c>
      <c r="C173" s="118"/>
      <c r="D173" s="118"/>
      <c r="E173" s="56" t="s">
        <v>149</v>
      </c>
      <c r="F173" s="791"/>
      <c r="G173" s="56" t="s">
        <v>94</v>
      </c>
      <c r="H173" s="56"/>
      <c r="I173" s="783" t="s">
        <v>149</v>
      </c>
      <c r="J173" s="785" t="s">
        <v>94</v>
      </c>
      <c r="K173" s="783" t="s">
        <v>149</v>
      </c>
      <c r="L173" s="785" t="s">
        <v>94</v>
      </c>
      <c r="M173" s="783" t="s">
        <v>149</v>
      </c>
      <c r="N173" s="785" t="s">
        <v>94</v>
      </c>
      <c r="O173" s="56"/>
    </row>
    <row r="174" spans="1:15" ht="15.6" x14ac:dyDescent="0.3">
      <c r="A174" s="56"/>
      <c r="B174" s="56"/>
      <c r="C174" s="834" t="s">
        <v>79</v>
      </c>
      <c r="D174" s="835"/>
      <c r="E174" s="859"/>
      <c r="F174" s="860"/>
      <c r="G174" s="859"/>
      <c r="H174" s="833"/>
      <c r="I174" s="612"/>
      <c r="J174" s="818"/>
      <c r="K174" s="612"/>
      <c r="L174" s="818"/>
      <c r="M174" s="612"/>
      <c r="N174" s="818"/>
      <c r="O174" s="56"/>
    </row>
    <row r="175" spans="1:15" x14ac:dyDescent="0.3">
      <c r="A175" s="801">
        <v>91</v>
      </c>
      <c r="B175" s="774">
        <f t="shared" ref="B175:B181" si="174">IF($A175&gt;0,VLOOKUP($A175,EventsOrder,2,FALSE)," ")</f>
        <v>11.4</v>
      </c>
      <c r="C175" s="792" t="str">
        <f t="shared" ref="C175:C181" si="175">IF($A175&gt;0,VLOOKUP($A175,EventsOrder,6,FALSE)," ")</f>
        <v>800m U14 Male</v>
      </c>
      <c r="D175" s="802">
        <f t="shared" ref="D175:D180" si="176">IF($A175&gt;0,VLOOKUP($O175,Results,R$19,FALSE),0)</f>
        <v>0</v>
      </c>
      <c r="E175" s="118" t="str">
        <f t="shared" ref="E175:E180" si="177">IF($A175&gt;0,VLOOKUP($O175,Results,7,FALSE),0)</f>
        <v xml:space="preserve">Thomas Woodward </v>
      </c>
      <c r="F175" s="848">
        <f t="shared" ref="F175:F180" si="178">IF($A175&gt;0,VLOOKUP($O175,Results,S$19,FALSE),0)</f>
        <v>0</v>
      </c>
      <c r="G175" s="118">
        <f t="shared" ref="G175:G180" si="179">IF($A175&gt;0,VLOOKUP($O175,Results,9,FALSE),0)</f>
        <v>0</v>
      </c>
      <c r="H175" s="803"/>
      <c r="I175" s="804">
        <f t="shared" ref="I175:J180" si="180">IF($A175&gt;0,VLOOKUP($O175,Results,R$21,FALSE),0)</f>
        <v>0</v>
      </c>
      <c r="J175" s="805">
        <f t="shared" si="180"/>
        <v>0</v>
      </c>
      <c r="K175" s="790">
        <f t="shared" ref="K175:L180" si="181">IF($A175&gt;0,VLOOKUP($O175,Results,R$22,FALSE),0)</f>
        <v>0</v>
      </c>
      <c r="L175" s="806">
        <f t="shared" si="181"/>
        <v>0</v>
      </c>
      <c r="M175" s="807">
        <f t="shared" ref="M175:N180" si="182">IF($A175&gt;0,VLOOKUP($O175,Results,R$23,FALSE),0)</f>
        <v>0</v>
      </c>
      <c r="N175" s="806">
        <f t="shared" si="182"/>
        <v>0</v>
      </c>
      <c r="O175" s="790">
        <f t="shared" ref="O175:O180" si="183">IF(A175&gt;0,(A175*10)+Q$5,0)</f>
        <v>911</v>
      </c>
    </row>
    <row r="176" spans="1:15" x14ac:dyDescent="0.3">
      <c r="A176" s="801">
        <v>92</v>
      </c>
      <c r="B176" s="774">
        <f t="shared" si="174"/>
        <v>12.1</v>
      </c>
      <c r="C176" s="792" t="str">
        <f t="shared" si="175"/>
        <v>800m U16 Male</v>
      </c>
      <c r="D176" s="802">
        <f t="shared" si="176"/>
        <v>29</v>
      </c>
      <c r="E176" s="118" t="str">
        <f t="shared" si="177"/>
        <v xml:space="preserve">Phoenix akalley-Paradissis </v>
      </c>
      <c r="F176" s="848">
        <f t="shared" si="178"/>
        <v>0</v>
      </c>
      <c r="G176" s="118">
        <f t="shared" si="179"/>
        <v>0</v>
      </c>
      <c r="H176" s="803"/>
      <c r="I176" s="804" t="str">
        <f t="shared" si="180"/>
        <v>2.33.0</v>
      </c>
      <c r="J176" s="805">
        <f t="shared" si="180"/>
        <v>0</v>
      </c>
      <c r="K176" s="790">
        <f t="shared" si="181"/>
        <v>1</v>
      </c>
      <c r="L176" s="806">
        <f t="shared" si="181"/>
        <v>0</v>
      </c>
      <c r="M176" s="807">
        <f t="shared" si="182"/>
        <v>8</v>
      </c>
      <c r="N176" s="806">
        <f t="shared" si="182"/>
        <v>0</v>
      </c>
      <c r="O176" s="790">
        <f t="shared" si="183"/>
        <v>921</v>
      </c>
    </row>
    <row r="177" spans="1:15" x14ac:dyDescent="0.3">
      <c r="A177" s="801">
        <v>93</v>
      </c>
      <c r="B177" s="774">
        <f t="shared" si="174"/>
        <v>12.2</v>
      </c>
      <c r="C177" s="792" t="str">
        <f t="shared" si="175"/>
        <v>800m (U18/U20) Men</v>
      </c>
      <c r="D177" s="802">
        <f t="shared" si="176"/>
        <v>0</v>
      </c>
      <c r="E177" s="118">
        <f t="shared" si="177"/>
        <v>0</v>
      </c>
      <c r="F177" s="848">
        <f t="shared" si="178"/>
        <v>0</v>
      </c>
      <c r="G177" s="118">
        <f t="shared" si="179"/>
        <v>0</v>
      </c>
      <c r="H177" s="803"/>
      <c r="I177" s="804">
        <f t="shared" si="180"/>
        <v>0</v>
      </c>
      <c r="J177" s="805">
        <f t="shared" si="180"/>
        <v>0</v>
      </c>
      <c r="K177" s="790">
        <f t="shared" si="181"/>
        <v>0</v>
      </c>
      <c r="L177" s="806">
        <f t="shared" si="181"/>
        <v>0</v>
      </c>
      <c r="M177" s="807">
        <f t="shared" si="182"/>
        <v>0</v>
      </c>
      <c r="N177" s="806">
        <f t="shared" si="182"/>
        <v>0</v>
      </c>
      <c r="O177" s="790">
        <f t="shared" si="183"/>
        <v>931</v>
      </c>
    </row>
    <row r="178" spans="1:15" x14ac:dyDescent="0.3">
      <c r="A178" s="801">
        <v>97</v>
      </c>
      <c r="B178" s="774">
        <f t="shared" si="174"/>
        <v>3.1</v>
      </c>
      <c r="C178" s="792" t="str">
        <f t="shared" si="175"/>
        <v>1500m U14 Male</v>
      </c>
      <c r="D178" s="802">
        <f t="shared" si="176"/>
        <v>0</v>
      </c>
      <c r="E178" s="118">
        <f t="shared" si="177"/>
        <v>0</v>
      </c>
      <c r="F178" s="848">
        <f t="shared" si="178"/>
        <v>0</v>
      </c>
      <c r="G178" s="118">
        <f t="shared" si="179"/>
        <v>0</v>
      </c>
      <c r="H178" s="803"/>
      <c r="I178" s="804">
        <f t="shared" si="180"/>
        <v>0</v>
      </c>
      <c r="J178" s="805">
        <f t="shared" si="180"/>
        <v>0</v>
      </c>
      <c r="K178" s="790">
        <f t="shared" si="181"/>
        <v>0</v>
      </c>
      <c r="L178" s="806">
        <f t="shared" si="181"/>
        <v>0</v>
      </c>
      <c r="M178" s="807">
        <f t="shared" si="182"/>
        <v>0</v>
      </c>
      <c r="N178" s="806">
        <f t="shared" si="182"/>
        <v>0</v>
      </c>
      <c r="O178" s="790">
        <f t="shared" si="183"/>
        <v>971</v>
      </c>
    </row>
    <row r="179" spans="1:15" x14ac:dyDescent="0.3">
      <c r="A179" s="801">
        <v>98</v>
      </c>
      <c r="B179" s="774">
        <f t="shared" si="174"/>
        <v>3.2</v>
      </c>
      <c r="C179" s="792" t="str">
        <f t="shared" si="175"/>
        <v>1500m U16 Male</v>
      </c>
      <c r="D179" s="802">
        <f t="shared" si="176"/>
        <v>0</v>
      </c>
      <c r="E179" s="118">
        <f t="shared" si="177"/>
        <v>0</v>
      </c>
      <c r="F179" s="848">
        <f t="shared" si="178"/>
        <v>0</v>
      </c>
      <c r="G179" s="118">
        <f t="shared" si="179"/>
        <v>0</v>
      </c>
      <c r="H179" s="803"/>
      <c r="I179" s="804">
        <f t="shared" si="180"/>
        <v>0</v>
      </c>
      <c r="J179" s="805">
        <f t="shared" si="180"/>
        <v>0</v>
      </c>
      <c r="K179" s="790">
        <f t="shared" si="181"/>
        <v>0</v>
      </c>
      <c r="L179" s="806">
        <f t="shared" si="181"/>
        <v>0</v>
      </c>
      <c r="M179" s="807">
        <f t="shared" si="182"/>
        <v>0</v>
      </c>
      <c r="N179" s="806">
        <f t="shared" si="182"/>
        <v>0</v>
      </c>
      <c r="O179" s="790">
        <f t="shared" si="183"/>
        <v>981</v>
      </c>
    </row>
    <row r="180" spans="1:15" x14ac:dyDescent="0.3">
      <c r="A180" s="801">
        <v>99</v>
      </c>
      <c r="B180" s="774">
        <f t="shared" si="174"/>
        <v>3.3</v>
      </c>
      <c r="C180" s="792" t="str">
        <f t="shared" si="175"/>
        <v>1500m (U18/U20) Men</v>
      </c>
      <c r="D180" s="802">
        <f t="shared" si="176"/>
        <v>0</v>
      </c>
      <c r="E180" s="118">
        <f t="shared" si="177"/>
        <v>0</v>
      </c>
      <c r="F180" s="848">
        <f t="shared" si="178"/>
        <v>0</v>
      </c>
      <c r="G180" s="118">
        <f t="shared" si="179"/>
        <v>0</v>
      </c>
      <c r="H180" s="803"/>
      <c r="I180" s="804">
        <f t="shared" si="180"/>
        <v>0</v>
      </c>
      <c r="J180" s="805">
        <f t="shared" si="180"/>
        <v>0</v>
      </c>
      <c r="K180" s="790">
        <f t="shared" si="181"/>
        <v>0</v>
      </c>
      <c r="L180" s="806">
        <f t="shared" si="181"/>
        <v>0</v>
      </c>
      <c r="M180" s="807">
        <f t="shared" si="182"/>
        <v>0</v>
      </c>
      <c r="N180" s="806">
        <f t="shared" si="182"/>
        <v>0</v>
      </c>
      <c r="O180" s="790">
        <f t="shared" si="183"/>
        <v>991</v>
      </c>
    </row>
    <row r="181" spans="1:15" x14ac:dyDescent="0.3">
      <c r="A181" s="812"/>
      <c r="B181" s="822" t="str">
        <f t="shared" si="174"/>
        <v xml:space="preserve"> </v>
      </c>
      <c r="C181" s="823" t="str">
        <f t="shared" si="175"/>
        <v xml:space="preserve"> </v>
      </c>
      <c r="D181" s="824"/>
      <c r="E181" s="769">
        <f t="shared" ref="E181" si="184">IF(A181&gt;0,VLOOKUP(A181&amp;"A",Results3,30+$K181,FALSE),0)</f>
        <v>0</v>
      </c>
      <c r="F181" s="825"/>
      <c r="G181" s="769">
        <f t="shared" ref="G181" si="185">IF(A181&gt;0,VLOOKUP(A181&amp;"B",Results3,30+$L181,FALSE),0)</f>
        <v>0</v>
      </c>
      <c r="H181" s="785"/>
      <c r="I181" s="810" t="str">
        <f t="shared" ref="I181" si="186">IF(A181&gt;0,VLOOKUP(A181&amp;"A",Results3,46+$Q$5,FALSE)," ")</f>
        <v xml:space="preserve"> </v>
      </c>
      <c r="J181" s="811" t="str">
        <f t="shared" ref="J181" si="187">IF(A181&gt;0,VLOOKUP(A181&amp;"B",Results3,46+$Q$5,FALSE)," ")</f>
        <v xml:space="preserve"> </v>
      </c>
      <c r="K181" s="814" t="str">
        <f t="shared" ref="K181" si="188">IF(A181&gt;0,VLOOKUP(A181&amp;"A",Results3,54+$Q$5,FALSE)," ")</f>
        <v xml:space="preserve"> </v>
      </c>
      <c r="L181" s="813" t="str">
        <f t="shared" ref="L181" si="189">IF(A181&gt;0,VLOOKUP(A181&amp;"B",Results3,54+$Q$5,FALSE)," ")</f>
        <v xml:space="preserve"> </v>
      </c>
      <c r="M181" s="814">
        <f>IF(OR(I181="DNF",ISTEXT(K181)),0,IF(K181&gt;0,$P$5-K181,0))</f>
        <v>0</v>
      </c>
      <c r="N181" s="813">
        <f>IF(OR(J181="DNF",ISTEXT(L181)),0,IF(L181&gt;0,$P$5-L181,0))</f>
        <v>0</v>
      </c>
      <c r="O181" s="790"/>
    </row>
    <row r="183" spans="1:15" ht="15.6" x14ac:dyDescent="0.3">
      <c r="A183" s="56"/>
      <c r="B183" s="56"/>
      <c r="C183" s="834" t="s">
        <v>80</v>
      </c>
      <c r="D183" s="835"/>
      <c r="E183" s="859"/>
      <c r="F183" s="860"/>
      <c r="G183" s="859"/>
      <c r="H183" s="833"/>
      <c r="I183" s="865"/>
      <c r="J183" s="421"/>
      <c r="K183" s="865"/>
      <c r="L183" s="833"/>
      <c r="M183" s="421"/>
      <c r="N183" s="1336"/>
      <c r="O183" s="56"/>
    </row>
    <row r="184" spans="1:15" x14ac:dyDescent="0.3">
      <c r="A184" s="801">
        <v>88</v>
      </c>
      <c r="B184" s="774">
        <f t="shared" ref="B184:B190" si="190">IF($A184&gt;0,VLOOKUP($A184,EventsOrder,2,FALSE)," ")</f>
        <v>11</v>
      </c>
      <c r="C184" s="792" t="str">
        <f t="shared" ref="C184:C190" si="191">IF($A184&gt;0,VLOOKUP($A184,EventsOrder,6,FALSE)," ")</f>
        <v>1500m U14 Female</v>
      </c>
      <c r="D184" s="802">
        <f t="shared" ref="D184:D189" si="192">IF($A184&gt;0,VLOOKUP($O184,Results,R$19,FALSE),0)</f>
        <v>30</v>
      </c>
      <c r="E184" s="118" t="str">
        <f t="shared" ref="E184:E189" si="193">IF($A184&gt;0,VLOOKUP($O184,Results,7,FALSE),0)</f>
        <v xml:space="preserve">Sophia Ratnasuriya </v>
      </c>
      <c r="F184" s="848">
        <f t="shared" ref="F184:F189" si="194">IF($A184&gt;0,VLOOKUP($O184,Results,S$19,FALSE),0)</f>
        <v>0</v>
      </c>
      <c r="G184" s="118">
        <f t="shared" ref="G184:G189" si="195">IF($A184&gt;0,VLOOKUP($O184,Results,9,FALSE),0)</f>
        <v>0</v>
      </c>
      <c r="H184" s="803"/>
      <c r="I184" s="804" t="str">
        <f t="shared" ref="I184:J189" si="196">IF($A184&gt;0,VLOOKUP($O184,Results,R$21,FALSE),0)</f>
        <v>6.22.7</v>
      </c>
      <c r="J184" s="864">
        <f t="shared" si="196"/>
        <v>0</v>
      </c>
      <c r="K184" s="807">
        <f t="shared" ref="K184:L189" si="197">IF($A184&gt;0,VLOOKUP($O184,Results,R$22,FALSE),0)</f>
        <v>3</v>
      </c>
      <c r="L184" s="806">
        <f t="shared" si="197"/>
        <v>0</v>
      </c>
      <c r="M184" s="790">
        <f t="shared" ref="M184:N189" si="198">IF($A184&gt;0,VLOOKUP($O184,Results,R$23,FALSE),0)</f>
        <v>6</v>
      </c>
      <c r="N184" s="806">
        <f t="shared" si="198"/>
        <v>0</v>
      </c>
      <c r="O184" s="790">
        <f t="shared" ref="O184:O189" si="199">IF(A184&gt;0,(A184*10)+Q$5,0)</f>
        <v>881</v>
      </c>
    </row>
    <row r="185" spans="1:15" x14ac:dyDescent="0.3">
      <c r="A185" s="801">
        <v>89</v>
      </c>
      <c r="B185" s="774">
        <f t="shared" si="190"/>
        <v>11.1</v>
      </c>
      <c r="C185" s="792" t="str">
        <f t="shared" si="191"/>
        <v>1500m U16 Female</v>
      </c>
      <c r="D185" s="802">
        <f t="shared" si="192"/>
        <v>0</v>
      </c>
      <c r="E185" s="118">
        <f t="shared" si="193"/>
        <v>0</v>
      </c>
      <c r="F185" s="848">
        <f t="shared" si="194"/>
        <v>0</v>
      </c>
      <c r="G185" s="118">
        <f t="shared" si="195"/>
        <v>0</v>
      </c>
      <c r="H185" s="803"/>
      <c r="I185" s="804">
        <f t="shared" si="196"/>
        <v>0</v>
      </c>
      <c r="J185" s="864">
        <f t="shared" si="196"/>
        <v>0</v>
      </c>
      <c r="K185" s="807">
        <f t="shared" si="197"/>
        <v>0</v>
      </c>
      <c r="L185" s="806">
        <f t="shared" si="197"/>
        <v>0</v>
      </c>
      <c r="M185" s="790">
        <f t="shared" si="198"/>
        <v>0</v>
      </c>
      <c r="N185" s="806">
        <f t="shared" si="198"/>
        <v>0</v>
      </c>
      <c r="O185" s="790">
        <f t="shared" si="199"/>
        <v>891</v>
      </c>
    </row>
    <row r="186" spans="1:15" x14ac:dyDescent="0.3">
      <c r="A186" s="801">
        <v>90</v>
      </c>
      <c r="B186" s="774">
        <f t="shared" si="190"/>
        <v>11.2</v>
      </c>
      <c r="C186" s="792" t="str">
        <f t="shared" si="191"/>
        <v>1500m (U18/U20) Female</v>
      </c>
      <c r="D186" s="802">
        <f t="shared" si="192"/>
        <v>0</v>
      </c>
      <c r="E186" s="118">
        <f t="shared" si="193"/>
        <v>0</v>
      </c>
      <c r="F186" s="848">
        <f t="shared" si="194"/>
        <v>0</v>
      </c>
      <c r="G186" s="118">
        <f t="shared" si="195"/>
        <v>0</v>
      </c>
      <c r="H186" s="803"/>
      <c r="I186" s="804">
        <f t="shared" si="196"/>
        <v>0</v>
      </c>
      <c r="J186" s="864">
        <f t="shared" si="196"/>
        <v>0</v>
      </c>
      <c r="K186" s="807">
        <f t="shared" si="197"/>
        <v>0</v>
      </c>
      <c r="L186" s="806">
        <f t="shared" si="197"/>
        <v>0</v>
      </c>
      <c r="M186" s="790">
        <f t="shared" si="198"/>
        <v>0</v>
      </c>
      <c r="N186" s="806">
        <f t="shared" si="198"/>
        <v>0</v>
      </c>
      <c r="O186" s="790">
        <f t="shared" si="199"/>
        <v>901</v>
      </c>
    </row>
    <row r="187" spans="1:15" x14ac:dyDescent="0.3">
      <c r="A187" s="801">
        <v>94</v>
      </c>
      <c r="B187" s="774">
        <f t="shared" si="190"/>
        <v>12.4</v>
      </c>
      <c r="C187" s="792" t="str">
        <f t="shared" si="191"/>
        <v>800m U14 Female</v>
      </c>
      <c r="D187" s="802">
        <f t="shared" si="192"/>
        <v>0</v>
      </c>
      <c r="E187" s="118" t="str">
        <f t="shared" si="193"/>
        <v xml:space="preserve">Joanna O'Connor Delgado </v>
      </c>
      <c r="F187" s="848">
        <f t="shared" si="194"/>
        <v>0</v>
      </c>
      <c r="G187" s="118">
        <f t="shared" si="195"/>
        <v>0</v>
      </c>
      <c r="H187" s="803"/>
      <c r="I187" s="804">
        <f t="shared" si="196"/>
        <v>0</v>
      </c>
      <c r="J187" s="864">
        <f t="shared" si="196"/>
        <v>0</v>
      </c>
      <c r="K187" s="807">
        <f t="shared" si="197"/>
        <v>0</v>
      </c>
      <c r="L187" s="806">
        <f t="shared" si="197"/>
        <v>0</v>
      </c>
      <c r="M187" s="790">
        <f t="shared" si="198"/>
        <v>0</v>
      </c>
      <c r="N187" s="806">
        <f t="shared" si="198"/>
        <v>0</v>
      </c>
      <c r="O187" s="790">
        <f t="shared" si="199"/>
        <v>941</v>
      </c>
    </row>
    <row r="188" spans="1:15" x14ac:dyDescent="0.3">
      <c r="A188" s="801">
        <v>95</v>
      </c>
      <c r="B188" s="774">
        <f t="shared" si="190"/>
        <v>1</v>
      </c>
      <c r="C188" s="792" t="str">
        <f t="shared" si="191"/>
        <v>800m U16 Female</v>
      </c>
      <c r="D188" s="802">
        <f t="shared" si="192"/>
        <v>0</v>
      </c>
      <c r="E188" s="118" t="str">
        <f t="shared" si="193"/>
        <v>Isabel Pickering</v>
      </c>
      <c r="F188" s="848">
        <f t="shared" si="194"/>
        <v>0</v>
      </c>
      <c r="G188" s="118">
        <f t="shared" si="195"/>
        <v>0</v>
      </c>
      <c r="H188" s="803"/>
      <c r="I188" s="804">
        <f t="shared" si="196"/>
        <v>0</v>
      </c>
      <c r="J188" s="864">
        <f t="shared" si="196"/>
        <v>0</v>
      </c>
      <c r="K188" s="807">
        <f t="shared" si="197"/>
        <v>0</v>
      </c>
      <c r="L188" s="806">
        <f t="shared" si="197"/>
        <v>0</v>
      </c>
      <c r="M188" s="790">
        <f t="shared" si="198"/>
        <v>0</v>
      </c>
      <c r="N188" s="806">
        <f t="shared" si="198"/>
        <v>0</v>
      </c>
      <c r="O188" s="790">
        <f t="shared" si="199"/>
        <v>951</v>
      </c>
    </row>
    <row r="189" spans="1:15" x14ac:dyDescent="0.3">
      <c r="A189" s="801">
        <v>96</v>
      </c>
      <c r="B189" s="774">
        <f t="shared" si="190"/>
        <v>1.2</v>
      </c>
      <c r="C189" s="792" t="str">
        <f t="shared" si="191"/>
        <v>800m (U18/U20) Female</v>
      </c>
      <c r="D189" s="802">
        <f t="shared" si="192"/>
        <v>0</v>
      </c>
      <c r="E189" s="118">
        <f t="shared" si="193"/>
        <v>0</v>
      </c>
      <c r="F189" s="848">
        <f t="shared" si="194"/>
        <v>0</v>
      </c>
      <c r="G189" s="118">
        <f t="shared" si="195"/>
        <v>0</v>
      </c>
      <c r="H189" s="803"/>
      <c r="I189" s="804">
        <f t="shared" si="196"/>
        <v>0</v>
      </c>
      <c r="J189" s="864">
        <f t="shared" si="196"/>
        <v>0</v>
      </c>
      <c r="K189" s="807">
        <f t="shared" si="197"/>
        <v>0</v>
      </c>
      <c r="L189" s="806">
        <f t="shared" si="197"/>
        <v>0</v>
      </c>
      <c r="M189" s="790">
        <f t="shared" si="198"/>
        <v>0</v>
      </c>
      <c r="N189" s="806">
        <f t="shared" si="198"/>
        <v>0</v>
      </c>
      <c r="O189" s="790">
        <f t="shared" si="199"/>
        <v>961</v>
      </c>
    </row>
    <row r="190" spans="1:15" x14ac:dyDescent="0.3">
      <c r="A190" s="812"/>
      <c r="B190" s="822" t="str">
        <f t="shared" si="190"/>
        <v xml:space="preserve"> </v>
      </c>
      <c r="C190" s="823" t="str">
        <f t="shared" si="191"/>
        <v xml:space="preserve"> </v>
      </c>
      <c r="D190" s="824"/>
      <c r="E190" s="769">
        <f t="shared" ref="E190" si="200">IF(A190&gt;0,VLOOKUP(A190&amp;"A",Results3,30+$K190,FALSE),0)</f>
        <v>0</v>
      </c>
      <c r="F190" s="825"/>
      <c r="G190" s="769">
        <f t="shared" ref="G190" si="201">IF(A190&gt;0,VLOOKUP(A190&amp;"B",Results3,30+$L190,FALSE),0)</f>
        <v>0</v>
      </c>
      <c r="H190" s="785"/>
      <c r="I190" s="810" t="str">
        <f t="shared" ref="I190" si="202">IF(A190&gt;0,VLOOKUP(A190&amp;"A",Results3,46+$Q$5,FALSE)," ")</f>
        <v xml:space="preserve"> </v>
      </c>
      <c r="J190" s="822" t="str">
        <f t="shared" ref="J190" si="203">IF(A190&gt;0,VLOOKUP(A190&amp;"B",Results3,46+$Q$5,FALSE)," ")</f>
        <v xml:space="preserve"> </v>
      </c>
      <c r="K190" s="814" t="str">
        <f t="shared" ref="K190" si="204">IF(A190&gt;0,VLOOKUP(A190&amp;"A",Results3,54+$Q$5,FALSE)," ")</f>
        <v xml:space="preserve"> </v>
      </c>
      <c r="L190" s="813" t="str">
        <f t="shared" ref="L190" si="205">IF(A190&gt;0,VLOOKUP(A190&amp;"B",Results3,54+$Q$5,FALSE)," ")</f>
        <v xml:space="preserve"> </v>
      </c>
      <c r="M190" s="812">
        <f>IF(OR(I190="DNF",ISTEXT(K190)),0,IF(K190&gt;0,$P$5-K190,0))</f>
        <v>0</v>
      </c>
      <c r="N190" s="813">
        <f>IF(OR(J190="DNF",ISTEXT(L190)),0,IF(L190&gt;0,$P$5-L190,0))</f>
        <v>0</v>
      </c>
      <c r="O190" s="790"/>
    </row>
  </sheetData>
  <mergeCells count="27">
    <mergeCell ref="I172:J172"/>
    <mergeCell ref="K172:L172"/>
    <mergeCell ref="M172:N172"/>
    <mergeCell ref="I124:J124"/>
    <mergeCell ref="K124:L124"/>
    <mergeCell ref="M124:N124"/>
    <mergeCell ref="I147:J147"/>
    <mergeCell ref="K147:L147"/>
    <mergeCell ref="M147:N147"/>
    <mergeCell ref="I88:J88"/>
    <mergeCell ref="K88:L88"/>
    <mergeCell ref="M88:N88"/>
    <mergeCell ref="I102:J102"/>
    <mergeCell ref="K102:L102"/>
    <mergeCell ref="M102:N102"/>
    <mergeCell ref="I41:J41"/>
    <mergeCell ref="K41:L41"/>
    <mergeCell ref="M41:N41"/>
    <mergeCell ref="I64:J64"/>
    <mergeCell ref="K64:L64"/>
    <mergeCell ref="M64:N64"/>
    <mergeCell ref="I4:J4"/>
    <mergeCell ref="K4:L4"/>
    <mergeCell ref="M4:N4"/>
    <mergeCell ref="I19:J19"/>
    <mergeCell ref="K19:L19"/>
    <mergeCell ref="M19:N19"/>
  </mergeCells>
  <pageMargins left="0.70866141732283472" right="0.70866141732283472" top="0.55118110236220474" bottom="0.55118110236220474" header="0.11811023622047245" footer="0.11811023622047245"/>
  <pageSetup paperSize="9" scale="60" fitToHeight="0" orientation="portrait" horizontalDpi="360" verticalDpi="360" r:id="rId1"/>
  <rowBreaks count="1" manualBreakCount="1">
    <brk id="86" max="1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3BB63-0AB3-4F44-ADD5-711A94E34E1F}">
  <sheetPr codeName="Sheet8"/>
  <dimension ref="B2:L35"/>
  <sheetViews>
    <sheetView topLeftCell="A3" zoomScale="90" zoomScaleNormal="90" workbookViewId="0">
      <selection activeCell="I15" sqref="I15"/>
    </sheetView>
  </sheetViews>
  <sheetFormatPr defaultRowHeight="14.4" x14ac:dyDescent="0.3"/>
  <cols>
    <col min="2" max="2" width="21" customWidth="1"/>
  </cols>
  <sheetData>
    <row r="2" spans="2:12" ht="15" thickBot="1" x14ac:dyDescent="0.35"/>
    <row r="3" spans="2:12" ht="18" thickBot="1" x14ac:dyDescent="0.35">
      <c r="D3" s="866" t="s">
        <v>32</v>
      </c>
      <c r="E3" s="2"/>
      <c r="F3" s="2"/>
      <c r="G3" s="3"/>
    </row>
    <row r="5" spans="2:12" ht="15.6" x14ac:dyDescent="0.3">
      <c r="D5" s="867" t="s">
        <v>354</v>
      </c>
    </row>
    <row r="6" spans="2:12" ht="15.6" x14ac:dyDescent="0.3">
      <c r="D6" s="867" t="s">
        <v>355</v>
      </c>
    </row>
    <row r="8" spans="2:12" ht="15" thickBot="1" x14ac:dyDescent="0.35"/>
    <row r="9" spans="2:12" ht="12.75" customHeight="1" x14ac:dyDescent="0.3">
      <c r="C9" s="1441" t="str">
        <f>'Event Details'!$E22</f>
        <v>BRAT</v>
      </c>
      <c r="D9" s="1441" t="str">
        <f>'Event Details'!$E23</f>
        <v>Kidder &amp; Stourport</v>
      </c>
      <c r="E9" s="1441" t="str">
        <f>'Event Details'!$E24</f>
        <v>Royal Sutton</v>
      </c>
      <c r="F9" s="1441" t="str">
        <f>'Event Details'!$E25</f>
        <v>Rugby &amp; N'hampton</v>
      </c>
      <c r="G9" s="1441" t="str">
        <f>'Event Details'!$E26</f>
        <v>Solihull &amp; S.Heath</v>
      </c>
      <c r="H9" s="1441" t="str">
        <f>'Event Details'!$E27</f>
        <v>Stratford</v>
      </c>
      <c r="I9" s="1441" t="str">
        <f>'Event Details'!$E28</f>
        <v>Tamworth</v>
      </c>
      <c r="J9" s="1441" t="str">
        <f>'Event Details'!$E29</f>
        <v>Worcester</v>
      </c>
      <c r="L9" s="1441" t="s">
        <v>356</v>
      </c>
    </row>
    <row r="10" spans="2:12" ht="46.5" customHeight="1" thickBot="1" x14ac:dyDescent="0.35">
      <c r="C10" s="1442"/>
      <c r="D10" s="1442"/>
      <c r="E10" s="1442"/>
      <c r="F10" s="1442"/>
      <c r="G10" s="1442"/>
      <c r="H10" s="1442"/>
      <c r="I10" s="1442"/>
      <c r="J10" s="1442"/>
      <c r="L10" s="1442"/>
    </row>
    <row r="11" spans="2:12" ht="15" thickBot="1" x14ac:dyDescent="0.35">
      <c r="C11" s="1333" t="str">
        <f>'Event Details'!$D22</f>
        <v>S</v>
      </c>
      <c r="D11" s="1333" t="str">
        <f>'Event Details'!$D23</f>
        <v>U</v>
      </c>
      <c r="E11" s="1333" t="str">
        <f>'Event Details'!$D24</f>
        <v>G</v>
      </c>
      <c r="F11" s="1333" t="str">
        <f>'Event Details'!$D25</f>
        <v>R</v>
      </c>
      <c r="G11" s="1333" t="str">
        <f>'Event Details'!$D26</f>
        <v>M</v>
      </c>
      <c r="H11" s="1333" t="str">
        <f>'Event Details'!$D27</f>
        <v>D</v>
      </c>
      <c r="I11" s="1333" t="str">
        <f>'Event Details'!$D28</f>
        <v>F</v>
      </c>
      <c r="J11" s="1333" t="str">
        <f>'Event Details'!$D29</f>
        <v>Y</v>
      </c>
      <c r="L11" s="1333"/>
    </row>
    <row r="12" spans="2:12" x14ac:dyDescent="0.3">
      <c r="C12" s="4"/>
      <c r="D12" s="669"/>
      <c r="E12" s="48"/>
      <c r="F12" s="669"/>
      <c r="G12" s="48"/>
      <c r="H12" s="669"/>
      <c r="I12" s="669"/>
      <c r="J12" s="50"/>
      <c r="L12" s="669"/>
    </row>
    <row r="13" spans="2:12" x14ac:dyDescent="0.3">
      <c r="B13" s="55" t="s">
        <v>357</v>
      </c>
      <c r="C13" s="306">
        <v>2</v>
      </c>
      <c r="D13" s="306">
        <v>2</v>
      </c>
      <c r="E13" s="306"/>
      <c r="F13" s="306">
        <v>2</v>
      </c>
      <c r="G13" s="306">
        <v>2</v>
      </c>
      <c r="H13" s="306">
        <v>2</v>
      </c>
      <c r="I13" s="306">
        <v>2</v>
      </c>
      <c r="J13" s="506">
        <v>2</v>
      </c>
      <c r="L13" s="506">
        <v>2</v>
      </c>
    </row>
    <row r="14" spans="2:12" x14ac:dyDescent="0.3">
      <c r="B14" s="55" t="s">
        <v>358</v>
      </c>
      <c r="C14" s="306">
        <v>2</v>
      </c>
      <c r="D14" s="306">
        <v>2</v>
      </c>
      <c r="E14" s="306">
        <v>2</v>
      </c>
      <c r="F14" s="306">
        <v>2</v>
      </c>
      <c r="G14" s="306">
        <v>2</v>
      </c>
      <c r="H14" s="306">
        <v>2</v>
      </c>
      <c r="I14" s="306">
        <v>2</v>
      </c>
      <c r="J14" s="506">
        <v>2</v>
      </c>
      <c r="L14" s="506">
        <v>2</v>
      </c>
    </row>
    <row r="15" spans="2:12" x14ac:dyDescent="0.3">
      <c r="B15" s="55" t="s">
        <v>359</v>
      </c>
      <c r="C15" s="306">
        <v>2</v>
      </c>
      <c r="D15" s="306">
        <v>2</v>
      </c>
      <c r="E15" s="306">
        <v>2</v>
      </c>
      <c r="F15" s="306">
        <v>2</v>
      </c>
      <c r="G15" s="306">
        <v>2</v>
      </c>
      <c r="H15" s="306">
        <v>2</v>
      </c>
      <c r="I15" s="306">
        <v>2</v>
      </c>
      <c r="J15" s="506">
        <v>2</v>
      </c>
      <c r="L15" s="506">
        <v>2</v>
      </c>
    </row>
    <row r="16" spans="2:12" x14ac:dyDescent="0.3">
      <c r="B16" s="55" t="s">
        <v>360</v>
      </c>
      <c r="C16" s="306">
        <v>2</v>
      </c>
      <c r="D16" s="306">
        <v>2</v>
      </c>
      <c r="E16" s="306">
        <v>2</v>
      </c>
      <c r="F16" s="306">
        <v>2</v>
      </c>
      <c r="G16" s="306">
        <v>2</v>
      </c>
      <c r="H16" s="306">
        <v>2</v>
      </c>
      <c r="I16" s="306">
        <v>2</v>
      </c>
      <c r="J16" s="506">
        <v>2</v>
      </c>
      <c r="L16" s="506">
        <v>2</v>
      </c>
    </row>
    <row r="17" spans="2:12" x14ac:dyDescent="0.3">
      <c r="B17" s="55" t="s">
        <v>361</v>
      </c>
      <c r="C17" s="306">
        <v>2</v>
      </c>
      <c r="D17" s="306">
        <v>2</v>
      </c>
      <c r="E17" s="306">
        <v>2</v>
      </c>
      <c r="F17" s="306">
        <v>2</v>
      </c>
      <c r="G17" s="306">
        <v>2</v>
      </c>
      <c r="H17" s="306">
        <v>2</v>
      </c>
      <c r="I17" s="306">
        <v>2</v>
      </c>
      <c r="J17" s="506">
        <v>2</v>
      </c>
      <c r="L17" s="506">
        <v>2</v>
      </c>
    </row>
    <row r="18" spans="2:12" x14ac:dyDescent="0.3">
      <c r="B18" s="868" t="s">
        <v>362</v>
      </c>
      <c r="C18" s="306">
        <v>4</v>
      </c>
      <c r="D18" s="306">
        <v>4</v>
      </c>
      <c r="E18" s="306">
        <v>4</v>
      </c>
      <c r="F18" s="306">
        <v>4</v>
      </c>
      <c r="G18" s="306">
        <v>4</v>
      </c>
      <c r="H18" s="306">
        <v>4</v>
      </c>
      <c r="I18" s="306">
        <v>4</v>
      </c>
      <c r="J18" s="506">
        <v>4</v>
      </c>
      <c r="L18" s="506">
        <v>4</v>
      </c>
    </row>
    <row r="19" spans="2:12" x14ac:dyDescent="0.3">
      <c r="B19" s="55"/>
      <c r="C19" s="16"/>
      <c r="D19" s="417"/>
      <c r="E19" s="32"/>
      <c r="F19" s="417"/>
      <c r="G19" s="32"/>
      <c r="H19" s="417"/>
      <c r="I19" s="417"/>
      <c r="J19" s="146"/>
      <c r="L19" s="417"/>
    </row>
    <row r="20" spans="2:12" ht="15" thickBot="1" x14ac:dyDescent="0.35">
      <c r="B20" s="55" t="s">
        <v>78</v>
      </c>
      <c r="C20" s="869">
        <f>SUM(C13:C19)</f>
        <v>14</v>
      </c>
      <c r="D20" s="870">
        <f t="shared" ref="D20:J20" si="0">SUM(D13:D19)</f>
        <v>14</v>
      </c>
      <c r="E20" s="871">
        <f t="shared" si="0"/>
        <v>12</v>
      </c>
      <c r="F20" s="870">
        <f t="shared" si="0"/>
        <v>14</v>
      </c>
      <c r="G20" s="871">
        <f t="shared" si="0"/>
        <v>14</v>
      </c>
      <c r="H20" s="870">
        <f t="shared" si="0"/>
        <v>14</v>
      </c>
      <c r="I20" s="870">
        <f t="shared" si="0"/>
        <v>14</v>
      </c>
      <c r="J20" s="872">
        <f t="shared" si="0"/>
        <v>14</v>
      </c>
      <c r="L20" s="870">
        <f>SUM(L13:L19)</f>
        <v>14</v>
      </c>
    </row>
    <row r="21" spans="2:12" ht="15.6" thickTop="1" thickBot="1" x14ac:dyDescent="0.35">
      <c r="C21" s="114"/>
      <c r="D21" s="503"/>
      <c r="E21" s="115"/>
      <c r="F21" s="503"/>
      <c r="G21" s="115"/>
      <c r="H21" s="503"/>
      <c r="I21" s="503"/>
      <c r="J21" s="117"/>
      <c r="L21" s="503"/>
    </row>
    <row r="23" spans="2:12" x14ac:dyDescent="0.3">
      <c r="B23" s="873" t="s">
        <v>247</v>
      </c>
    </row>
    <row r="24" spans="2:12" x14ac:dyDescent="0.3">
      <c r="B24" s="874" t="s">
        <v>363</v>
      </c>
    </row>
    <row r="25" spans="2:12" x14ac:dyDescent="0.3">
      <c r="B25" s="451" t="s">
        <v>364</v>
      </c>
    </row>
    <row r="26" spans="2:12" ht="19.5" customHeight="1" x14ac:dyDescent="0.3">
      <c r="B26" s="874" t="s">
        <v>365</v>
      </c>
    </row>
    <row r="29" spans="2:12" x14ac:dyDescent="0.3">
      <c r="B29" s="873" t="s">
        <v>366</v>
      </c>
    </row>
    <row r="31" spans="2:12" x14ac:dyDescent="0.3">
      <c r="B31" s="228" t="s">
        <v>367</v>
      </c>
      <c r="D31" s="875" t="s">
        <v>368</v>
      </c>
      <c r="E31">
        <v>10</v>
      </c>
    </row>
    <row r="32" spans="2:12" x14ac:dyDescent="0.3">
      <c r="B32" s="228" t="s">
        <v>369</v>
      </c>
      <c r="D32" s="228" t="s">
        <v>370</v>
      </c>
      <c r="E32" s="876">
        <v>4</v>
      </c>
    </row>
    <row r="33" spans="2:6" x14ac:dyDescent="0.3">
      <c r="B33" s="228" t="s">
        <v>78</v>
      </c>
      <c r="E33">
        <v>14</v>
      </c>
    </row>
    <row r="34" spans="2:6" x14ac:dyDescent="0.3">
      <c r="B34" s="228" t="s">
        <v>371</v>
      </c>
      <c r="E34">
        <v>6</v>
      </c>
      <c r="F34" s="228" t="s">
        <v>372</v>
      </c>
    </row>
    <row r="35" spans="2:6" ht="15" thickBot="1" x14ac:dyDescent="0.35">
      <c r="B35" s="228" t="s">
        <v>373</v>
      </c>
      <c r="E35" s="877">
        <v>84</v>
      </c>
    </row>
  </sheetData>
  <sheetProtection sheet="1" objects="1" scenarios="1"/>
  <mergeCells count="9">
    <mergeCell ref="I9:I10"/>
    <mergeCell ref="J9:J10"/>
    <mergeCell ref="L9:L10"/>
    <mergeCell ref="C9:C10"/>
    <mergeCell ref="D9:D10"/>
    <mergeCell ref="E9:E10"/>
    <mergeCell ref="F9:F10"/>
    <mergeCell ref="G9:G10"/>
    <mergeCell ref="H9:H10"/>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C40EE-F44B-4964-8D8C-CB75380D4375}">
  <sheetPr codeName="Sheet11">
    <pageSetUpPr fitToPage="1"/>
  </sheetPr>
  <dimension ref="A1:X92"/>
  <sheetViews>
    <sheetView topLeftCell="C1" zoomScale="90" zoomScaleNormal="90" workbookViewId="0">
      <selection activeCell="D81" sqref="D81:D91"/>
    </sheetView>
  </sheetViews>
  <sheetFormatPr defaultRowHeight="14.4" x14ac:dyDescent="0.3"/>
  <cols>
    <col min="6" max="6" width="22.109375" customWidth="1"/>
    <col min="8" max="8" width="15.44140625" customWidth="1"/>
    <col min="9" max="9" width="6.44140625" customWidth="1"/>
    <col min="10" max="10" width="17.88671875" customWidth="1"/>
    <col min="11" max="11" width="9.5546875" customWidth="1"/>
    <col min="22" max="22" width="5.5546875" style="32" customWidth="1"/>
    <col min="23" max="23" width="19.44140625" bestFit="1" customWidth="1"/>
    <col min="24" max="24" width="7.6640625" style="32" customWidth="1"/>
  </cols>
  <sheetData>
    <row r="1" spans="1:24" x14ac:dyDescent="0.3">
      <c r="H1">
        <v>16</v>
      </c>
      <c r="I1">
        <v>13</v>
      </c>
      <c r="K1" s="118">
        <v>14</v>
      </c>
      <c r="L1" s="118">
        <v>14</v>
      </c>
      <c r="O1" s="994"/>
      <c r="P1" s="660"/>
      <c r="Q1" s="660"/>
      <c r="R1" s="660"/>
      <c r="S1" s="660"/>
      <c r="T1" s="995"/>
    </row>
    <row r="2" spans="1:24" ht="21.6" thickBot="1" x14ac:dyDescent="0.45">
      <c r="G2" s="933"/>
      <c r="H2" s="933" t="s">
        <v>35</v>
      </c>
      <c r="K2" s="118"/>
      <c r="L2" s="118"/>
      <c r="O2" s="660"/>
      <c r="P2" s="660"/>
      <c r="Q2" s="660"/>
      <c r="R2" s="660"/>
      <c r="S2" s="660"/>
      <c r="T2" s="660"/>
    </row>
    <row r="3" spans="1:24" ht="24.75" customHeight="1" x14ac:dyDescent="0.3">
      <c r="F3" s="1014" t="s">
        <v>64</v>
      </c>
      <c r="G3" s="1014">
        <f>'Event Details'!E9</f>
        <v>1</v>
      </c>
      <c r="H3" s="56"/>
      <c r="I3" s="458"/>
      <c r="J3" s="1013" t="s">
        <v>67</v>
      </c>
      <c r="K3" s="750" t="str">
        <f>'Event Details'!E17</f>
        <v>Bruce williams Way</v>
      </c>
      <c r="L3" s="118"/>
      <c r="M3" s="461"/>
      <c r="N3" s="934" t="s">
        <v>66</v>
      </c>
      <c r="O3" s="935" t="str">
        <f>'Event Details'!C17</f>
        <v>17th May 2026</v>
      </c>
      <c r="P3" s="660"/>
      <c r="Q3" s="462"/>
      <c r="R3" s="660"/>
      <c r="S3" s="463"/>
      <c r="T3" s="459"/>
      <c r="V3" s="1015" t="s">
        <v>253</v>
      </c>
      <c r="W3" s="48"/>
      <c r="X3" s="138"/>
    </row>
    <row r="4" spans="1:24" ht="15" thickBot="1" x14ac:dyDescent="0.35">
      <c r="K4" s="118"/>
      <c r="L4" s="118"/>
      <c r="O4" s="660"/>
      <c r="P4" s="660"/>
      <c r="Q4" s="660"/>
      <c r="R4" s="660"/>
      <c r="S4" s="660"/>
      <c r="T4" s="660"/>
      <c r="V4" s="16" t="str">
        <f>'Event Details'!D22</f>
        <v>S</v>
      </c>
      <c r="W4" t="str">
        <f>'Event Details'!E22</f>
        <v>BRAT</v>
      </c>
      <c r="X4" s="146">
        <v>7</v>
      </c>
    </row>
    <row r="5" spans="1:24" x14ac:dyDescent="0.3">
      <c r="C5" s="936"/>
      <c r="D5" s="123" t="s">
        <v>165</v>
      </c>
      <c r="E5" s="124"/>
      <c r="F5" s="126"/>
      <c r="G5" s="937" t="s">
        <v>374</v>
      </c>
      <c r="H5" s="938" t="s">
        <v>75</v>
      </c>
      <c r="I5" s="1339" t="s">
        <v>86</v>
      </c>
      <c r="J5" s="1339" t="s">
        <v>86</v>
      </c>
      <c r="K5" s="939" t="s">
        <v>168</v>
      </c>
      <c r="L5" s="1339" t="s">
        <v>375</v>
      </c>
      <c r="M5" s="1339" t="s">
        <v>168</v>
      </c>
      <c r="N5" s="1339" t="s">
        <v>374</v>
      </c>
      <c r="O5" s="1340" t="s">
        <v>376</v>
      </c>
      <c r="P5" s="1443" t="s">
        <v>374</v>
      </c>
      <c r="Q5" s="1443"/>
      <c r="R5" s="1443"/>
      <c r="S5" s="1444"/>
      <c r="T5" s="940"/>
      <c r="V5" s="16" t="str">
        <f>'Event Details'!D23</f>
        <v>U</v>
      </c>
      <c r="W5" t="str">
        <f>'Event Details'!E23</f>
        <v>Kidder &amp; Stourport</v>
      </c>
      <c r="X5" s="146">
        <v>12</v>
      </c>
    </row>
    <row r="6" spans="1:24" ht="15" thickBot="1" x14ac:dyDescent="0.35">
      <c r="C6" s="941" t="s">
        <v>377</v>
      </c>
      <c r="D6" s="131" t="s">
        <v>167</v>
      </c>
      <c r="E6" s="133" t="s">
        <v>168</v>
      </c>
      <c r="F6" s="132" t="s">
        <v>165</v>
      </c>
      <c r="G6" s="942"/>
      <c r="H6" s="943"/>
      <c r="I6" s="944" t="s">
        <v>71</v>
      </c>
      <c r="J6" s="944"/>
      <c r="K6" s="945"/>
      <c r="L6" s="945" t="s">
        <v>378</v>
      </c>
      <c r="M6" s="946" t="s">
        <v>379</v>
      </c>
      <c r="N6" s="944"/>
      <c r="O6" s="947"/>
      <c r="P6" s="946">
        <v>1</v>
      </c>
      <c r="Q6" s="946">
        <v>2</v>
      </c>
      <c r="R6" s="946">
        <v>3</v>
      </c>
      <c r="S6" s="948">
        <v>4</v>
      </c>
      <c r="T6" s="947" t="s">
        <v>380</v>
      </c>
      <c r="V6" s="16" t="str">
        <f>'Event Details'!D24</f>
        <v>G</v>
      </c>
      <c r="W6" t="str">
        <f>'Event Details'!E24</f>
        <v>Royal Sutton</v>
      </c>
      <c r="X6" s="146">
        <v>17</v>
      </c>
    </row>
    <row r="7" spans="1:24" x14ac:dyDescent="0.3">
      <c r="C7" s="51"/>
      <c r="D7" s="16"/>
      <c r="E7" s="32"/>
      <c r="F7" s="118"/>
      <c r="G7" s="949"/>
      <c r="I7" s="32"/>
      <c r="K7" s="118"/>
      <c r="L7" s="118"/>
      <c r="O7" s="950"/>
      <c r="P7" s="660"/>
      <c r="Q7" s="660"/>
      <c r="R7" s="660"/>
      <c r="S7" s="950"/>
      <c r="T7" s="951"/>
      <c r="V7" s="16" t="str">
        <f>'Event Details'!D25</f>
        <v>R</v>
      </c>
      <c r="W7" t="str">
        <f>'Event Details'!E25</f>
        <v>Rugby &amp; N'hampton</v>
      </c>
      <c r="X7" s="146">
        <v>22</v>
      </c>
    </row>
    <row r="8" spans="1:24" x14ac:dyDescent="0.3">
      <c r="C8" s="51"/>
      <c r="D8" s="166"/>
      <c r="E8" s="161"/>
      <c r="F8" s="952"/>
      <c r="G8" s="953"/>
      <c r="H8" s="345"/>
      <c r="I8" s="342"/>
      <c r="J8" s="345"/>
      <c r="K8" s="354"/>
      <c r="L8" s="354"/>
      <c r="M8" s="345"/>
      <c r="N8" s="345"/>
      <c r="O8" s="954"/>
      <c r="P8" s="955"/>
      <c r="Q8" s="956"/>
      <c r="R8" s="956"/>
      <c r="S8" s="954"/>
      <c r="T8" s="951"/>
      <c r="V8" s="16" t="str">
        <f>'Event Details'!D26</f>
        <v>M</v>
      </c>
      <c r="W8" t="str">
        <f>'Event Details'!E26</f>
        <v>Solihull &amp; S.Heath</v>
      </c>
      <c r="X8" s="146">
        <v>27</v>
      </c>
    </row>
    <row r="9" spans="1:24" x14ac:dyDescent="0.3">
      <c r="C9" s="51"/>
      <c r="D9" s="166"/>
      <c r="E9" s="161"/>
      <c r="F9" s="957" t="s">
        <v>455</v>
      </c>
      <c r="G9" s="958"/>
      <c r="H9" s="345"/>
      <c r="I9" s="342"/>
      <c r="J9" s="345"/>
      <c r="K9" s="354"/>
      <c r="L9" s="354"/>
      <c r="M9" s="345"/>
      <c r="N9" s="345"/>
      <c r="O9" s="954"/>
      <c r="P9" s="955"/>
      <c r="Q9" s="956"/>
      <c r="R9" s="956"/>
      <c r="S9" s="954"/>
      <c r="T9" s="951"/>
      <c r="V9" s="16" t="str">
        <f>'Event Details'!D27</f>
        <v>D</v>
      </c>
      <c r="W9" t="str">
        <f>'Event Details'!E27</f>
        <v>Stratford</v>
      </c>
      <c r="X9" s="146">
        <v>32</v>
      </c>
    </row>
    <row r="10" spans="1:24" x14ac:dyDescent="0.3">
      <c r="A10" s="875" t="s">
        <v>107</v>
      </c>
      <c r="B10" s="32">
        <f>(D10*10)+C10</f>
        <v>21</v>
      </c>
      <c r="C10" s="306">
        <v>1</v>
      </c>
      <c r="D10" s="922">
        <v>2</v>
      </c>
      <c r="E10" s="161">
        <f t="shared" ref="E10:E19" si="0">IF($D10&gt;0,VLOOKUP($D10,EventsOrder,2,FALSE)," ")</f>
        <v>11</v>
      </c>
      <c r="F10" s="959" t="str">
        <f t="shared" ref="F10:F19" si="1">IF($D10&gt;0,VLOOKUP($D10,EventsOrder,6,FALSE)," ")</f>
        <v xml:space="preserve">1500m </v>
      </c>
      <c r="G10" s="960">
        <f>IF(A10="T",IF(L10&lt;=P10,1,IF(L10&lt;=Q10,2,IF(L10&lt;=R10,3,IF(L10&lt;=S10,4,0)))),IF(L10&gt;=P10,1,IF(L10&gt;=Q10,2,IF(L10&gt;=R10,3,IF(L10&gt;=S10,4,0)))))</f>
        <v>1</v>
      </c>
      <c r="H10" s="345" t="str">
        <f t="shared" ref="H10:I19" si="2">VLOOKUP($B10,Athlete,H$1,FALSE)</f>
        <v>Freya Carty</v>
      </c>
      <c r="I10" s="342" t="str">
        <f t="shared" si="2"/>
        <v>R</v>
      </c>
      <c r="J10" s="345" t="str">
        <f t="shared" ref="J10" si="3">VLOOKUP(LEFT(I10,1),V$4:W$11,2,FALSE)</f>
        <v>Rugby &amp; N'hampton</v>
      </c>
      <c r="K10" s="354" t="str">
        <f t="shared" ref="K10:L19" si="4">VLOOKUP($B10,Athlete,K$1,FALSE)</f>
        <v>4.59.1</v>
      </c>
      <c r="L10" s="961">
        <f>(LEFT(K10,1)*60)+MID(K10,3,2)+((RIGHT(K10,2)/100))</f>
        <v>299.00099999999998</v>
      </c>
      <c r="M10" s="962" t="str">
        <f>IF(A10="T","Sec","Mtr")</f>
        <v>Sec</v>
      </c>
      <c r="N10" s="961">
        <f t="shared" ref="N10" si="5">IF(G10=0,S10,HLOOKUP(G10,P$6:S$48,T10))</f>
        <v>305</v>
      </c>
      <c r="O10" s="963">
        <f>IF(A10="T",(N10-L10)/N10,(L10-N10)/N10)</f>
        <v>1.9668852459016471E-2</v>
      </c>
      <c r="P10" s="964">
        <v>305</v>
      </c>
      <c r="Q10" s="965">
        <v>312</v>
      </c>
      <c r="R10" s="965">
        <v>322</v>
      </c>
      <c r="S10" s="966">
        <v>335</v>
      </c>
      <c r="T10" s="967">
        <v>5</v>
      </c>
      <c r="V10" s="16" t="str">
        <f>'Event Details'!D28</f>
        <v>F</v>
      </c>
      <c r="W10" t="str">
        <f>'Event Details'!E28</f>
        <v>Tamworth</v>
      </c>
      <c r="X10" s="146">
        <v>37</v>
      </c>
    </row>
    <row r="11" spans="1:24" ht="15" thickBot="1" x14ac:dyDescent="0.35">
      <c r="A11" s="875" t="s">
        <v>107</v>
      </c>
      <c r="B11" s="32">
        <f t="shared" ref="B11:B19" si="6">(D11*10)+C11</f>
        <v>81</v>
      </c>
      <c r="C11" s="306">
        <v>1</v>
      </c>
      <c r="D11" s="922">
        <v>8</v>
      </c>
      <c r="E11" s="161">
        <f t="shared" si="0"/>
        <v>11.3</v>
      </c>
      <c r="F11" s="959" t="str">
        <f t="shared" si="1"/>
        <v xml:space="preserve">75m hurdles </v>
      </c>
      <c r="G11" s="960">
        <f t="shared" ref="G11:G19" si="7">IF(A11="T",IF(L11&lt;=P11,1,IF(L11&lt;=Q11,2,IF(L11&lt;=R11,3,IF(L11&lt;=S11,4,0)))),IF(L11&gt;=P11,1,IF(L11&gt;=Q11,2,IF(L11&gt;=R11,3,IF(L11&gt;=S11,4,0)))))</f>
        <v>3</v>
      </c>
      <c r="H11" s="345" t="str">
        <f t="shared" si="2"/>
        <v>Taya Young</v>
      </c>
      <c r="I11" s="342" t="str">
        <f t="shared" si="2"/>
        <v>R</v>
      </c>
      <c r="J11" s="345" t="str">
        <f t="shared" ref="J11:J19" si="8">VLOOKUP(LEFT(I11,1),V$4:W$11,2,FALSE)</f>
        <v>Rugby &amp; N'hampton</v>
      </c>
      <c r="K11" s="354"/>
      <c r="L11" s="968">
        <f t="shared" si="4"/>
        <v>12.4</v>
      </c>
      <c r="M11" s="962" t="str">
        <f t="shared" ref="M11:M19" si="9">IF(A11="T","Sec","Mtr")</f>
        <v>Sec</v>
      </c>
      <c r="N11" s="961">
        <f t="shared" ref="N11:N19" si="10">IF(G11=0,S11,HLOOKUP(G11,P$6:S$48,T11))</f>
        <v>12.5</v>
      </c>
      <c r="O11" s="963">
        <f t="shared" ref="O11:O19" si="11">IF(A11="T",(N11-L11)/N11,(L11-N11)/N11)</f>
        <v>7.9999999999999724E-3</v>
      </c>
      <c r="P11" s="964">
        <v>11.9</v>
      </c>
      <c r="Q11" s="965">
        <v>12.2</v>
      </c>
      <c r="R11" s="965">
        <v>12.5</v>
      </c>
      <c r="S11" s="966">
        <v>13.3</v>
      </c>
      <c r="T11" s="967">
        <v>6</v>
      </c>
      <c r="V11" s="25" t="str">
        <f>'Event Details'!D29</f>
        <v>Y</v>
      </c>
      <c r="W11" s="115" t="str">
        <f>'Event Details'!E29</f>
        <v>Worcester</v>
      </c>
      <c r="X11" s="523">
        <v>42</v>
      </c>
    </row>
    <row r="12" spans="1:24" x14ac:dyDescent="0.3">
      <c r="A12" s="875" t="s">
        <v>107</v>
      </c>
      <c r="B12" s="32">
        <f t="shared" si="6"/>
        <v>251</v>
      </c>
      <c r="C12" s="306">
        <v>1</v>
      </c>
      <c r="D12" s="922">
        <v>25</v>
      </c>
      <c r="E12" s="161">
        <f t="shared" si="0"/>
        <v>12.4</v>
      </c>
      <c r="F12" s="959" t="str">
        <f t="shared" si="1"/>
        <v xml:space="preserve">800m </v>
      </c>
      <c r="G12" s="960">
        <f t="shared" si="7"/>
        <v>1</v>
      </c>
      <c r="H12" s="345" t="str">
        <f t="shared" si="2"/>
        <v>Violet French</v>
      </c>
      <c r="I12" s="342" t="str">
        <f t="shared" si="2"/>
        <v>R</v>
      </c>
      <c r="J12" s="345" t="str">
        <f t="shared" si="8"/>
        <v>Rugby &amp; N'hampton</v>
      </c>
      <c r="K12" s="354" t="str">
        <f t="shared" si="4"/>
        <v>2.27.8</v>
      </c>
      <c r="L12" s="961">
        <f t="shared" ref="L12" si="12">(LEFT(K12,1)*60)+MID(K12,3,2)+((RIGHT(K12,2)/100))</f>
        <v>147.00800000000001</v>
      </c>
      <c r="M12" s="962" t="str">
        <f t="shared" si="9"/>
        <v>Sec</v>
      </c>
      <c r="N12" s="961">
        <f t="shared" si="10"/>
        <v>148.5</v>
      </c>
      <c r="O12" s="963">
        <f t="shared" si="11"/>
        <v>1.0047138047137982E-2</v>
      </c>
      <c r="P12" s="964">
        <v>148.5</v>
      </c>
      <c r="Q12" s="965">
        <v>151.5</v>
      </c>
      <c r="R12" s="965">
        <v>155</v>
      </c>
      <c r="S12" s="966">
        <v>161.30000000000001</v>
      </c>
      <c r="T12" s="967">
        <v>7</v>
      </c>
    </row>
    <row r="13" spans="1:24" x14ac:dyDescent="0.3">
      <c r="A13" s="875" t="s">
        <v>136</v>
      </c>
      <c r="B13" s="32">
        <f t="shared" si="6"/>
        <v>291</v>
      </c>
      <c r="C13" s="306">
        <v>1</v>
      </c>
      <c r="D13" s="922">
        <v>29</v>
      </c>
      <c r="E13" s="161">
        <f t="shared" si="0"/>
        <v>1.3</v>
      </c>
      <c r="F13" s="959" t="str">
        <f t="shared" si="1"/>
        <v xml:space="preserve">High Jump </v>
      </c>
      <c r="G13" s="960">
        <f t="shared" si="7"/>
        <v>1</v>
      </c>
      <c r="H13" s="345" t="str">
        <f t="shared" si="2"/>
        <v>Martha Edwards</v>
      </c>
      <c r="I13" s="342" t="str">
        <f t="shared" si="2"/>
        <v>D</v>
      </c>
      <c r="J13" s="345" t="str">
        <f t="shared" si="8"/>
        <v>Stratford</v>
      </c>
      <c r="K13" s="354"/>
      <c r="L13" s="968">
        <f t="shared" si="4"/>
        <v>1.47</v>
      </c>
      <c r="M13" s="962" t="str">
        <f t="shared" si="9"/>
        <v>Mtr</v>
      </c>
      <c r="N13" s="961">
        <f t="shared" si="10"/>
        <v>1.4</v>
      </c>
      <c r="O13" s="963">
        <f t="shared" si="11"/>
        <v>5.0000000000000044E-2</v>
      </c>
      <c r="P13" s="964">
        <v>1.4</v>
      </c>
      <c r="Q13" s="965">
        <v>1.35</v>
      </c>
      <c r="R13" s="965">
        <v>1.3</v>
      </c>
      <c r="S13" s="966">
        <v>1.25</v>
      </c>
      <c r="T13" s="967">
        <v>8</v>
      </c>
    </row>
    <row r="14" spans="1:24" x14ac:dyDescent="0.3">
      <c r="A14" s="875" t="s">
        <v>136</v>
      </c>
      <c r="B14" s="32">
        <f t="shared" si="6"/>
        <v>361</v>
      </c>
      <c r="C14" s="306">
        <v>1</v>
      </c>
      <c r="D14" s="922">
        <v>36</v>
      </c>
      <c r="E14" s="161">
        <f t="shared" si="0"/>
        <v>1.5</v>
      </c>
      <c r="F14" s="959" t="str">
        <f t="shared" si="1"/>
        <v>Discus Match 2</v>
      </c>
      <c r="G14" s="960">
        <f t="shared" si="7"/>
        <v>0</v>
      </c>
      <c r="H14" s="345" t="str">
        <f t="shared" si="2"/>
        <v/>
      </c>
      <c r="I14" s="342">
        <f t="shared" si="2"/>
        <v>0</v>
      </c>
      <c r="J14" s="345" t="e">
        <f t="shared" si="8"/>
        <v>#N/A</v>
      </c>
      <c r="K14" s="354"/>
      <c r="L14" s="968">
        <f t="shared" si="4"/>
        <v>0</v>
      </c>
      <c r="M14" s="962" t="str">
        <f t="shared" si="9"/>
        <v>Mtr</v>
      </c>
      <c r="N14" s="961">
        <f t="shared" si="10"/>
        <v>15.2</v>
      </c>
      <c r="O14" s="963">
        <f t="shared" si="11"/>
        <v>-1</v>
      </c>
      <c r="P14" s="969">
        <v>23.1</v>
      </c>
      <c r="Q14" s="970">
        <v>20.7</v>
      </c>
      <c r="R14" s="970">
        <v>18.05</v>
      </c>
      <c r="S14" s="971">
        <v>15.2</v>
      </c>
      <c r="T14" s="967">
        <v>9</v>
      </c>
    </row>
    <row r="15" spans="1:24" x14ac:dyDescent="0.3">
      <c r="A15" s="875" t="s">
        <v>107</v>
      </c>
      <c r="B15" s="32">
        <f t="shared" si="6"/>
        <v>391</v>
      </c>
      <c r="C15" s="306">
        <v>1</v>
      </c>
      <c r="D15" s="922">
        <v>39</v>
      </c>
      <c r="E15" s="161">
        <f t="shared" si="0"/>
        <v>2.2000000000000002</v>
      </c>
      <c r="F15" s="959" t="str">
        <f t="shared" si="1"/>
        <v xml:space="preserve">100m </v>
      </c>
      <c r="G15" s="960">
        <f t="shared" si="7"/>
        <v>1</v>
      </c>
      <c r="H15" s="345" t="str">
        <f t="shared" si="2"/>
        <v>Pippa Richards</v>
      </c>
      <c r="I15" s="342" t="str">
        <f t="shared" si="2"/>
        <v>U</v>
      </c>
      <c r="J15" s="345" t="str">
        <f t="shared" si="8"/>
        <v>Kidder &amp; Stourport</v>
      </c>
      <c r="K15" s="354"/>
      <c r="L15" s="968">
        <f t="shared" si="4"/>
        <v>13.5</v>
      </c>
      <c r="M15" s="962" t="str">
        <f t="shared" si="9"/>
        <v>Sec</v>
      </c>
      <c r="N15" s="961">
        <f t="shared" si="10"/>
        <v>13.6</v>
      </c>
      <c r="O15" s="963">
        <f t="shared" si="11"/>
        <v>7.3529411764705621E-3</v>
      </c>
      <c r="P15" s="964">
        <v>13.6</v>
      </c>
      <c r="Q15" s="965">
        <v>13.8</v>
      </c>
      <c r="R15" s="965">
        <v>14.1</v>
      </c>
      <c r="S15" s="966">
        <v>14.5</v>
      </c>
      <c r="T15" s="967">
        <v>10</v>
      </c>
    </row>
    <row r="16" spans="1:24" x14ac:dyDescent="0.3">
      <c r="A16" s="875" t="s">
        <v>136</v>
      </c>
      <c r="B16" s="32">
        <f t="shared" si="6"/>
        <v>521</v>
      </c>
      <c r="C16" s="306">
        <v>1</v>
      </c>
      <c r="D16" s="922">
        <v>52</v>
      </c>
      <c r="E16" s="161">
        <f t="shared" si="0"/>
        <v>2.5</v>
      </c>
      <c r="F16" s="959" t="str">
        <f t="shared" si="1"/>
        <v>Long Jump Pit 1</v>
      </c>
      <c r="G16" s="960">
        <f t="shared" si="7"/>
        <v>4</v>
      </c>
      <c r="H16" s="345" t="str">
        <f t="shared" si="2"/>
        <v>Gracie Hodgkins</v>
      </c>
      <c r="I16" s="342" t="str">
        <f t="shared" si="2"/>
        <v>Y</v>
      </c>
      <c r="J16" s="345" t="str">
        <f t="shared" si="8"/>
        <v>Worcester</v>
      </c>
      <c r="K16" s="354"/>
      <c r="L16" s="968">
        <f t="shared" si="4"/>
        <v>4.1500000000000004</v>
      </c>
      <c r="M16" s="962" t="str">
        <f t="shared" si="9"/>
        <v>Mtr</v>
      </c>
      <c r="N16" s="961">
        <f t="shared" si="10"/>
        <v>3.95</v>
      </c>
      <c r="O16" s="963">
        <f t="shared" si="11"/>
        <v>5.0632911392405104E-2</v>
      </c>
      <c r="P16" s="964">
        <v>4.5</v>
      </c>
      <c r="Q16" s="965">
        <v>4.3499999999999996</v>
      </c>
      <c r="R16" s="965">
        <v>4.2</v>
      </c>
      <c r="S16" s="966">
        <v>3.95</v>
      </c>
      <c r="T16" s="967">
        <v>11</v>
      </c>
    </row>
    <row r="17" spans="1:20" x14ac:dyDescent="0.3">
      <c r="A17" s="875" t="s">
        <v>136</v>
      </c>
      <c r="B17" s="32">
        <f t="shared" si="6"/>
        <v>591</v>
      </c>
      <c r="C17" s="306">
        <v>1</v>
      </c>
      <c r="D17" s="922">
        <v>59</v>
      </c>
      <c r="E17" s="161">
        <f t="shared" si="0"/>
        <v>3.3</v>
      </c>
      <c r="F17" s="959" t="str">
        <f t="shared" si="1"/>
        <v xml:space="preserve">Shot </v>
      </c>
      <c r="G17" s="960">
        <f t="shared" si="7"/>
        <v>1</v>
      </c>
      <c r="H17" s="345" t="str">
        <f t="shared" si="2"/>
        <v>Taya Young</v>
      </c>
      <c r="I17" s="342" t="str">
        <f t="shared" si="2"/>
        <v>R</v>
      </c>
      <c r="J17" s="345" t="str">
        <f t="shared" si="8"/>
        <v>Rugby &amp; N'hampton</v>
      </c>
      <c r="K17" s="354"/>
      <c r="L17" s="968">
        <f t="shared" si="4"/>
        <v>9.25</v>
      </c>
      <c r="M17" s="962" t="str">
        <f t="shared" si="9"/>
        <v>Mtr</v>
      </c>
      <c r="N17" s="961">
        <f t="shared" si="10"/>
        <v>8.4499999999999993</v>
      </c>
      <c r="O17" s="963">
        <f t="shared" si="11"/>
        <v>9.4674556213017846E-2</v>
      </c>
      <c r="P17" s="964">
        <v>8.4499999999999993</v>
      </c>
      <c r="Q17" s="965">
        <v>7.9</v>
      </c>
      <c r="R17" s="965">
        <v>7.25</v>
      </c>
      <c r="S17" s="966">
        <v>6.55</v>
      </c>
      <c r="T17" s="967">
        <v>12</v>
      </c>
    </row>
    <row r="18" spans="1:20" x14ac:dyDescent="0.3">
      <c r="A18" s="875" t="s">
        <v>107</v>
      </c>
      <c r="B18" s="32">
        <f t="shared" si="6"/>
        <v>661</v>
      </c>
      <c r="C18" s="306">
        <v>1</v>
      </c>
      <c r="D18" s="922">
        <v>66</v>
      </c>
      <c r="E18" s="161">
        <f t="shared" si="0"/>
        <v>3.55</v>
      </c>
      <c r="F18" s="959" t="str">
        <f t="shared" si="1"/>
        <v xml:space="preserve">200m </v>
      </c>
      <c r="G18" s="960">
        <f t="shared" si="7"/>
        <v>1</v>
      </c>
      <c r="H18" s="345" t="str">
        <f t="shared" si="2"/>
        <v>Pippa Richards</v>
      </c>
      <c r="I18" s="342" t="str">
        <f t="shared" si="2"/>
        <v>U</v>
      </c>
      <c r="J18" s="345" t="str">
        <f t="shared" si="8"/>
        <v>Kidder &amp; Stourport</v>
      </c>
      <c r="K18" s="354"/>
      <c r="L18" s="968">
        <f t="shared" si="4"/>
        <v>28</v>
      </c>
      <c r="M18" s="962" t="str">
        <f t="shared" si="9"/>
        <v>Sec</v>
      </c>
      <c r="N18" s="961">
        <f t="shared" si="10"/>
        <v>28.4</v>
      </c>
      <c r="O18" s="963">
        <f t="shared" si="11"/>
        <v>1.4084507042253471E-2</v>
      </c>
      <c r="P18" s="964">
        <v>28.4</v>
      </c>
      <c r="Q18" s="965">
        <v>28.9</v>
      </c>
      <c r="R18" s="965">
        <v>29.5</v>
      </c>
      <c r="S18" s="966">
        <v>30.6</v>
      </c>
      <c r="T18" s="967">
        <v>13</v>
      </c>
    </row>
    <row r="19" spans="1:20" x14ac:dyDescent="0.3">
      <c r="A19" s="875" t="s">
        <v>136</v>
      </c>
      <c r="B19" s="32">
        <f t="shared" si="6"/>
        <v>751</v>
      </c>
      <c r="C19" s="306">
        <v>1</v>
      </c>
      <c r="D19" s="922">
        <v>75</v>
      </c>
      <c r="E19" s="161">
        <f t="shared" si="0"/>
        <v>4.2</v>
      </c>
      <c r="F19" s="959" t="str">
        <f t="shared" si="1"/>
        <v>Javelin Match 1 &amp; 3</v>
      </c>
      <c r="G19" s="960">
        <f t="shared" si="7"/>
        <v>1</v>
      </c>
      <c r="H19" s="345" t="str">
        <f t="shared" si="2"/>
        <v>Alice McIntosh</v>
      </c>
      <c r="I19" s="342" t="str">
        <f t="shared" si="2"/>
        <v>D</v>
      </c>
      <c r="J19" s="345" t="str">
        <f t="shared" si="8"/>
        <v>Stratford</v>
      </c>
      <c r="K19" s="354"/>
      <c r="L19" s="968">
        <f t="shared" si="4"/>
        <v>30.95</v>
      </c>
      <c r="M19" s="962" t="str">
        <f t="shared" si="9"/>
        <v>Mtr</v>
      </c>
      <c r="N19" s="961">
        <f t="shared" si="10"/>
        <v>24.75</v>
      </c>
      <c r="O19" s="963">
        <f t="shared" si="11"/>
        <v>0.25050505050505045</v>
      </c>
      <c r="P19" s="964">
        <v>24.75</v>
      </c>
      <c r="Q19" s="965">
        <v>21.85</v>
      </c>
      <c r="R19" s="965">
        <v>19.100000000000001</v>
      </c>
      <c r="S19" s="966">
        <v>15.2</v>
      </c>
      <c r="T19" s="967">
        <v>14</v>
      </c>
    </row>
    <row r="20" spans="1:20" x14ac:dyDescent="0.3">
      <c r="A20" s="875"/>
      <c r="B20" s="32"/>
      <c r="C20" s="16"/>
      <c r="D20" s="922"/>
      <c r="E20" s="161"/>
      <c r="F20" s="959"/>
      <c r="G20" s="354"/>
      <c r="H20" s="354"/>
      <c r="I20" s="354"/>
      <c r="J20" s="354"/>
      <c r="K20" s="961"/>
      <c r="L20" s="961"/>
      <c r="M20" s="962"/>
      <c r="N20" s="961"/>
      <c r="O20" s="963"/>
      <c r="P20" s="955"/>
      <c r="Q20" s="956"/>
      <c r="R20" s="956"/>
      <c r="S20" s="954"/>
      <c r="T20" s="967">
        <v>15</v>
      </c>
    </row>
    <row r="21" spans="1:20" x14ac:dyDescent="0.3">
      <c r="A21" s="875"/>
      <c r="B21" s="32"/>
      <c r="C21" s="16"/>
      <c r="D21" s="166"/>
      <c r="E21" s="161"/>
      <c r="F21" s="952"/>
      <c r="G21" s="354"/>
      <c r="H21" s="354"/>
      <c r="I21" s="354"/>
      <c r="J21" s="354"/>
      <c r="K21" s="354"/>
      <c r="L21" s="354"/>
      <c r="M21" s="345"/>
      <c r="N21" s="345"/>
      <c r="O21" s="974"/>
      <c r="P21" s="975"/>
      <c r="Q21" s="976"/>
      <c r="R21" s="976"/>
      <c r="S21" s="977"/>
      <c r="T21" s="967">
        <v>16</v>
      </c>
    </row>
    <row r="22" spans="1:20" x14ac:dyDescent="0.3">
      <c r="A22" s="875"/>
      <c r="B22" s="32"/>
      <c r="C22" s="16"/>
      <c r="D22" s="166"/>
      <c r="E22" s="161"/>
      <c r="F22" s="957" t="s">
        <v>456</v>
      </c>
      <c r="G22" s="354"/>
      <c r="H22" s="354"/>
      <c r="I22" s="354"/>
      <c r="J22" s="354"/>
      <c r="K22" s="354"/>
      <c r="L22" s="354"/>
      <c r="M22" s="345"/>
      <c r="N22" s="345"/>
      <c r="O22" s="974"/>
      <c r="P22" s="955"/>
      <c r="Q22" s="956"/>
      <c r="R22" s="956"/>
      <c r="S22" s="954"/>
      <c r="T22" s="967">
        <v>17</v>
      </c>
    </row>
    <row r="23" spans="1:20" x14ac:dyDescent="0.3">
      <c r="A23" s="875" t="s">
        <v>107</v>
      </c>
      <c r="B23" s="32">
        <f t="shared" ref="B23:B33" si="13">(D23*10)+C23</f>
        <v>31</v>
      </c>
      <c r="C23" s="306">
        <v>1</v>
      </c>
      <c r="D23" s="922">
        <v>3</v>
      </c>
      <c r="E23" s="161">
        <f t="shared" ref="E23:E33" si="14">IF($D23&gt;0,VLOOKUP($D23,EventsOrder,2,FALSE)," ")</f>
        <v>11.1</v>
      </c>
      <c r="F23" s="959" t="str">
        <f t="shared" ref="F23:F33" si="15">IF($D23&gt;0,VLOOKUP($D23,EventsOrder,6,FALSE)," ")</f>
        <v xml:space="preserve">1500m </v>
      </c>
      <c r="G23" s="960">
        <f>IF(A23="T",IF(L23&lt;=P23,1,IF(L23&lt;=Q23,2,IF(L23&lt;=R23,3,IF(L23&lt;=S23,4,0)))),IF(L23&gt;=P23,1,IF(L23&gt;=Q23,2,IF(L23&gt;=R23,3,IF(L23&gt;=S23,4,0)))))</f>
        <v>0</v>
      </c>
      <c r="H23" s="345" t="str">
        <f t="shared" ref="H23:I33" si="16">VLOOKUP($B23,Athlete,H$1,FALSE)</f>
        <v>Freya Armitage</v>
      </c>
      <c r="I23" s="342" t="str">
        <f t="shared" si="16"/>
        <v>F</v>
      </c>
      <c r="J23" s="345" t="str">
        <f t="shared" ref="J23:J33" si="17">VLOOKUP(LEFT(I23,1),V$4:W$11,2,FALSE)</f>
        <v>Tamworth</v>
      </c>
      <c r="K23" s="354" t="str">
        <f t="shared" ref="K23:L33" si="18">VLOOKUP($B23,Athlete,K$1,FALSE)</f>
        <v>5.18.7</v>
      </c>
      <c r="L23" s="961">
        <f>(LEFT(K23,1)*60)+MID(K23,3,2)+((RIGHT(K23,1)/10))</f>
        <v>318.7</v>
      </c>
      <c r="M23" s="962" t="str">
        <f>IF(A23="T","Sec","Mtr")</f>
        <v>Sec</v>
      </c>
      <c r="N23" s="961">
        <f t="shared" ref="N23:N33" si="19">IF(G23=0,S23,HLOOKUP(G23,P$6:S$48,T23))</f>
        <v>315</v>
      </c>
      <c r="O23" s="963">
        <f t="shared" ref="O23:O33" si="20">IF(A23="T",(N23-L23)/N23,(L23-N23)/N23)</f>
        <v>-1.1746031746031709E-2</v>
      </c>
      <c r="P23" s="955">
        <v>289.5</v>
      </c>
      <c r="Q23" s="956">
        <v>296</v>
      </c>
      <c r="R23" s="956">
        <v>302.5</v>
      </c>
      <c r="S23" s="954">
        <v>315</v>
      </c>
      <c r="T23" s="967">
        <v>18</v>
      </c>
    </row>
    <row r="24" spans="1:20" x14ac:dyDescent="0.3">
      <c r="A24" s="875" t="s">
        <v>107</v>
      </c>
      <c r="B24" s="32">
        <f t="shared" si="13"/>
        <v>101</v>
      </c>
      <c r="C24" s="306">
        <v>1</v>
      </c>
      <c r="D24" s="922">
        <v>10</v>
      </c>
      <c r="E24" s="161">
        <f t="shared" si="14"/>
        <v>11.5</v>
      </c>
      <c r="F24" s="959" t="str">
        <f t="shared" si="15"/>
        <v xml:space="preserve">80m hurdles </v>
      </c>
      <c r="G24" s="960">
        <f t="shared" ref="G24:G27" si="21">IF(A24="T",IF(L24&lt;=P24,1,IF(L24&lt;=Q24,2,IF(L24&lt;=R24,3,IF(L24&lt;=S24,4,0)))),IF(L24&gt;=P24,1,IF(L24&gt;=Q24,2,IF(L24&gt;=R24,3,IF(L24&gt;=S24,4,0)))))</f>
        <v>3</v>
      </c>
      <c r="H24" s="345" t="str">
        <f t="shared" si="16"/>
        <v>Harriett Carey</v>
      </c>
      <c r="I24" s="342" t="str">
        <f t="shared" si="16"/>
        <v>Y</v>
      </c>
      <c r="J24" s="345" t="str">
        <f t="shared" si="17"/>
        <v>Worcester</v>
      </c>
      <c r="K24" s="354"/>
      <c r="L24" s="968">
        <f t="shared" si="18"/>
        <v>12.5</v>
      </c>
      <c r="M24" s="962" t="str">
        <f t="shared" ref="M24:M27" si="22">IF(A24="T","Sec","Mtr")</f>
        <v>Sec</v>
      </c>
      <c r="N24" s="961">
        <f t="shared" si="19"/>
        <v>12.6</v>
      </c>
      <c r="O24" s="963">
        <f t="shared" si="20"/>
        <v>7.9365079365079083E-3</v>
      </c>
      <c r="P24" s="955">
        <v>11.9</v>
      </c>
      <c r="Q24" s="956">
        <v>12.2</v>
      </c>
      <c r="R24" s="956">
        <v>12.6</v>
      </c>
      <c r="S24" s="954">
        <v>13.4</v>
      </c>
      <c r="T24" s="967">
        <v>19</v>
      </c>
    </row>
    <row r="25" spans="1:20" x14ac:dyDescent="0.3">
      <c r="A25" s="875" t="s">
        <v>136</v>
      </c>
      <c r="B25" s="32">
        <f t="shared" si="13"/>
        <v>121</v>
      </c>
      <c r="C25" s="306">
        <v>1</v>
      </c>
      <c r="D25" s="922">
        <v>12</v>
      </c>
      <c r="E25" s="161">
        <f t="shared" si="14"/>
        <v>12.15</v>
      </c>
      <c r="F25" s="959" t="str">
        <f t="shared" si="15"/>
        <v>Discus Match 2</v>
      </c>
      <c r="G25" s="960">
        <f t="shared" si="21"/>
        <v>0</v>
      </c>
      <c r="H25" s="345" t="str">
        <f t="shared" si="16"/>
        <v/>
      </c>
      <c r="I25" s="342">
        <f t="shared" si="16"/>
        <v>0</v>
      </c>
      <c r="J25" s="345" t="e">
        <f t="shared" si="17"/>
        <v>#N/A</v>
      </c>
      <c r="K25" s="354"/>
      <c r="L25" s="968">
        <f t="shared" si="18"/>
        <v>0</v>
      </c>
      <c r="M25" s="962" t="str">
        <f t="shared" si="22"/>
        <v>Mtr</v>
      </c>
      <c r="N25" s="961">
        <f t="shared" si="19"/>
        <v>19.7</v>
      </c>
      <c r="O25" s="963">
        <f t="shared" si="20"/>
        <v>-1</v>
      </c>
      <c r="P25" s="955">
        <v>27.9</v>
      </c>
      <c r="Q25" s="956">
        <v>25.3</v>
      </c>
      <c r="R25" s="956">
        <v>22.95</v>
      </c>
      <c r="S25" s="954">
        <v>19.7</v>
      </c>
      <c r="T25" s="967">
        <v>20</v>
      </c>
    </row>
    <row r="26" spans="1:20" x14ac:dyDescent="0.3">
      <c r="A26" s="875" t="s">
        <v>136</v>
      </c>
      <c r="B26" s="32">
        <f t="shared" si="13"/>
        <v>171</v>
      </c>
      <c r="C26" s="306">
        <v>1</v>
      </c>
      <c r="D26" s="922">
        <v>17</v>
      </c>
      <c r="E26" s="161">
        <f t="shared" si="14"/>
        <v>12.3</v>
      </c>
      <c r="F26" s="959" t="str">
        <f t="shared" si="15"/>
        <v xml:space="preserve">High Jump </v>
      </c>
      <c r="G26" s="960">
        <f t="shared" si="21"/>
        <v>1</v>
      </c>
      <c r="H26" s="345" t="str">
        <f t="shared" si="16"/>
        <v>Annabel Stacey</v>
      </c>
      <c r="I26" s="342" t="str">
        <f t="shared" si="16"/>
        <v>D</v>
      </c>
      <c r="J26" s="345" t="str">
        <f t="shared" si="17"/>
        <v>Stratford</v>
      </c>
      <c r="K26" s="354"/>
      <c r="L26" s="968">
        <f t="shared" si="18"/>
        <v>1.59</v>
      </c>
      <c r="M26" s="962" t="str">
        <f t="shared" si="22"/>
        <v>Mtr</v>
      </c>
      <c r="N26" s="961">
        <f t="shared" si="19"/>
        <v>1.57</v>
      </c>
      <c r="O26" s="963">
        <f t="shared" si="20"/>
        <v>1.2738853503184724E-2</v>
      </c>
      <c r="P26" s="955">
        <v>1.57</v>
      </c>
      <c r="Q26" s="956">
        <v>1.54</v>
      </c>
      <c r="R26" s="956">
        <v>1.49</v>
      </c>
      <c r="S26" s="954">
        <v>1.41</v>
      </c>
      <c r="T26" s="967">
        <v>21</v>
      </c>
    </row>
    <row r="27" spans="1:20" x14ac:dyDescent="0.3">
      <c r="A27" s="875" t="s">
        <v>136</v>
      </c>
      <c r="B27" s="32">
        <f t="shared" si="13"/>
        <v>211</v>
      </c>
      <c r="C27" s="306">
        <v>1</v>
      </c>
      <c r="D27" s="922">
        <v>21</v>
      </c>
      <c r="E27" s="161">
        <f t="shared" si="14"/>
        <v>1</v>
      </c>
      <c r="F27" s="959" t="str">
        <f t="shared" si="15"/>
        <v>Long Jump Pit 2</v>
      </c>
      <c r="G27" s="960">
        <f t="shared" si="21"/>
        <v>2</v>
      </c>
      <c r="H27" s="345" t="str">
        <f t="shared" si="16"/>
        <v>Tamera Campbell</v>
      </c>
      <c r="I27" s="342" t="str">
        <f t="shared" si="16"/>
        <v>S</v>
      </c>
      <c r="J27" s="345" t="str">
        <f t="shared" si="17"/>
        <v>BRAT</v>
      </c>
      <c r="K27" s="354"/>
      <c r="L27" s="968">
        <f t="shared" si="18"/>
        <v>5.01</v>
      </c>
      <c r="M27" s="962" t="str">
        <f t="shared" si="22"/>
        <v>Mtr</v>
      </c>
      <c r="N27" s="961">
        <f t="shared" si="19"/>
        <v>4.9000000000000004</v>
      </c>
      <c r="O27" s="963">
        <f t="shared" si="20"/>
        <v>2.2448979591836619E-2</v>
      </c>
      <c r="P27" s="978">
        <v>5.05</v>
      </c>
      <c r="Q27" s="979">
        <v>4.9000000000000004</v>
      </c>
      <c r="R27" s="979">
        <v>4.7</v>
      </c>
      <c r="S27" s="980">
        <v>4.4800000000000004</v>
      </c>
      <c r="T27" s="967">
        <v>22</v>
      </c>
    </row>
    <row r="28" spans="1:20" x14ac:dyDescent="0.3">
      <c r="A28" s="875" t="s">
        <v>107</v>
      </c>
      <c r="B28" s="32">
        <f t="shared" si="13"/>
        <v>261</v>
      </c>
      <c r="C28" s="306">
        <v>1</v>
      </c>
      <c r="D28" s="922">
        <v>26</v>
      </c>
      <c r="E28" s="161">
        <f t="shared" si="14"/>
        <v>1</v>
      </c>
      <c r="F28" s="959" t="str">
        <f t="shared" si="15"/>
        <v xml:space="preserve">800m </v>
      </c>
      <c r="G28" s="960">
        <f>IF(A28="T",IF(L28&lt;=P28,1,IF(L28&lt;=Q28,2,IF(L28&lt;=R28,3,IF(L28&lt;=S28,4,0)))),IF(L28&gt;=P28,1,IF(L28&gt;=Q28,2,IF(L28&gt;=R28,3,IF(L28&gt;=S28,4,0)))))</f>
        <v>3</v>
      </c>
      <c r="H28" s="345" t="str">
        <f t="shared" si="16"/>
        <v>Orlagh Murphy</v>
      </c>
      <c r="I28" s="342" t="str">
        <f t="shared" si="16"/>
        <v>M</v>
      </c>
      <c r="J28" s="345" t="str">
        <f t="shared" si="17"/>
        <v>Solihull &amp; S.Heath</v>
      </c>
      <c r="K28" s="354" t="str">
        <f t="shared" si="18"/>
        <v>2.24.3</v>
      </c>
      <c r="L28" s="961">
        <f>(LEFT(K28,1)*60)+MID(K28,3,2)+((RIGHT(K28,1)/10))</f>
        <v>144.30000000000001</v>
      </c>
      <c r="M28" s="962" t="str">
        <f>IF(A28="T","Sec","Mtr")</f>
        <v>Sec</v>
      </c>
      <c r="N28" s="961">
        <f t="shared" si="19"/>
        <v>145.5</v>
      </c>
      <c r="O28" s="963">
        <f t="shared" si="20"/>
        <v>8.2474226804122933E-3</v>
      </c>
      <c r="P28" s="955">
        <v>139.9</v>
      </c>
      <c r="Q28" s="956">
        <v>142.5</v>
      </c>
      <c r="R28" s="956">
        <v>145.5</v>
      </c>
      <c r="S28" s="954">
        <v>150.6</v>
      </c>
      <c r="T28" s="967">
        <v>23</v>
      </c>
    </row>
    <row r="29" spans="1:20" x14ac:dyDescent="0.3">
      <c r="A29" s="875" t="s">
        <v>107</v>
      </c>
      <c r="B29" s="32">
        <f t="shared" si="13"/>
        <v>411</v>
      </c>
      <c r="C29" s="306">
        <v>1</v>
      </c>
      <c r="D29" s="922">
        <v>41</v>
      </c>
      <c r="E29" s="161">
        <f t="shared" si="14"/>
        <v>2.25</v>
      </c>
      <c r="F29" s="959" t="str">
        <f t="shared" si="15"/>
        <v xml:space="preserve">100m </v>
      </c>
      <c r="G29" s="960">
        <f t="shared" ref="G29:G33" si="23">IF(A29="T",IF(L29&lt;=P29,1,IF(L29&lt;=Q29,2,IF(L29&lt;=R29,3,IF(L29&lt;=S29,4,0)))),IF(L29&gt;=P29,1,IF(L29&gt;=Q29,2,IF(L29&gt;=R29,3,IF(L29&gt;=S29,4,0)))))</f>
        <v>1</v>
      </c>
      <c r="H29" s="345" t="str">
        <f t="shared" si="16"/>
        <v xml:space="preserve">Araya Williams </v>
      </c>
      <c r="I29" s="342" t="str">
        <f t="shared" si="16"/>
        <v>S</v>
      </c>
      <c r="J29" s="345" t="str">
        <f t="shared" si="17"/>
        <v>BRAT</v>
      </c>
      <c r="K29" s="354"/>
      <c r="L29" s="968">
        <f t="shared" si="18"/>
        <v>12.3</v>
      </c>
      <c r="M29" s="962" t="str">
        <f t="shared" ref="M29:M33" si="24">IF(A29="T","Sec","Mtr")</f>
        <v>Sec</v>
      </c>
      <c r="N29" s="961">
        <f t="shared" si="19"/>
        <v>12.7</v>
      </c>
      <c r="O29" s="963">
        <f t="shared" si="20"/>
        <v>3.1496062992125873E-2</v>
      </c>
      <c r="P29" s="955">
        <v>12.7</v>
      </c>
      <c r="Q29" s="956">
        <v>12.9</v>
      </c>
      <c r="R29" s="956">
        <v>13.2</v>
      </c>
      <c r="S29" s="954">
        <v>13.5</v>
      </c>
      <c r="T29" s="967">
        <v>24</v>
      </c>
    </row>
    <row r="30" spans="1:20" x14ac:dyDescent="0.3">
      <c r="A30" s="875" t="s">
        <v>136</v>
      </c>
      <c r="B30" s="32">
        <f t="shared" si="13"/>
        <v>491</v>
      </c>
      <c r="C30" s="306">
        <v>1</v>
      </c>
      <c r="D30" s="922">
        <v>49</v>
      </c>
      <c r="E30" s="161">
        <f t="shared" si="14"/>
        <v>2.4</v>
      </c>
      <c r="F30" s="959" t="str">
        <f t="shared" si="15"/>
        <v>Javelin Match 1 &amp; 3</v>
      </c>
      <c r="G30" s="960">
        <f t="shared" si="23"/>
        <v>2</v>
      </c>
      <c r="H30" s="345" t="str">
        <f t="shared" si="16"/>
        <v>Sophia Llewellyn</v>
      </c>
      <c r="I30" s="342" t="str">
        <f t="shared" si="16"/>
        <v>U</v>
      </c>
      <c r="J30" s="345" t="str">
        <f t="shared" si="17"/>
        <v>Kidder &amp; Stourport</v>
      </c>
      <c r="K30" s="354"/>
      <c r="L30" s="968">
        <f t="shared" si="18"/>
        <v>30.1</v>
      </c>
      <c r="M30" s="962" t="str">
        <f t="shared" si="24"/>
        <v>Mtr</v>
      </c>
      <c r="N30" s="961">
        <f t="shared" si="19"/>
        <v>29.9</v>
      </c>
      <c r="O30" s="963">
        <f t="shared" si="20"/>
        <v>6.6889632107024364E-3</v>
      </c>
      <c r="P30" s="955">
        <v>32.85</v>
      </c>
      <c r="Q30" s="956">
        <v>29.9</v>
      </c>
      <c r="R30" s="956">
        <v>26.75</v>
      </c>
      <c r="S30" s="954">
        <v>22.5</v>
      </c>
      <c r="T30" s="967">
        <v>25</v>
      </c>
    </row>
    <row r="31" spans="1:20" x14ac:dyDescent="0.3">
      <c r="A31" s="875" t="s">
        <v>107</v>
      </c>
      <c r="B31" s="32">
        <f t="shared" si="13"/>
        <v>631</v>
      </c>
      <c r="C31" s="306">
        <v>1</v>
      </c>
      <c r="D31" s="922">
        <v>63</v>
      </c>
      <c r="E31" s="161">
        <f t="shared" si="14"/>
        <v>1.4</v>
      </c>
      <c r="F31" s="959" t="str">
        <f t="shared" si="15"/>
        <v xml:space="preserve">300m </v>
      </c>
      <c r="G31" s="960">
        <f t="shared" si="23"/>
        <v>1</v>
      </c>
      <c r="H31" s="345" t="str">
        <f t="shared" si="16"/>
        <v>Rosa Farmer</v>
      </c>
      <c r="I31" s="342" t="str">
        <f t="shared" si="16"/>
        <v>F</v>
      </c>
      <c r="J31" s="345" t="str">
        <f t="shared" si="17"/>
        <v>Tamworth</v>
      </c>
      <c r="K31" s="354"/>
      <c r="L31" s="968">
        <f t="shared" si="18"/>
        <v>42.7</v>
      </c>
      <c r="M31" s="962" t="str">
        <f t="shared" si="24"/>
        <v>Sec</v>
      </c>
      <c r="N31" s="961">
        <f t="shared" si="19"/>
        <v>42.7</v>
      </c>
      <c r="O31" s="963">
        <f t="shared" si="20"/>
        <v>0</v>
      </c>
      <c r="P31" s="955">
        <v>42.7</v>
      </c>
      <c r="Q31" s="956">
        <v>43.3</v>
      </c>
      <c r="R31" s="956">
        <v>44.3</v>
      </c>
      <c r="S31" s="954">
        <v>45.7</v>
      </c>
      <c r="T31" s="967">
        <v>26</v>
      </c>
    </row>
    <row r="32" spans="1:20" x14ac:dyDescent="0.3">
      <c r="A32" s="875" t="s">
        <v>107</v>
      </c>
      <c r="B32" s="32">
        <f t="shared" si="13"/>
        <v>681</v>
      </c>
      <c r="C32" s="306">
        <v>1</v>
      </c>
      <c r="D32" s="922">
        <v>68</v>
      </c>
      <c r="E32" s="161">
        <f t="shared" si="14"/>
        <v>4.0999999999999996</v>
      </c>
      <c r="F32" s="959" t="str">
        <f t="shared" si="15"/>
        <v xml:space="preserve">200m </v>
      </c>
      <c r="G32" s="960">
        <f t="shared" si="23"/>
        <v>1</v>
      </c>
      <c r="H32" s="345" t="str">
        <f t="shared" si="16"/>
        <v xml:space="preserve">Araya Williams </v>
      </c>
      <c r="I32" s="342" t="str">
        <f t="shared" si="16"/>
        <v>S</v>
      </c>
      <c r="J32" s="345" t="str">
        <f t="shared" si="17"/>
        <v>BRAT</v>
      </c>
      <c r="K32" s="354"/>
      <c r="L32" s="968">
        <f t="shared" si="18"/>
        <v>25.7</v>
      </c>
      <c r="M32" s="962" t="str">
        <f t="shared" si="24"/>
        <v>Sec</v>
      </c>
      <c r="N32" s="961">
        <f t="shared" si="19"/>
        <v>26.3</v>
      </c>
      <c r="O32" s="963">
        <f t="shared" si="20"/>
        <v>2.2813688212927809E-2</v>
      </c>
      <c r="P32" s="955">
        <v>26.3</v>
      </c>
      <c r="Q32" s="956">
        <v>26.7</v>
      </c>
      <c r="R32" s="956">
        <v>27.2</v>
      </c>
      <c r="S32" s="954">
        <v>27.2</v>
      </c>
      <c r="T32" s="967">
        <v>27</v>
      </c>
    </row>
    <row r="33" spans="1:20" x14ac:dyDescent="0.3">
      <c r="A33" s="875" t="s">
        <v>136</v>
      </c>
      <c r="B33" s="32">
        <f t="shared" si="13"/>
        <v>731</v>
      </c>
      <c r="C33" s="306">
        <v>1</v>
      </c>
      <c r="D33" s="922">
        <v>73</v>
      </c>
      <c r="E33" s="161">
        <f t="shared" si="14"/>
        <v>4.2</v>
      </c>
      <c r="F33" s="959" t="str">
        <f t="shared" si="15"/>
        <v xml:space="preserve">Shot </v>
      </c>
      <c r="G33" s="960">
        <f t="shared" si="23"/>
        <v>4</v>
      </c>
      <c r="H33" s="345" t="str">
        <f t="shared" si="16"/>
        <v>Palia-Elsie Kalala</v>
      </c>
      <c r="I33" s="342" t="str">
        <f t="shared" si="16"/>
        <v>S</v>
      </c>
      <c r="J33" s="345" t="str">
        <f t="shared" si="17"/>
        <v>BRAT</v>
      </c>
      <c r="K33" s="354"/>
      <c r="L33" s="968">
        <f t="shared" si="18"/>
        <v>8.42</v>
      </c>
      <c r="M33" s="962" t="str">
        <f t="shared" si="24"/>
        <v>Mtr</v>
      </c>
      <c r="N33" s="961">
        <f t="shared" si="19"/>
        <v>7.95</v>
      </c>
      <c r="O33" s="963">
        <f t="shared" si="20"/>
        <v>5.9119496855345878E-2</v>
      </c>
      <c r="P33" s="955">
        <v>10.15</v>
      </c>
      <c r="Q33" s="956">
        <v>9.5</v>
      </c>
      <c r="R33" s="956">
        <v>8.85</v>
      </c>
      <c r="S33" s="954">
        <v>7.95</v>
      </c>
      <c r="T33" s="967">
        <v>28</v>
      </c>
    </row>
    <row r="34" spans="1:20" x14ac:dyDescent="0.3">
      <c r="A34" s="875"/>
      <c r="B34" s="32"/>
      <c r="C34" s="306"/>
      <c r="D34" s="166"/>
      <c r="E34" s="161"/>
      <c r="F34" s="952"/>
      <c r="G34" s="345"/>
      <c r="H34" s="345"/>
      <c r="I34" s="345"/>
      <c r="J34" s="345"/>
      <c r="K34" s="354"/>
      <c r="L34" s="354"/>
      <c r="M34" s="345"/>
      <c r="N34" s="972"/>
      <c r="O34" s="973"/>
      <c r="P34" s="955"/>
      <c r="Q34" s="956"/>
      <c r="R34" s="956"/>
      <c r="S34" s="954"/>
      <c r="T34" s="967">
        <v>29</v>
      </c>
    </row>
    <row r="35" spans="1:20" x14ac:dyDescent="0.3">
      <c r="A35" s="875"/>
      <c r="B35" s="32"/>
      <c r="C35" s="306"/>
      <c r="D35" s="166"/>
      <c r="E35" s="161"/>
      <c r="F35" s="957" t="s">
        <v>488</v>
      </c>
      <c r="G35" s="345"/>
      <c r="H35" s="345"/>
      <c r="I35" s="345"/>
      <c r="J35" s="345"/>
      <c r="K35" s="354"/>
      <c r="L35" s="354"/>
      <c r="M35" s="345"/>
      <c r="N35" s="345"/>
      <c r="O35" s="974"/>
      <c r="P35" s="955"/>
      <c r="Q35" s="956"/>
      <c r="R35" s="956"/>
      <c r="S35" s="954"/>
      <c r="T35" s="967">
        <v>30</v>
      </c>
    </row>
    <row r="36" spans="1:20" x14ac:dyDescent="0.3">
      <c r="A36" s="875" t="s">
        <v>107</v>
      </c>
      <c r="B36" s="32">
        <f t="shared" ref="B36:B46" si="25">(D36*10)+C36</f>
        <v>41</v>
      </c>
      <c r="C36" s="306">
        <v>1</v>
      </c>
      <c r="D36" s="922">
        <v>4</v>
      </c>
      <c r="E36" s="161">
        <f t="shared" ref="E36:E46" si="26">IF($D36&gt;0,VLOOKUP($D36,EventsOrder,2,FALSE)," ")</f>
        <v>11.2</v>
      </c>
      <c r="F36" s="959" t="str">
        <f t="shared" ref="F36:F46" si="27">IF($D36&gt;0,VLOOKUP($D36,EventsOrder,6,FALSE)," ")</f>
        <v xml:space="preserve">1500m (U18/U20) </v>
      </c>
      <c r="G36" s="960">
        <f t="shared" ref="G36:G46" si="28">IF(A36="T",IF(L36&lt;=P36,1,IF(L36&lt;=Q36,2,IF(L36&lt;=R36,3,IF(L36&lt;=S36,4,0)))),IF(L36&gt;=P36,1,IF(L36&gt;=Q36,2,IF(L36&gt;=R36,3,IF(L36&gt;=S36,4,0)))))</f>
        <v>0</v>
      </c>
      <c r="H36" s="345" t="str">
        <f t="shared" ref="H36:I46" si="29">VLOOKUP($B36,Athlete,H$1,FALSE)</f>
        <v>Marijke Tear-Verweij</v>
      </c>
      <c r="I36" s="342" t="str">
        <f t="shared" si="29"/>
        <v>D</v>
      </c>
      <c r="J36" s="345" t="str">
        <f t="shared" ref="J36:J39" si="30">VLOOKUP(LEFT(I36,1),V$4:W$11,2,FALSE)</f>
        <v>Stratford</v>
      </c>
      <c r="K36" s="354" t="str">
        <f t="shared" ref="K36:L46" si="31">VLOOKUP($B36,Athlete,K$1,FALSE)</f>
        <v>5.15.6</v>
      </c>
      <c r="L36" s="968">
        <f t="shared" ref="L36:L39" si="32">(LEFT(K36,1)*60)+MID(K36,3,2)+((RIGHT(K36,1)/10))</f>
        <v>315.60000000000002</v>
      </c>
      <c r="M36" s="345" t="str">
        <f t="shared" ref="M36:M46" si="33">IF(A36="T","Sec","Mtr")</f>
        <v>Sec</v>
      </c>
      <c r="N36" s="968">
        <f t="shared" ref="N36:N46" si="34">IF(G36=0,S36,HLOOKUP(G36,P$6:S$48,T36))</f>
        <v>304.3</v>
      </c>
      <c r="O36" s="963">
        <f t="shared" ref="O36:O46" si="35">IF(A36="T",(N36-L36)/N36,(L36-N36)/N36)</f>
        <v>-3.713440683535988E-2</v>
      </c>
      <c r="P36" s="981">
        <v>278</v>
      </c>
      <c r="Q36" s="982">
        <v>284</v>
      </c>
      <c r="R36" s="982">
        <v>292.3</v>
      </c>
      <c r="S36" s="983">
        <v>304.3</v>
      </c>
      <c r="T36" s="967">
        <v>31</v>
      </c>
    </row>
    <row r="37" spans="1:20" x14ac:dyDescent="0.3">
      <c r="A37" s="875" t="s">
        <v>136</v>
      </c>
      <c r="B37" s="32">
        <f t="shared" si="25"/>
        <v>131</v>
      </c>
      <c r="C37" s="306">
        <v>1</v>
      </c>
      <c r="D37" s="922">
        <v>13</v>
      </c>
      <c r="E37" s="161">
        <f t="shared" si="26"/>
        <v>12.15</v>
      </c>
      <c r="F37" s="959" t="str">
        <f t="shared" si="27"/>
        <v>Javelin (U18) Match 1 &amp; 3</v>
      </c>
      <c r="G37" s="960">
        <f t="shared" si="28"/>
        <v>4</v>
      </c>
      <c r="H37" s="345" t="str">
        <f t="shared" si="29"/>
        <v>Grace O'Malley</v>
      </c>
      <c r="I37" s="342" t="str">
        <f t="shared" si="29"/>
        <v>RR</v>
      </c>
      <c r="J37" s="345" t="str">
        <f t="shared" si="30"/>
        <v>Rugby &amp; N'hampton</v>
      </c>
      <c r="K37" s="354"/>
      <c r="L37" s="968">
        <f t="shared" si="31"/>
        <v>29.19</v>
      </c>
      <c r="M37" s="345" t="str">
        <f t="shared" si="33"/>
        <v>Mtr</v>
      </c>
      <c r="N37" s="968">
        <f t="shared" si="34"/>
        <v>28.4</v>
      </c>
      <c r="O37" s="963">
        <f t="shared" si="35"/>
        <v>2.7816901408450799E-2</v>
      </c>
      <c r="P37" s="955">
        <v>39.5</v>
      </c>
      <c r="Q37" s="956">
        <v>36.35</v>
      </c>
      <c r="R37" s="956">
        <v>33.049999999999997</v>
      </c>
      <c r="S37" s="954">
        <v>28.4</v>
      </c>
      <c r="T37" s="967">
        <v>32</v>
      </c>
    </row>
    <row r="38" spans="1:20" x14ac:dyDescent="0.3">
      <c r="A38" s="875" t="s">
        <v>107</v>
      </c>
      <c r="B38" s="32">
        <f t="shared" si="25"/>
        <v>191</v>
      </c>
      <c r="C38" s="306">
        <v>1</v>
      </c>
      <c r="D38" s="922">
        <v>19</v>
      </c>
      <c r="E38" s="161">
        <f t="shared" si="26"/>
        <v>12.3</v>
      </c>
      <c r="F38" s="959" t="str">
        <f t="shared" si="27"/>
        <v xml:space="preserve">100m hurdles (U18) </v>
      </c>
      <c r="G38" s="960">
        <f t="shared" si="28"/>
        <v>0</v>
      </c>
      <c r="H38" s="345" t="str">
        <f t="shared" si="29"/>
        <v>Darcie Nicholls</v>
      </c>
      <c r="I38" s="342" t="str">
        <f t="shared" si="29"/>
        <v>D</v>
      </c>
      <c r="J38" s="345" t="str">
        <f t="shared" si="30"/>
        <v>Stratford</v>
      </c>
      <c r="K38" s="354"/>
      <c r="L38" s="968">
        <f t="shared" si="31"/>
        <v>16.7</v>
      </c>
      <c r="M38" s="345" t="str">
        <f t="shared" si="33"/>
        <v>Sec</v>
      </c>
      <c r="N38" s="968">
        <f t="shared" si="34"/>
        <v>13.1</v>
      </c>
      <c r="O38" s="963">
        <f t="shared" si="35"/>
        <v>-0.27480916030534347</v>
      </c>
      <c r="P38" s="955">
        <v>11.8</v>
      </c>
      <c r="Q38" s="956">
        <v>12.1</v>
      </c>
      <c r="R38" s="956">
        <v>12.5</v>
      </c>
      <c r="S38" s="954">
        <v>13.1</v>
      </c>
      <c r="T38" s="967">
        <v>33</v>
      </c>
    </row>
    <row r="39" spans="1:20" x14ac:dyDescent="0.3">
      <c r="A39" s="875" t="s">
        <v>107</v>
      </c>
      <c r="B39" s="32">
        <f t="shared" si="25"/>
        <v>281</v>
      </c>
      <c r="C39" s="306">
        <v>1</v>
      </c>
      <c r="D39" s="922">
        <v>28</v>
      </c>
      <c r="E39" s="161">
        <f t="shared" si="26"/>
        <v>1.2</v>
      </c>
      <c r="F39" s="959" t="str">
        <f t="shared" si="27"/>
        <v xml:space="preserve">800m (U18/U20) </v>
      </c>
      <c r="G39" s="960">
        <f t="shared" si="28"/>
        <v>0</v>
      </c>
      <c r="H39" s="345" t="str">
        <f t="shared" si="29"/>
        <v>Ella Purves</v>
      </c>
      <c r="I39" s="342" t="str">
        <f t="shared" si="29"/>
        <v>Y</v>
      </c>
      <c r="J39" s="345" t="str">
        <f t="shared" si="30"/>
        <v>Worcester</v>
      </c>
      <c r="K39" s="354" t="str">
        <f t="shared" si="31"/>
        <v>2.28.3</v>
      </c>
      <c r="L39" s="968">
        <f t="shared" si="32"/>
        <v>148.30000000000001</v>
      </c>
      <c r="M39" s="345" t="str">
        <f t="shared" si="33"/>
        <v>Sec</v>
      </c>
      <c r="N39" s="968">
        <f t="shared" si="34"/>
        <v>146</v>
      </c>
      <c r="O39" s="963">
        <f t="shared" si="35"/>
        <v>-1.5753424657534324E-2</v>
      </c>
      <c r="P39" s="981">
        <v>134.5</v>
      </c>
      <c r="Q39" s="982">
        <v>137.5</v>
      </c>
      <c r="R39" s="982">
        <v>140.5</v>
      </c>
      <c r="S39" s="983">
        <v>146</v>
      </c>
      <c r="T39" s="967">
        <v>34</v>
      </c>
    </row>
    <row r="40" spans="1:20" x14ac:dyDescent="0.3">
      <c r="A40" s="875" t="s">
        <v>136</v>
      </c>
      <c r="B40" s="32">
        <f t="shared" si="25"/>
        <v>331</v>
      </c>
      <c r="C40" s="306">
        <v>1</v>
      </c>
      <c r="D40" s="922">
        <v>33</v>
      </c>
      <c r="E40" s="161">
        <f t="shared" si="26"/>
        <v>1.3</v>
      </c>
      <c r="F40" s="959" t="str">
        <f t="shared" si="27"/>
        <v xml:space="preserve">400m (U18/U20) </v>
      </c>
      <c r="G40" s="960">
        <f t="shared" si="28"/>
        <v>1</v>
      </c>
      <c r="H40" s="345" t="str">
        <f t="shared" si="29"/>
        <v>Ella Smith</v>
      </c>
      <c r="I40" s="342" t="str">
        <f t="shared" si="29"/>
        <v>D</v>
      </c>
      <c r="J40" s="345" t="str">
        <f>VLOOKUP(LEFT(I40,1),V$4:W$11,2,FALSE)</f>
        <v>Stratford</v>
      </c>
      <c r="K40" s="354"/>
      <c r="L40" s="968">
        <f t="shared" si="31"/>
        <v>62.7</v>
      </c>
      <c r="M40" s="345" t="str">
        <f t="shared" si="33"/>
        <v>Mtr</v>
      </c>
      <c r="N40" s="968">
        <f t="shared" si="34"/>
        <v>12.2</v>
      </c>
      <c r="O40" s="963">
        <f t="shared" si="35"/>
        <v>4.139344262295082</v>
      </c>
      <c r="P40" s="955">
        <v>12.2</v>
      </c>
      <c r="Q40" s="956">
        <v>11.3</v>
      </c>
      <c r="R40" s="956">
        <v>10.3</v>
      </c>
      <c r="S40" s="954">
        <v>9.15</v>
      </c>
      <c r="T40" s="967">
        <v>35</v>
      </c>
    </row>
    <row r="41" spans="1:20" x14ac:dyDescent="0.3">
      <c r="A41" s="875" t="s">
        <v>107</v>
      </c>
      <c r="B41" s="32">
        <f t="shared" si="25"/>
        <v>352</v>
      </c>
      <c r="C41" s="306">
        <v>2</v>
      </c>
      <c r="D41" s="922">
        <v>35</v>
      </c>
      <c r="E41" s="161">
        <f t="shared" si="26"/>
        <v>1.5</v>
      </c>
      <c r="F41" s="959" t="str">
        <f t="shared" si="27"/>
        <v xml:space="preserve">Shot (U18) </v>
      </c>
      <c r="G41" s="960">
        <f t="shared" si="28"/>
        <v>1</v>
      </c>
      <c r="H41" s="345" t="str">
        <f t="shared" si="29"/>
        <v>Grace O'Malley</v>
      </c>
      <c r="I41" s="342" t="str">
        <f t="shared" si="29"/>
        <v>R</v>
      </c>
      <c r="J41" s="345" t="str">
        <f t="shared" ref="J41:J46" si="36">VLOOKUP(LEFT(I41,1),V$4:W$11,2,FALSE)</f>
        <v>Rugby &amp; N'hampton</v>
      </c>
      <c r="K41" s="354"/>
      <c r="L41" s="1211">
        <f t="shared" si="31"/>
        <v>9.33</v>
      </c>
      <c r="M41" s="345" t="str">
        <f t="shared" si="33"/>
        <v>Sec</v>
      </c>
      <c r="N41" s="968">
        <f t="shared" si="34"/>
        <v>12.3</v>
      </c>
      <c r="O41" s="963">
        <f t="shared" si="35"/>
        <v>0.24146341463414639</v>
      </c>
      <c r="P41" s="955">
        <v>12.3</v>
      </c>
      <c r="Q41" s="956">
        <v>12.6</v>
      </c>
      <c r="R41" s="956">
        <v>12.8</v>
      </c>
      <c r="S41" s="954">
        <v>13.1</v>
      </c>
      <c r="T41" s="967">
        <v>36</v>
      </c>
    </row>
    <row r="42" spans="1:20" x14ac:dyDescent="0.3">
      <c r="A42" s="875" t="s">
        <v>136</v>
      </c>
      <c r="B42" s="32">
        <f t="shared" si="25"/>
        <v>421</v>
      </c>
      <c r="C42" s="306">
        <v>1</v>
      </c>
      <c r="D42" s="922">
        <v>42</v>
      </c>
      <c r="E42" s="161">
        <f t="shared" si="26"/>
        <v>2.2999999999999998</v>
      </c>
      <c r="F42" s="959" t="str">
        <f t="shared" si="27"/>
        <v xml:space="preserve">100m (U18/U20) </v>
      </c>
      <c r="G42" s="960">
        <f t="shared" si="28"/>
        <v>0</v>
      </c>
      <c r="H42" s="345" t="str">
        <f t="shared" si="29"/>
        <v>Lorelai Maxwell</v>
      </c>
      <c r="I42" s="342" t="str">
        <f t="shared" si="29"/>
        <v>F</v>
      </c>
      <c r="J42" s="345" t="str">
        <f t="shared" si="36"/>
        <v>Tamworth</v>
      </c>
      <c r="K42" s="354"/>
      <c r="L42" s="968">
        <f t="shared" si="31"/>
        <v>12.7</v>
      </c>
      <c r="M42" s="345" t="str">
        <f t="shared" si="33"/>
        <v>Mtr</v>
      </c>
      <c r="N42" s="968">
        <f t="shared" si="34"/>
        <v>23.5</v>
      </c>
      <c r="O42" s="963">
        <f t="shared" si="35"/>
        <v>-0.45957446808510644</v>
      </c>
      <c r="P42" s="955">
        <v>36</v>
      </c>
      <c r="Q42" s="956">
        <v>31.75</v>
      </c>
      <c r="R42" s="956">
        <v>27.9</v>
      </c>
      <c r="S42" s="954">
        <v>23.5</v>
      </c>
      <c r="T42" s="967">
        <v>37</v>
      </c>
    </row>
    <row r="43" spans="1:20" x14ac:dyDescent="0.3">
      <c r="A43" s="875" t="s">
        <v>136</v>
      </c>
      <c r="B43" s="32">
        <f t="shared" si="25"/>
        <v>481</v>
      </c>
      <c r="C43" s="306">
        <v>1</v>
      </c>
      <c r="D43" s="922">
        <v>48</v>
      </c>
      <c r="E43" s="161">
        <f t="shared" si="26"/>
        <v>2.4</v>
      </c>
      <c r="F43" s="959" t="str">
        <f t="shared" si="27"/>
        <v>Discus (U18) Match 2</v>
      </c>
      <c r="G43" s="960">
        <f t="shared" si="28"/>
        <v>0</v>
      </c>
      <c r="H43" s="345" t="str">
        <f t="shared" si="29"/>
        <v/>
      </c>
      <c r="I43" s="342">
        <f t="shared" si="29"/>
        <v>0</v>
      </c>
      <c r="J43" s="345" t="e">
        <f t="shared" si="36"/>
        <v>#N/A</v>
      </c>
      <c r="K43" s="354"/>
      <c r="L43" s="968">
        <f t="shared" si="31"/>
        <v>0</v>
      </c>
      <c r="M43" s="345" t="str">
        <f t="shared" si="33"/>
        <v>Mtr</v>
      </c>
      <c r="N43" s="961">
        <f t="shared" si="34"/>
        <v>1.5</v>
      </c>
      <c r="O43" s="963">
        <f t="shared" si="35"/>
        <v>-1</v>
      </c>
      <c r="P43" s="978">
        <v>1.65</v>
      </c>
      <c r="Q43" s="979">
        <v>1.6</v>
      </c>
      <c r="R43" s="979">
        <v>1.55</v>
      </c>
      <c r="S43" s="980">
        <v>1.5</v>
      </c>
      <c r="T43" s="967">
        <v>38</v>
      </c>
    </row>
    <row r="44" spans="1:20" x14ac:dyDescent="0.3">
      <c r="A44" s="875" t="s">
        <v>107</v>
      </c>
      <c r="B44" s="32">
        <f t="shared" si="25"/>
        <v>571</v>
      </c>
      <c r="C44" s="306">
        <v>1</v>
      </c>
      <c r="D44" s="922">
        <v>57</v>
      </c>
      <c r="E44" s="161">
        <f t="shared" si="26"/>
        <v>3.2</v>
      </c>
      <c r="F44" s="959" t="str">
        <f t="shared" si="27"/>
        <v xml:space="preserve">High Jump (U18/U20) </v>
      </c>
      <c r="G44" s="960">
        <f t="shared" si="28"/>
        <v>1</v>
      </c>
      <c r="H44" s="345" t="str">
        <f t="shared" si="29"/>
        <v>Jess Pym</v>
      </c>
      <c r="I44" s="342" t="str">
        <f t="shared" si="29"/>
        <v>M</v>
      </c>
      <c r="J44" s="345" t="str">
        <f t="shared" si="36"/>
        <v>Solihull &amp; S.Heath</v>
      </c>
      <c r="K44" s="354"/>
      <c r="L44" s="968">
        <f t="shared" si="31"/>
        <v>1.45</v>
      </c>
      <c r="M44" s="345" t="str">
        <f t="shared" si="33"/>
        <v>Sec</v>
      </c>
      <c r="N44" s="961">
        <f t="shared" si="34"/>
        <v>40.9</v>
      </c>
      <c r="O44" s="963">
        <f t="shared" si="35"/>
        <v>0.96454767726161361</v>
      </c>
      <c r="P44" s="978">
        <v>40.9</v>
      </c>
      <c r="Q44" s="979">
        <v>41.9</v>
      </c>
      <c r="R44" s="979">
        <v>42.9</v>
      </c>
      <c r="S44" s="980">
        <v>44.3</v>
      </c>
      <c r="T44" s="967">
        <v>39</v>
      </c>
    </row>
    <row r="45" spans="1:20" x14ac:dyDescent="0.3">
      <c r="A45" s="875" t="s">
        <v>136</v>
      </c>
      <c r="B45" s="32">
        <f t="shared" si="25"/>
        <v>671</v>
      </c>
      <c r="C45" s="306">
        <v>1</v>
      </c>
      <c r="D45" s="922">
        <v>67</v>
      </c>
      <c r="E45" s="161">
        <f t="shared" si="26"/>
        <v>4</v>
      </c>
      <c r="F45" s="959" t="str">
        <f t="shared" si="27"/>
        <v>Long Jump (U18/20) Pit1</v>
      </c>
      <c r="G45" s="960">
        <f t="shared" si="28"/>
        <v>1</v>
      </c>
      <c r="H45" s="345" t="str">
        <f t="shared" si="29"/>
        <v>Maia Collett</v>
      </c>
      <c r="I45" s="342" t="str">
        <f t="shared" si="29"/>
        <v>M</v>
      </c>
      <c r="J45" s="345" t="str">
        <f t="shared" si="36"/>
        <v>Solihull &amp; S.Heath</v>
      </c>
      <c r="K45" s="354"/>
      <c r="L45" s="968">
        <f t="shared" si="31"/>
        <v>4.4400000000000004</v>
      </c>
      <c r="M45" s="345" t="str">
        <f t="shared" si="33"/>
        <v>Mtr</v>
      </c>
      <c r="N45" s="968">
        <f t="shared" si="34"/>
        <v>1.65</v>
      </c>
      <c r="O45" s="963">
        <f t="shared" si="35"/>
        <v>1.6909090909090914</v>
      </c>
      <c r="P45" s="981">
        <v>1.65</v>
      </c>
      <c r="Q45" s="982">
        <v>1.6</v>
      </c>
      <c r="R45" s="982">
        <v>1.55</v>
      </c>
      <c r="S45" s="983">
        <v>1.5</v>
      </c>
      <c r="T45" s="967">
        <v>40</v>
      </c>
    </row>
    <row r="46" spans="1:20" x14ac:dyDescent="0.3">
      <c r="A46" s="875" t="s">
        <v>107</v>
      </c>
      <c r="B46" s="32">
        <f t="shared" si="25"/>
        <v>701</v>
      </c>
      <c r="C46" s="306">
        <v>1</v>
      </c>
      <c r="D46" s="922">
        <v>70</v>
      </c>
      <c r="E46" s="161">
        <f t="shared" si="26"/>
        <v>4.1500000000000004</v>
      </c>
      <c r="F46" s="959" t="str">
        <f t="shared" si="27"/>
        <v xml:space="preserve">200m (U18/U20) </v>
      </c>
      <c r="G46" s="960">
        <f t="shared" si="28"/>
        <v>3</v>
      </c>
      <c r="H46" s="345" t="str">
        <f t="shared" si="29"/>
        <v>Lorelai Maxwell</v>
      </c>
      <c r="I46" s="342" t="str">
        <f t="shared" si="29"/>
        <v>F</v>
      </c>
      <c r="J46" s="345" t="str">
        <f t="shared" si="36"/>
        <v>Tamworth</v>
      </c>
      <c r="K46" s="354"/>
      <c r="L46" s="968">
        <f t="shared" si="31"/>
        <v>26.3</v>
      </c>
      <c r="M46" s="345" t="str">
        <f t="shared" si="33"/>
        <v>Sec</v>
      </c>
      <c r="N46" s="961">
        <f t="shared" si="34"/>
        <v>26.4</v>
      </c>
      <c r="O46" s="963">
        <f t="shared" si="35"/>
        <v>3.7878787878787073E-3</v>
      </c>
      <c r="P46" s="978">
        <v>25.5</v>
      </c>
      <c r="Q46" s="979">
        <v>25.9</v>
      </c>
      <c r="R46" s="979">
        <v>26.4</v>
      </c>
      <c r="S46" s="980">
        <v>27</v>
      </c>
      <c r="T46" s="967">
        <v>41</v>
      </c>
    </row>
    <row r="47" spans="1:20" ht="15" thickBot="1" x14ac:dyDescent="0.35">
      <c r="C47" s="114"/>
      <c r="D47" s="1256"/>
      <c r="E47" s="984"/>
      <c r="F47" s="985"/>
      <c r="G47" s="986"/>
      <c r="H47" s="987"/>
      <c r="I47" s="987"/>
      <c r="J47" s="987"/>
      <c r="K47" s="374"/>
      <c r="L47" s="374"/>
      <c r="M47" s="987"/>
      <c r="N47" s="988"/>
      <c r="O47" s="989"/>
      <c r="P47" s="990"/>
      <c r="Q47" s="991"/>
      <c r="R47" s="991"/>
      <c r="S47" s="992"/>
      <c r="T47" s="993"/>
    </row>
    <row r="48" spans="1:20" x14ac:dyDescent="0.3">
      <c r="K48" s="118"/>
      <c r="L48" s="118"/>
      <c r="O48" s="994"/>
      <c r="P48" s="660"/>
      <c r="Q48" s="660"/>
      <c r="R48" s="660"/>
      <c r="S48" s="660"/>
      <c r="T48" s="995"/>
    </row>
    <row r="49" spans="1:20" x14ac:dyDescent="0.3">
      <c r="K49" s="118"/>
      <c r="L49" s="118"/>
      <c r="O49" s="994"/>
      <c r="P49" s="660"/>
      <c r="Q49" s="660"/>
      <c r="R49" s="660"/>
      <c r="S49" s="660"/>
      <c r="T49" s="995"/>
    </row>
    <row r="50" spans="1:20" ht="15" thickBot="1" x14ac:dyDescent="0.35">
      <c r="K50" s="118"/>
      <c r="L50" s="118"/>
      <c r="O50" s="994"/>
      <c r="P50" s="660"/>
      <c r="Q50" s="660"/>
      <c r="R50" s="660"/>
      <c r="S50" s="660"/>
      <c r="T50" s="995"/>
    </row>
    <row r="51" spans="1:20" x14ac:dyDescent="0.3">
      <c r="C51" s="936"/>
      <c r="D51" s="123" t="s">
        <v>165</v>
      </c>
      <c r="E51" s="124"/>
      <c r="F51" s="126"/>
      <c r="G51" s="937" t="s">
        <v>374</v>
      </c>
      <c r="H51" s="938" t="s">
        <v>75</v>
      </c>
      <c r="I51" s="1339" t="s">
        <v>86</v>
      </c>
      <c r="J51" s="1339" t="s">
        <v>86</v>
      </c>
      <c r="K51" s="939" t="s">
        <v>168</v>
      </c>
      <c r="L51" s="1339" t="s">
        <v>375</v>
      </c>
      <c r="M51" s="1339" t="s">
        <v>168</v>
      </c>
      <c r="N51" s="1339" t="s">
        <v>374</v>
      </c>
      <c r="O51" s="996" t="s">
        <v>381</v>
      </c>
      <c r="P51" s="1443" t="s">
        <v>374</v>
      </c>
      <c r="Q51" s="1443"/>
      <c r="R51" s="1443"/>
      <c r="S51" s="1444"/>
      <c r="T51" s="940"/>
    </row>
    <row r="52" spans="1:20" ht="15" thickBot="1" x14ac:dyDescent="0.35">
      <c r="C52" s="941" t="s">
        <v>377</v>
      </c>
      <c r="D52" s="131" t="s">
        <v>167</v>
      </c>
      <c r="E52" s="133" t="s">
        <v>168</v>
      </c>
      <c r="F52" s="132" t="s">
        <v>165</v>
      </c>
      <c r="G52" s="942"/>
      <c r="H52" s="943"/>
      <c r="I52" s="944" t="s">
        <v>71</v>
      </c>
      <c r="J52" s="944"/>
      <c r="K52" s="945"/>
      <c r="L52" s="945" t="s">
        <v>378</v>
      </c>
      <c r="M52" s="946" t="s">
        <v>379</v>
      </c>
      <c r="N52" s="944"/>
      <c r="O52" s="997"/>
      <c r="P52" s="998">
        <v>1</v>
      </c>
      <c r="Q52" s="998">
        <v>2</v>
      </c>
      <c r="R52" s="998">
        <v>3</v>
      </c>
      <c r="S52" s="999">
        <v>4</v>
      </c>
      <c r="T52" s="1000" t="s">
        <v>380</v>
      </c>
    </row>
    <row r="53" spans="1:20" x14ac:dyDescent="0.3">
      <c r="C53" s="51"/>
      <c r="D53" s="32"/>
      <c r="F53" s="118"/>
      <c r="G53" s="949"/>
      <c r="K53" s="118"/>
      <c r="L53" s="118"/>
      <c r="O53" s="1001"/>
      <c r="P53" s="1002"/>
      <c r="Q53" s="1002"/>
      <c r="R53" s="1002"/>
      <c r="S53" s="1003"/>
      <c r="T53" s="1004"/>
    </row>
    <row r="54" spans="1:20" x14ac:dyDescent="0.3">
      <c r="C54" s="51"/>
      <c r="D54" s="166"/>
      <c r="E54" s="161"/>
      <c r="F54" s="952"/>
      <c r="G54" s="953"/>
      <c r="H54" s="345"/>
      <c r="I54" s="345"/>
      <c r="J54" s="345"/>
      <c r="K54" s="354"/>
      <c r="L54" s="354"/>
      <c r="M54" s="345"/>
      <c r="N54" s="345"/>
      <c r="O54" s="974"/>
      <c r="P54" s="955"/>
      <c r="Q54" s="956"/>
      <c r="R54" s="956"/>
      <c r="S54" s="954"/>
      <c r="T54" s="967"/>
    </row>
    <row r="55" spans="1:20" x14ac:dyDescent="0.3">
      <c r="C55" s="51"/>
      <c r="D55" s="166"/>
      <c r="E55" s="161"/>
      <c r="F55" s="957" t="s">
        <v>459</v>
      </c>
      <c r="G55" s="958"/>
      <c r="H55" s="345"/>
      <c r="I55" s="345"/>
      <c r="J55" s="345"/>
      <c r="K55" s="354"/>
      <c r="L55" s="354"/>
      <c r="M55" s="345"/>
      <c r="N55" s="345"/>
      <c r="O55" s="974"/>
      <c r="P55" s="955"/>
      <c r="Q55" s="956"/>
      <c r="R55" s="956"/>
      <c r="S55" s="954"/>
      <c r="T55" s="967"/>
    </row>
    <row r="56" spans="1:20" x14ac:dyDescent="0.3">
      <c r="A56" s="875" t="s">
        <v>136</v>
      </c>
      <c r="B56" s="32">
        <f t="shared" ref="B56:B91" si="37">(D56*10)+C56</f>
        <v>11</v>
      </c>
      <c r="C56" s="306">
        <v>1</v>
      </c>
      <c r="D56" s="922">
        <v>1</v>
      </c>
      <c r="E56" s="161">
        <f t="shared" ref="E56:E65" si="38">IF($D56&gt;0,VLOOKUP($D56,EventsOrder,2,FALSE)," ")</f>
        <v>11.3</v>
      </c>
      <c r="F56" s="959" t="str">
        <f t="shared" ref="F56:F65" si="39">IF($D56&gt;0,VLOOKUP($D56,EventsOrder,6,FALSE)," ")</f>
        <v xml:space="preserve">High Jump </v>
      </c>
      <c r="G56" s="960">
        <f t="shared" ref="G56" si="40">IF(A56="T",IF(L56&lt;=P56,1,IF(L56&lt;=Q56,2,IF(L56&lt;=R56,3,IF(L56&lt;=S56,4,0)))),IF(L56&gt;=P56,1,IF(L56&gt;=Q56,2,IF(L56&gt;=R56,3,IF(L56&gt;=S56,4,0)))))</f>
        <v>1</v>
      </c>
      <c r="H56" s="345" t="str">
        <f t="shared" ref="H56:I65" si="41">VLOOKUP($B56,Athlete,H$1,FALSE)</f>
        <v xml:space="preserve">William Tse </v>
      </c>
      <c r="I56" s="342" t="str">
        <f t="shared" si="41"/>
        <v>S</v>
      </c>
      <c r="J56" s="345" t="str">
        <f t="shared" ref="J56:J65" si="42">VLOOKUP(LEFT(I56,1),V$4:W$11,2,FALSE)</f>
        <v>BRAT</v>
      </c>
      <c r="K56" s="354"/>
      <c r="L56" s="968">
        <f>VLOOKUP($B56,Athlete,L$1,FALSE)</f>
        <v>1.65</v>
      </c>
      <c r="M56" s="345" t="str">
        <f t="shared" ref="M56" si="43">IF(A56="T","Sec","Mtr")</f>
        <v>Mtr</v>
      </c>
      <c r="N56" s="961">
        <f>IF(G56=0,S56,HLOOKUP(G56,P$52:S$91,T56))</f>
        <v>1.47</v>
      </c>
      <c r="O56" s="963">
        <f t="shared" ref="O56:O65" si="44">IF(A56="T",(N56-L56)/N56,(L56-N56)/N56)</f>
        <v>0.12244897959183669</v>
      </c>
      <c r="P56" s="978">
        <v>1.47</v>
      </c>
      <c r="Q56" s="979">
        <v>1.41</v>
      </c>
      <c r="R56" s="979">
        <v>1.35</v>
      </c>
      <c r="S56" s="980">
        <v>1.3</v>
      </c>
      <c r="T56" s="967">
        <v>5</v>
      </c>
    </row>
    <row r="57" spans="1:20" x14ac:dyDescent="0.3">
      <c r="A57" s="875" t="s">
        <v>107</v>
      </c>
      <c r="B57" s="32">
        <f t="shared" si="37"/>
        <v>91</v>
      </c>
      <c r="C57" s="306">
        <v>1</v>
      </c>
      <c r="D57" s="922">
        <v>9</v>
      </c>
      <c r="E57" s="161">
        <f t="shared" si="38"/>
        <v>11.4</v>
      </c>
      <c r="F57" s="959" t="str">
        <f t="shared" si="39"/>
        <v xml:space="preserve">800m </v>
      </c>
      <c r="G57" s="960">
        <f>IF(A57="T",IF(L57&lt;=P57,1,IF(L57&lt;=Q57,2,IF(L57&lt;=R57,3,IF(L57&lt;=S57,4,0)))),IF(L57&gt;=P57,1,IF(L57&gt;=Q57,2,IF(L57&gt;=R57,3,IF(L57&gt;=S57,4,0)))))</f>
        <v>1</v>
      </c>
      <c r="H57" s="345" t="str">
        <f t="shared" si="41"/>
        <v>Joshua Baylis</v>
      </c>
      <c r="I57" s="342" t="str">
        <f t="shared" si="41"/>
        <v>M</v>
      </c>
      <c r="J57" s="345" t="str">
        <f t="shared" si="42"/>
        <v>Solihull &amp; S.Heath</v>
      </c>
      <c r="K57" s="354" t="str">
        <f t="shared" ref="K57:L65" si="45">VLOOKUP($B57,Athlete,K$1,FALSE)</f>
        <v>2.22.0</v>
      </c>
      <c r="L57" s="968">
        <f>(LEFT(K57,1)*60)+MID(K57,3,2)+((RIGHT(K57,1)/10))</f>
        <v>142</v>
      </c>
      <c r="M57" s="962" t="str">
        <f>IF(A57="T","Sec","Mtr")</f>
        <v>Sec</v>
      </c>
      <c r="N57" s="961">
        <f t="shared" ref="N57:N65" si="46">IF(G57=0,S57,HLOOKUP(G57,P$52:S$91,T57))</f>
        <v>142.5</v>
      </c>
      <c r="O57" s="963">
        <f t="shared" si="44"/>
        <v>3.5087719298245615E-3</v>
      </c>
      <c r="P57" s="981">
        <v>142.5</v>
      </c>
      <c r="Q57" s="982">
        <v>144.5</v>
      </c>
      <c r="R57" s="982">
        <v>147.5</v>
      </c>
      <c r="S57" s="983">
        <v>154</v>
      </c>
      <c r="T57" s="967">
        <v>6</v>
      </c>
    </row>
    <row r="58" spans="1:20" x14ac:dyDescent="0.3">
      <c r="A58" s="875" t="s">
        <v>107</v>
      </c>
      <c r="B58" s="32">
        <f t="shared" si="37"/>
        <v>141</v>
      </c>
      <c r="C58" s="306">
        <v>1</v>
      </c>
      <c r="D58" s="922">
        <v>14</v>
      </c>
      <c r="E58" s="161">
        <f t="shared" si="38"/>
        <v>12</v>
      </c>
      <c r="F58" s="959" t="str">
        <f t="shared" si="39"/>
        <v xml:space="preserve">80m hurdles </v>
      </c>
      <c r="G58" s="960">
        <f t="shared" ref="G58:G63" si="47">IF(A58="T",IF(L58&lt;=P58,1,IF(L58&lt;=Q58,2,IF(L58&lt;=R58,3,IF(L58&lt;=S58,4,0)))),IF(L58&gt;=P58,1,IF(L58&gt;=Q58,2,IF(L58&gt;=R58,3,IF(L58&gt;=S58,4,0)))))</f>
        <v>1</v>
      </c>
      <c r="H58" s="345" t="str">
        <f t="shared" si="41"/>
        <v xml:space="preserve">William Tse </v>
      </c>
      <c r="I58" s="342" t="str">
        <f t="shared" si="41"/>
        <v>S</v>
      </c>
      <c r="J58" s="345" t="str">
        <f t="shared" si="42"/>
        <v>BRAT</v>
      </c>
      <c r="K58" s="354"/>
      <c r="L58" s="968">
        <f t="shared" si="45"/>
        <v>12.8</v>
      </c>
      <c r="M58" s="345" t="str">
        <f t="shared" ref="M58:M63" si="48">IF(A58="T","Sec","Mtr")</f>
        <v>Sec</v>
      </c>
      <c r="N58" s="961">
        <f t="shared" si="46"/>
        <v>12.9</v>
      </c>
      <c r="O58" s="963">
        <f t="shared" si="44"/>
        <v>7.7519379844960962E-3</v>
      </c>
      <c r="P58" s="955">
        <v>12.9</v>
      </c>
      <c r="Q58" s="956">
        <v>13.3</v>
      </c>
      <c r="R58" s="956">
        <v>14.2</v>
      </c>
      <c r="S58" s="954">
        <v>15.3</v>
      </c>
      <c r="T58" s="967">
        <v>7</v>
      </c>
    </row>
    <row r="59" spans="1:20" x14ac:dyDescent="0.3">
      <c r="A59" s="875" t="s">
        <v>136</v>
      </c>
      <c r="B59" s="32">
        <f t="shared" si="37"/>
        <v>241</v>
      </c>
      <c r="C59" s="306">
        <v>1</v>
      </c>
      <c r="D59" s="922">
        <v>24</v>
      </c>
      <c r="E59" s="161">
        <f t="shared" si="38"/>
        <v>1</v>
      </c>
      <c r="F59" s="959" t="str">
        <f t="shared" si="39"/>
        <v>Javelin Match 1 &amp; 3</v>
      </c>
      <c r="G59" s="960">
        <f t="shared" si="47"/>
        <v>1</v>
      </c>
      <c r="H59" s="345" t="str">
        <f t="shared" si="41"/>
        <v>Robert Copeland</v>
      </c>
      <c r="I59" s="342" t="str">
        <f t="shared" si="41"/>
        <v>R</v>
      </c>
      <c r="J59" s="345" t="str">
        <f t="shared" si="42"/>
        <v>Rugby &amp; N'hampton</v>
      </c>
      <c r="K59" s="354"/>
      <c r="L59" s="968">
        <f t="shared" si="45"/>
        <v>34.65</v>
      </c>
      <c r="M59" s="345" t="str">
        <f t="shared" si="48"/>
        <v>Mtr</v>
      </c>
      <c r="N59" s="961">
        <f t="shared" si="46"/>
        <v>31.15</v>
      </c>
      <c r="O59" s="963">
        <f t="shared" si="44"/>
        <v>0.11235955056179776</v>
      </c>
      <c r="P59" s="978">
        <v>31.15</v>
      </c>
      <c r="Q59" s="979">
        <v>29</v>
      </c>
      <c r="R59" s="979">
        <v>26.1</v>
      </c>
      <c r="S59" s="980">
        <v>21.3</v>
      </c>
      <c r="T59" s="967">
        <v>8</v>
      </c>
    </row>
    <row r="60" spans="1:20" x14ac:dyDescent="0.3">
      <c r="A60" s="875" t="s">
        <v>107</v>
      </c>
      <c r="B60" s="32">
        <f t="shared" si="37"/>
        <v>431</v>
      </c>
      <c r="C60" s="306">
        <v>1</v>
      </c>
      <c r="D60" s="922">
        <v>43</v>
      </c>
      <c r="E60" s="161">
        <f t="shared" si="38"/>
        <v>2.35</v>
      </c>
      <c r="F60" s="959" t="str">
        <f t="shared" si="39"/>
        <v xml:space="preserve">100m </v>
      </c>
      <c r="G60" s="960">
        <f t="shared" si="47"/>
        <v>2</v>
      </c>
      <c r="H60" s="345" t="str">
        <f t="shared" si="41"/>
        <v>Ademiposi (Gideon) Aderibigbe</v>
      </c>
      <c r="I60" s="342" t="str">
        <f t="shared" si="41"/>
        <v>R</v>
      </c>
      <c r="J60" s="345" t="str">
        <f t="shared" si="42"/>
        <v>Rugby &amp; N'hampton</v>
      </c>
      <c r="K60" s="354"/>
      <c r="L60" s="968">
        <f t="shared" si="45"/>
        <v>13.2</v>
      </c>
      <c r="M60" s="345" t="str">
        <f t="shared" si="48"/>
        <v>Sec</v>
      </c>
      <c r="N60" s="961">
        <f t="shared" si="46"/>
        <v>13.2</v>
      </c>
      <c r="O60" s="963">
        <f t="shared" si="44"/>
        <v>0</v>
      </c>
      <c r="P60" s="955">
        <v>13</v>
      </c>
      <c r="Q60" s="956">
        <v>13.2</v>
      </c>
      <c r="R60" s="956">
        <v>13.5</v>
      </c>
      <c r="S60" s="954">
        <v>13.9</v>
      </c>
      <c r="T60" s="967">
        <v>9</v>
      </c>
    </row>
    <row r="61" spans="1:20" x14ac:dyDescent="0.3">
      <c r="A61" s="875" t="s">
        <v>136</v>
      </c>
      <c r="B61" s="32">
        <f t="shared" si="37"/>
        <v>471</v>
      </c>
      <c r="C61" s="306">
        <v>1</v>
      </c>
      <c r="D61" s="922">
        <v>47</v>
      </c>
      <c r="E61" s="161">
        <f t="shared" si="38"/>
        <v>2.4</v>
      </c>
      <c r="F61" s="959" t="str">
        <f t="shared" si="39"/>
        <v xml:space="preserve">Shot </v>
      </c>
      <c r="G61" s="960">
        <f t="shared" si="47"/>
        <v>1</v>
      </c>
      <c r="H61" s="345" t="str">
        <f t="shared" si="41"/>
        <v>Edward Burnell</v>
      </c>
      <c r="I61" s="342" t="str">
        <f t="shared" si="41"/>
        <v>G</v>
      </c>
      <c r="J61" s="345" t="str">
        <f t="shared" si="42"/>
        <v>Royal Sutton</v>
      </c>
      <c r="K61" s="354"/>
      <c r="L61" s="968">
        <f t="shared" si="45"/>
        <v>13.4</v>
      </c>
      <c r="M61" s="345" t="str">
        <f t="shared" si="48"/>
        <v>Mtr</v>
      </c>
      <c r="N61" s="961">
        <f t="shared" si="46"/>
        <v>9.25</v>
      </c>
      <c r="O61" s="963">
        <f t="shared" si="44"/>
        <v>0.44864864864864867</v>
      </c>
      <c r="P61" s="955">
        <v>9.25</v>
      </c>
      <c r="Q61" s="956">
        <v>8.5500000000000007</v>
      </c>
      <c r="R61" s="956">
        <v>7.95</v>
      </c>
      <c r="S61" s="954">
        <v>7.05</v>
      </c>
      <c r="T61" s="967">
        <v>10</v>
      </c>
    </row>
    <row r="62" spans="1:20" x14ac:dyDescent="0.3">
      <c r="A62" s="875" t="s">
        <v>107</v>
      </c>
      <c r="B62" s="32">
        <f t="shared" si="37"/>
        <v>551</v>
      </c>
      <c r="C62" s="306">
        <v>1</v>
      </c>
      <c r="D62" s="922">
        <v>55</v>
      </c>
      <c r="E62" s="161">
        <f t="shared" si="38"/>
        <v>3.1</v>
      </c>
      <c r="F62" s="959" t="str">
        <f t="shared" si="39"/>
        <v xml:space="preserve">1500m </v>
      </c>
      <c r="G62" s="960">
        <f t="shared" si="47"/>
        <v>1</v>
      </c>
      <c r="H62" s="345" t="str">
        <f t="shared" si="41"/>
        <v>Charlie Cassells</v>
      </c>
      <c r="I62" s="342" t="str">
        <f t="shared" si="41"/>
        <v>D</v>
      </c>
      <c r="J62" s="345" t="str">
        <f t="shared" si="42"/>
        <v>Stratford</v>
      </c>
      <c r="K62" s="354" t="str">
        <f t="shared" si="45"/>
        <v>4.40.1</v>
      </c>
      <c r="L62" s="968">
        <f>(LEFT(K62,1)*60)+MID(K62,3,2)+((RIGHT(K62,1)/10))</f>
        <v>280.10000000000002</v>
      </c>
      <c r="M62" s="345" t="str">
        <f>IF(A62="T","Sec","Mtr")</f>
        <v>Sec</v>
      </c>
      <c r="N62" s="961">
        <f t="shared" ref="N62" si="49">IF(G62=0,S62,HLOOKUP(G62,P$52:S$91,T62))</f>
        <v>290</v>
      </c>
      <c r="O62" s="963">
        <f t="shared" ref="O62" si="50">IF(A62="T",(N62-L62)/N62,(L62-N62)/N62)</f>
        <v>3.4137931034482677E-2</v>
      </c>
      <c r="P62" s="978">
        <v>290</v>
      </c>
      <c r="Q62" s="979">
        <v>295</v>
      </c>
      <c r="R62" s="979">
        <v>303</v>
      </c>
      <c r="S62" s="980">
        <v>315</v>
      </c>
      <c r="T62" s="967">
        <v>11</v>
      </c>
    </row>
    <row r="63" spans="1:20" x14ac:dyDescent="0.3">
      <c r="A63" s="875" t="s">
        <v>136</v>
      </c>
      <c r="B63" s="32">
        <f t="shared" si="37"/>
        <v>581</v>
      </c>
      <c r="C63" s="306">
        <v>1</v>
      </c>
      <c r="D63" s="922">
        <v>58</v>
      </c>
      <c r="E63" s="161">
        <f t="shared" si="38"/>
        <v>3.2</v>
      </c>
      <c r="F63" s="959" t="str">
        <f t="shared" si="39"/>
        <v>Long Jump Pit 2</v>
      </c>
      <c r="G63" s="960">
        <f t="shared" si="47"/>
        <v>3</v>
      </c>
      <c r="H63" s="345" t="str">
        <f t="shared" si="41"/>
        <v>Elliot Jones</v>
      </c>
      <c r="I63" s="342" t="str">
        <f t="shared" si="41"/>
        <v>S</v>
      </c>
      <c r="J63" s="345" t="str">
        <f t="shared" si="42"/>
        <v>BRAT</v>
      </c>
      <c r="K63" s="354"/>
      <c r="L63" s="968">
        <f t="shared" si="45"/>
        <v>4.4800000000000004</v>
      </c>
      <c r="M63" s="345" t="str">
        <f t="shared" si="48"/>
        <v>Mtr</v>
      </c>
      <c r="N63" s="961">
        <f t="shared" si="46"/>
        <v>4.4000000000000004</v>
      </c>
      <c r="O63" s="963">
        <f t="shared" si="44"/>
        <v>1.8181818181818195E-2</v>
      </c>
      <c r="P63" s="955">
        <v>4.75</v>
      </c>
      <c r="Q63" s="956">
        <v>4.55</v>
      </c>
      <c r="R63" s="956">
        <v>4.4000000000000004</v>
      </c>
      <c r="S63" s="954">
        <v>4.1500000000000004</v>
      </c>
      <c r="T63" s="967">
        <v>12</v>
      </c>
    </row>
    <row r="64" spans="1:20" x14ac:dyDescent="0.3">
      <c r="A64" s="875" t="s">
        <v>107</v>
      </c>
      <c r="B64" s="32">
        <f t="shared" si="37"/>
        <v>711</v>
      </c>
      <c r="C64" s="306">
        <v>1</v>
      </c>
      <c r="D64" s="922">
        <v>71</v>
      </c>
      <c r="E64" s="161">
        <f t="shared" si="38"/>
        <v>4.2</v>
      </c>
      <c r="F64" s="959" t="str">
        <f t="shared" si="39"/>
        <v xml:space="preserve">200m </v>
      </c>
      <c r="G64" s="960">
        <f>IF(A64="T",IF(L64&lt;=P64,1,IF(L64&lt;=Q64,2,IF(L64&lt;=R64,3,IF(L64&lt;=S64,4,0)))),IF(L64&gt;=P64,1,IF(L64&gt;=Q64,2,IF(L64&gt;=R64,3,IF(L64&gt;=S64,4,0)))))</f>
        <v>2</v>
      </c>
      <c r="H64" s="345" t="str">
        <f t="shared" si="41"/>
        <v>Fynn Allen</v>
      </c>
      <c r="I64" s="342" t="str">
        <f t="shared" si="41"/>
        <v>D</v>
      </c>
      <c r="J64" s="345" t="str">
        <f t="shared" si="42"/>
        <v>Stratford</v>
      </c>
      <c r="K64" s="354"/>
      <c r="L64" s="968">
        <f t="shared" si="45"/>
        <v>27.1</v>
      </c>
      <c r="M64" s="345" t="str">
        <f t="shared" ref="M64" si="51">IF(A64="T","Sec","Mtr")</f>
        <v>Sec</v>
      </c>
      <c r="N64" s="961">
        <f t="shared" ref="N64" si="52">IF(G64=0,S64,HLOOKUP(G64,P$52:S$91,T64))</f>
        <v>27.4</v>
      </c>
      <c r="O64" s="963">
        <f t="shared" ref="O64" si="53">IF(A64="T",(N64-L64)/N64,(L64-N64)/N64)</f>
        <v>1.0948905109488948E-2</v>
      </c>
      <c r="P64" s="981">
        <v>26.8</v>
      </c>
      <c r="Q64" s="982">
        <v>27.4</v>
      </c>
      <c r="R64" s="982">
        <v>28.1</v>
      </c>
      <c r="S64" s="983">
        <v>29.1</v>
      </c>
      <c r="T64" s="967">
        <v>13</v>
      </c>
    </row>
    <row r="65" spans="1:20" x14ac:dyDescent="0.3">
      <c r="A65" s="875" t="s">
        <v>136</v>
      </c>
      <c r="B65" s="32">
        <f t="shared" si="37"/>
        <v>741</v>
      </c>
      <c r="C65" s="306">
        <v>1</v>
      </c>
      <c r="D65" s="922">
        <v>74</v>
      </c>
      <c r="E65" s="161">
        <f t="shared" si="38"/>
        <v>4.2</v>
      </c>
      <c r="F65" s="959" t="str">
        <f t="shared" si="39"/>
        <v>Discus Match 2</v>
      </c>
      <c r="G65" s="960">
        <f t="shared" ref="G65" si="54">IF(A65="T",IF(L65&lt;=P65,1,IF(L65&lt;=Q65,2,IF(L65&lt;=R65,3,IF(L65&lt;=S65,4,0)))),IF(L65&gt;=P65,1,IF(L65&gt;=Q65,2,IF(L65&gt;=R65,3,IF(L65&gt;=S65,4,0)))))</f>
        <v>0</v>
      </c>
      <c r="H65" s="345" t="str">
        <f t="shared" si="41"/>
        <v/>
      </c>
      <c r="I65" s="342">
        <f t="shared" si="41"/>
        <v>0</v>
      </c>
      <c r="J65" s="345" t="e">
        <f t="shared" si="42"/>
        <v>#N/A</v>
      </c>
      <c r="K65" s="354"/>
      <c r="L65" s="968">
        <f t="shared" si="45"/>
        <v>0</v>
      </c>
      <c r="M65" s="345" t="str">
        <f t="shared" ref="M65" si="55">IF(A65="T","Sec","Mtr")</f>
        <v>Mtr</v>
      </c>
      <c r="N65" s="961">
        <f t="shared" si="46"/>
        <v>15.9</v>
      </c>
      <c r="O65" s="963">
        <f t="shared" si="44"/>
        <v>-1</v>
      </c>
      <c r="P65" s="978">
        <v>24.9</v>
      </c>
      <c r="Q65" s="979">
        <v>22.1</v>
      </c>
      <c r="R65" s="979">
        <v>19.100000000000001</v>
      </c>
      <c r="S65" s="980">
        <v>15.9</v>
      </c>
      <c r="T65" s="967">
        <v>14</v>
      </c>
    </row>
    <row r="66" spans="1:20" x14ac:dyDescent="0.3">
      <c r="A66" s="875"/>
      <c r="B66" s="32"/>
      <c r="C66" s="306"/>
      <c r="D66" s="166"/>
      <c r="E66" s="161"/>
      <c r="F66" s="952"/>
      <c r="G66" s="961"/>
      <c r="H66" s="961"/>
      <c r="I66" s="961"/>
      <c r="J66" s="961"/>
      <c r="K66" s="961"/>
      <c r="L66" s="961"/>
      <c r="M66" s="345"/>
      <c r="N66" s="972"/>
      <c r="O66" s="973"/>
      <c r="P66" s="955"/>
      <c r="Q66" s="956"/>
      <c r="R66" s="956"/>
      <c r="S66" s="954"/>
      <c r="T66" s="967">
        <v>15</v>
      </c>
    </row>
    <row r="67" spans="1:20" x14ac:dyDescent="0.3">
      <c r="A67" s="875"/>
      <c r="B67" s="32"/>
      <c r="C67" s="306"/>
      <c r="D67" s="166"/>
      <c r="E67" s="161"/>
      <c r="F67" s="957" t="s">
        <v>460</v>
      </c>
      <c r="G67" s="961"/>
      <c r="H67" s="961"/>
      <c r="I67" s="961"/>
      <c r="J67" s="961"/>
      <c r="K67" s="961"/>
      <c r="L67" s="961"/>
      <c r="M67" s="345"/>
      <c r="N67" s="961"/>
      <c r="O67" s="963"/>
      <c r="P67" s="955"/>
      <c r="Q67" s="956"/>
      <c r="R67" s="956"/>
      <c r="S67" s="954"/>
      <c r="T67" s="967">
        <v>16</v>
      </c>
    </row>
    <row r="68" spans="1:20" x14ac:dyDescent="0.3">
      <c r="A68" s="875" t="s">
        <v>136</v>
      </c>
      <c r="B68" s="32">
        <f t="shared" si="37"/>
        <v>71</v>
      </c>
      <c r="C68" s="306">
        <v>1</v>
      </c>
      <c r="D68" s="922">
        <v>7</v>
      </c>
      <c r="E68" s="161">
        <f t="shared" ref="E68:E78" si="56">IF($D68&gt;0,VLOOKUP($D68,EventsOrder,2,FALSE)," ")</f>
        <v>12</v>
      </c>
      <c r="F68" s="959" t="str">
        <f t="shared" ref="F68:F78" si="57">IF($D68&gt;0,VLOOKUP($D68,EventsOrder,6,FALSE)," ")</f>
        <v>Long Jump Pit 2</v>
      </c>
      <c r="G68" s="960">
        <f t="shared" ref="G68:G91" si="58">IF(A68="T",IF(L68&lt;=P68,1,IF(L68&lt;=Q68,2,IF(L68&lt;=R68,3,IF(L68&lt;=S68,4,0)))),IF(L68&gt;=P68,1,IF(L68&gt;=Q68,2,IF(L68&gt;=R68,3,IF(L68&gt;=S68,4,0)))))</f>
        <v>2</v>
      </c>
      <c r="H68" s="345" t="str">
        <f t="shared" ref="H68:I78" si="59">VLOOKUP($B68,Athlete,H$1,FALSE)</f>
        <v>Muayyad Mohamed</v>
      </c>
      <c r="I68" s="342" t="str">
        <f t="shared" si="59"/>
        <v>S</v>
      </c>
      <c r="J68" s="345" t="str">
        <f t="shared" ref="J68:J78" si="60">VLOOKUP(LEFT(I68,1),V$4:W$11,2,FALSE)</f>
        <v>BRAT</v>
      </c>
      <c r="K68" s="354"/>
      <c r="L68" s="968">
        <f t="shared" ref="K68:L78" si="61">VLOOKUP($B68,Athlete,L$1,FALSE)</f>
        <v>5.72</v>
      </c>
      <c r="M68" s="345" t="str">
        <f t="shared" ref="M68" si="62">IF(A68="T","Sec","Mtr")</f>
        <v>Mtr</v>
      </c>
      <c r="N68" s="961">
        <f t="shared" ref="N68:N77" si="63">IF(G68=0,S68,HLOOKUP(G68,P$52:S$91,T68))</f>
        <v>5.55</v>
      </c>
      <c r="O68" s="963">
        <f t="shared" ref="O68:O77" si="64">IF(A68="T",(N68-L68)/N68,(L68-N68)/N68)</f>
        <v>3.063063063063062E-2</v>
      </c>
      <c r="P68" s="978">
        <v>5.75</v>
      </c>
      <c r="Q68" s="979">
        <v>5.55</v>
      </c>
      <c r="R68" s="979">
        <v>5.3</v>
      </c>
      <c r="S68" s="980">
        <v>5</v>
      </c>
      <c r="T68" s="967">
        <v>17</v>
      </c>
    </row>
    <row r="69" spans="1:20" x14ac:dyDescent="0.3">
      <c r="A69" s="875" t="s">
        <v>107</v>
      </c>
      <c r="B69" s="32">
        <f t="shared" si="37"/>
        <v>151</v>
      </c>
      <c r="C69" s="306">
        <v>1</v>
      </c>
      <c r="D69" s="922">
        <v>15</v>
      </c>
      <c r="E69" s="161">
        <f t="shared" si="56"/>
        <v>12.1</v>
      </c>
      <c r="F69" s="959" t="str">
        <f t="shared" si="57"/>
        <v xml:space="preserve">800m </v>
      </c>
      <c r="G69" s="960">
        <f t="shared" si="58"/>
        <v>1</v>
      </c>
      <c r="H69" s="345" t="str">
        <f t="shared" si="59"/>
        <v>Zakariya Rush</v>
      </c>
      <c r="I69" s="342" t="str">
        <f t="shared" si="59"/>
        <v>M</v>
      </c>
      <c r="J69" s="345" t="str">
        <f t="shared" si="60"/>
        <v>Solihull &amp; S.Heath</v>
      </c>
      <c r="K69" s="354" t="str">
        <f t="shared" si="61"/>
        <v>2.03.2</v>
      </c>
      <c r="L69" s="961">
        <f>(LEFT(K69,1)*60)+MID(K69,3,2)+((RIGHT(K69,1)/10))</f>
        <v>123.2</v>
      </c>
      <c r="M69" s="962" t="str">
        <f>IF(A69="T","Sec","Mtr")</f>
        <v>Sec</v>
      </c>
      <c r="N69" s="961">
        <f t="shared" si="63"/>
        <v>126.5</v>
      </c>
      <c r="O69" s="963">
        <f t="shared" si="64"/>
        <v>2.6086956521739108E-2</v>
      </c>
      <c r="P69" s="981">
        <v>126.5</v>
      </c>
      <c r="Q69" s="982">
        <v>130</v>
      </c>
      <c r="R69" s="982">
        <v>133</v>
      </c>
      <c r="S69" s="983">
        <v>138</v>
      </c>
      <c r="T69" s="967">
        <v>18</v>
      </c>
    </row>
    <row r="70" spans="1:20" x14ac:dyDescent="0.3">
      <c r="A70" s="875" t="s">
        <v>107</v>
      </c>
      <c r="B70" s="32">
        <f t="shared" si="37"/>
        <v>201</v>
      </c>
      <c r="C70" s="306">
        <v>1</v>
      </c>
      <c r="D70" s="922">
        <v>20</v>
      </c>
      <c r="E70" s="161">
        <f t="shared" si="56"/>
        <v>12.5</v>
      </c>
      <c r="F70" s="959" t="str">
        <f t="shared" si="57"/>
        <v xml:space="preserve">100m hurdles </v>
      </c>
      <c r="G70" s="960">
        <f t="shared" si="58"/>
        <v>0</v>
      </c>
      <c r="H70" s="345" t="str">
        <f t="shared" si="59"/>
        <v>Finn Jackson</v>
      </c>
      <c r="I70" s="342" t="str">
        <f t="shared" si="59"/>
        <v>D</v>
      </c>
      <c r="J70" s="345" t="str">
        <f t="shared" si="60"/>
        <v>Stratford</v>
      </c>
      <c r="K70" s="354"/>
      <c r="L70" s="968">
        <f t="shared" si="61"/>
        <v>14.8</v>
      </c>
      <c r="M70" s="345" t="str">
        <f t="shared" ref="M70:M77" si="65">IF(A70="T","Sec","Mtr")</f>
        <v>Sec</v>
      </c>
      <c r="N70" s="961">
        <f t="shared" si="63"/>
        <v>13.4</v>
      </c>
      <c r="O70" s="963">
        <f t="shared" si="64"/>
        <v>-0.10447761194029853</v>
      </c>
      <c r="P70" s="955">
        <v>11.9</v>
      </c>
      <c r="Q70" s="956">
        <v>12.2</v>
      </c>
      <c r="R70" s="956">
        <v>12.7</v>
      </c>
      <c r="S70" s="954">
        <v>13.4</v>
      </c>
      <c r="T70" s="967">
        <v>19</v>
      </c>
    </row>
    <row r="71" spans="1:20" x14ac:dyDescent="0.3">
      <c r="A71" s="875" t="s">
        <v>136</v>
      </c>
      <c r="B71" s="32">
        <f t="shared" si="37"/>
        <v>221</v>
      </c>
      <c r="C71" s="306">
        <v>1</v>
      </c>
      <c r="D71" s="922">
        <v>22</v>
      </c>
      <c r="E71" s="161">
        <f t="shared" si="56"/>
        <v>1</v>
      </c>
      <c r="F71" s="959" t="str">
        <f t="shared" si="57"/>
        <v xml:space="preserve">Shot </v>
      </c>
      <c r="G71" s="960">
        <f t="shared" si="58"/>
        <v>3</v>
      </c>
      <c r="H71" s="345" t="str">
        <f t="shared" si="59"/>
        <v>Heinrich</v>
      </c>
      <c r="I71" s="342" t="str">
        <f t="shared" si="59"/>
        <v>S</v>
      </c>
      <c r="J71" s="345" t="str">
        <f t="shared" si="60"/>
        <v>BRAT</v>
      </c>
      <c r="K71" s="354"/>
      <c r="L71" s="968">
        <f t="shared" si="61"/>
        <v>11.33</v>
      </c>
      <c r="M71" s="345" t="str">
        <f t="shared" si="65"/>
        <v>Mtr</v>
      </c>
      <c r="N71" s="961">
        <f t="shared" si="63"/>
        <v>11.1</v>
      </c>
      <c r="O71" s="963">
        <f t="shared" si="64"/>
        <v>2.0720720720720759E-2</v>
      </c>
      <c r="P71" s="978">
        <v>12.45</v>
      </c>
      <c r="Q71" s="979">
        <v>11.8</v>
      </c>
      <c r="R71" s="979">
        <v>11.1</v>
      </c>
      <c r="S71" s="980">
        <v>10.1</v>
      </c>
      <c r="T71" s="967">
        <v>20</v>
      </c>
    </row>
    <row r="72" spans="1:20" x14ac:dyDescent="0.3">
      <c r="A72" s="875" t="s">
        <v>136</v>
      </c>
      <c r="B72" s="32">
        <f t="shared" si="37"/>
        <v>641</v>
      </c>
      <c r="C72" s="306">
        <v>1</v>
      </c>
      <c r="D72" s="922">
        <v>64</v>
      </c>
      <c r="E72" s="161">
        <f t="shared" si="56"/>
        <v>1.45</v>
      </c>
      <c r="F72" s="959" t="str">
        <f t="shared" si="57"/>
        <v xml:space="preserve">300m  </v>
      </c>
      <c r="G72" s="960">
        <f t="shared" si="58"/>
        <v>3</v>
      </c>
      <c r="H72" s="345" t="str">
        <f t="shared" si="59"/>
        <v>Louis Matthews</v>
      </c>
      <c r="I72" s="342" t="str">
        <f t="shared" si="59"/>
        <v>G</v>
      </c>
      <c r="J72" s="345" t="str">
        <f t="shared" si="60"/>
        <v>Royal Sutton</v>
      </c>
      <c r="K72" s="354"/>
      <c r="L72" s="968">
        <f t="shared" si="61"/>
        <v>37.4</v>
      </c>
      <c r="M72" s="345" t="str">
        <f t="shared" si="65"/>
        <v>Mtr</v>
      </c>
      <c r="N72" s="961">
        <f t="shared" si="63"/>
        <v>37.25</v>
      </c>
      <c r="O72" s="963">
        <f t="shared" si="64"/>
        <v>4.0268456375838549E-3</v>
      </c>
      <c r="P72" s="978">
        <v>44.35</v>
      </c>
      <c r="Q72" s="979">
        <v>40.85</v>
      </c>
      <c r="R72" s="979">
        <v>37.25</v>
      </c>
      <c r="S72" s="980">
        <v>32.6</v>
      </c>
      <c r="T72" s="967">
        <v>21</v>
      </c>
    </row>
    <row r="73" spans="1:20" x14ac:dyDescent="0.3">
      <c r="A73" s="875" t="s">
        <v>107</v>
      </c>
      <c r="B73" s="32">
        <f t="shared" si="37"/>
        <v>371</v>
      </c>
      <c r="C73" s="306">
        <v>1</v>
      </c>
      <c r="D73" s="922">
        <v>37</v>
      </c>
      <c r="E73" s="161">
        <f t="shared" si="56"/>
        <v>1.5</v>
      </c>
      <c r="F73" s="959" t="str">
        <f t="shared" si="57"/>
        <v>Javelin Match 1 &amp; 3</v>
      </c>
      <c r="G73" s="960">
        <f t="shared" si="58"/>
        <v>0</v>
      </c>
      <c r="H73" s="345" t="str">
        <f t="shared" si="59"/>
        <v>Louis Matthews</v>
      </c>
      <c r="I73" s="342" t="str">
        <f t="shared" si="59"/>
        <v>G</v>
      </c>
      <c r="J73" s="345" t="str">
        <f t="shared" si="60"/>
        <v>Royal Sutton</v>
      </c>
      <c r="K73" s="354"/>
      <c r="L73" s="968">
        <f t="shared" si="61"/>
        <v>36.67</v>
      </c>
      <c r="M73" s="345" t="str">
        <f t="shared" si="65"/>
        <v>Sec</v>
      </c>
      <c r="N73" s="961">
        <f t="shared" si="63"/>
        <v>12.5</v>
      </c>
      <c r="O73" s="963">
        <f t="shared" si="64"/>
        <v>-1.9336000000000002</v>
      </c>
      <c r="P73" s="955">
        <v>11.7</v>
      </c>
      <c r="Q73" s="956">
        <v>11.9</v>
      </c>
      <c r="R73" s="956">
        <v>12.1</v>
      </c>
      <c r="S73" s="954">
        <v>12.5</v>
      </c>
      <c r="T73" s="967">
        <v>22</v>
      </c>
    </row>
    <row r="74" spans="1:20" x14ac:dyDescent="0.3">
      <c r="A74" s="875" t="s">
        <v>136</v>
      </c>
      <c r="B74" s="32">
        <f t="shared" si="37"/>
        <v>441</v>
      </c>
      <c r="C74" s="306">
        <v>1</v>
      </c>
      <c r="D74" s="922">
        <v>44</v>
      </c>
      <c r="E74" s="161">
        <f t="shared" si="56"/>
        <v>2.4</v>
      </c>
      <c r="F74" s="959" t="str">
        <f t="shared" si="57"/>
        <v xml:space="preserve">100m </v>
      </c>
      <c r="G74" s="960">
        <f t="shared" si="58"/>
        <v>1</v>
      </c>
      <c r="H74" s="345" t="str">
        <f t="shared" si="59"/>
        <v>Dominic Francis-Gordon</v>
      </c>
      <c r="I74" s="342" t="str">
        <f t="shared" si="59"/>
        <v>S</v>
      </c>
      <c r="J74" s="345" t="str">
        <f t="shared" si="60"/>
        <v>BRAT</v>
      </c>
      <c r="K74" s="354"/>
      <c r="L74" s="968">
        <f t="shared" si="61"/>
        <v>11.5</v>
      </c>
      <c r="M74" s="345" t="str">
        <f t="shared" si="65"/>
        <v>Mtr</v>
      </c>
      <c r="N74" s="961">
        <f t="shared" si="63"/>
        <v>1.72</v>
      </c>
      <c r="O74" s="963">
        <f t="shared" si="64"/>
        <v>5.6860465116279064</v>
      </c>
      <c r="P74" s="978">
        <v>1.72</v>
      </c>
      <c r="Q74" s="979">
        <v>1.67</v>
      </c>
      <c r="R74" s="979">
        <v>1.6</v>
      </c>
      <c r="S74" s="980">
        <v>1.55</v>
      </c>
      <c r="T74" s="967">
        <v>23</v>
      </c>
    </row>
    <row r="75" spans="1:20" x14ac:dyDescent="0.3">
      <c r="A75" s="875" t="s">
        <v>107</v>
      </c>
      <c r="B75" s="32">
        <f t="shared" si="37"/>
        <v>451</v>
      </c>
      <c r="C75" s="306">
        <v>1</v>
      </c>
      <c r="D75" s="922">
        <v>45</v>
      </c>
      <c r="E75" s="161">
        <f t="shared" si="56"/>
        <v>2.2999999999999998</v>
      </c>
      <c r="F75" s="959" t="str">
        <f t="shared" si="57"/>
        <v xml:space="preserve">High Jump </v>
      </c>
      <c r="G75" s="960">
        <f t="shared" si="58"/>
        <v>1</v>
      </c>
      <c r="H75" s="345" t="str">
        <f t="shared" si="59"/>
        <v>Tommy McGuire</v>
      </c>
      <c r="I75" s="342" t="str">
        <f t="shared" si="59"/>
        <v>R</v>
      </c>
      <c r="J75" s="345" t="str">
        <f t="shared" si="60"/>
        <v>Rugby &amp; N'hampton</v>
      </c>
      <c r="K75" s="354">
        <f t="shared" si="61"/>
        <v>1.58</v>
      </c>
      <c r="L75" s="968">
        <f>(LEFT(K75,1)*60)+MID(K75,3,2)+((RIGHT(K75,1)/10))</f>
        <v>118.8</v>
      </c>
      <c r="M75" s="345" t="str">
        <f>IF(A75="T","Sec","Mtr")</f>
        <v>Sec</v>
      </c>
      <c r="N75" s="961">
        <f t="shared" ref="N75" si="66">IF(G75=0,S75,HLOOKUP(G75,P$52:S$91,T75))</f>
        <v>261.5</v>
      </c>
      <c r="O75" s="963">
        <f t="shared" ref="O75" si="67">IF(A75="T",(N75-L75)/N75,(L75-N75)/N75)</f>
        <v>0.54569789674952196</v>
      </c>
      <c r="P75" s="955">
        <v>261.5</v>
      </c>
      <c r="Q75" s="956">
        <v>267.5</v>
      </c>
      <c r="R75" s="956">
        <v>276</v>
      </c>
      <c r="S75" s="954">
        <v>286.5</v>
      </c>
      <c r="T75" s="967">
        <v>24</v>
      </c>
    </row>
    <row r="76" spans="1:20" x14ac:dyDescent="0.3">
      <c r="A76" s="875" t="s">
        <v>136</v>
      </c>
      <c r="B76" s="32">
        <f t="shared" si="37"/>
        <v>561</v>
      </c>
      <c r="C76" s="306">
        <v>1</v>
      </c>
      <c r="D76" s="922">
        <v>56</v>
      </c>
      <c r="E76" s="161">
        <f t="shared" si="56"/>
        <v>3.2</v>
      </c>
      <c r="F76" s="959" t="str">
        <f t="shared" si="57"/>
        <v xml:space="preserve">1500m </v>
      </c>
      <c r="G76" s="960">
        <f t="shared" si="58"/>
        <v>1</v>
      </c>
      <c r="H76" s="345" t="str">
        <f t="shared" si="59"/>
        <v>Toby Sykes</v>
      </c>
      <c r="I76" s="342" t="str">
        <f t="shared" si="59"/>
        <v>S</v>
      </c>
      <c r="J76" s="345" t="str">
        <f t="shared" si="60"/>
        <v>BRAT</v>
      </c>
      <c r="K76" s="354"/>
      <c r="L76" s="968" t="str">
        <f t="shared" si="61"/>
        <v>4.43.5</v>
      </c>
      <c r="M76" s="345" t="str">
        <f t="shared" si="65"/>
        <v>Mtr</v>
      </c>
      <c r="N76" s="961">
        <f t="shared" si="63"/>
        <v>35.200000000000003</v>
      </c>
      <c r="O76" s="963" t="e">
        <f t="shared" si="64"/>
        <v>#VALUE!</v>
      </c>
      <c r="P76" s="955">
        <v>35.200000000000003</v>
      </c>
      <c r="Q76" s="956">
        <v>32.299999999999997</v>
      </c>
      <c r="R76" s="956">
        <v>28.95</v>
      </c>
      <c r="S76" s="954">
        <v>25.5</v>
      </c>
      <c r="T76" s="967">
        <v>25</v>
      </c>
    </row>
    <row r="77" spans="1:20" x14ac:dyDescent="0.3">
      <c r="A77" s="875" t="s">
        <v>107</v>
      </c>
      <c r="B77" s="32">
        <f t="shared" si="37"/>
        <v>601</v>
      </c>
      <c r="C77" s="306">
        <v>1</v>
      </c>
      <c r="D77" s="922">
        <v>60</v>
      </c>
      <c r="E77" s="161">
        <f t="shared" si="56"/>
        <v>3.3</v>
      </c>
      <c r="F77" s="959" t="str">
        <f t="shared" si="57"/>
        <v>Discus Match 2</v>
      </c>
      <c r="G77" s="960">
        <f t="shared" si="58"/>
        <v>1</v>
      </c>
      <c r="H77" s="345" t="str">
        <f t="shared" si="59"/>
        <v/>
      </c>
      <c r="I77" s="342">
        <f t="shared" si="59"/>
        <v>0</v>
      </c>
      <c r="J77" s="345" t="e">
        <f t="shared" si="60"/>
        <v>#N/A</v>
      </c>
      <c r="K77" s="354"/>
      <c r="L77" s="968">
        <f t="shared" si="61"/>
        <v>0</v>
      </c>
      <c r="M77" s="345" t="str">
        <f t="shared" si="65"/>
        <v>Sec</v>
      </c>
      <c r="N77" s="961">
        <f t="shared" si="63"/>
        <v>38.700000000000003</v>
      </c>
      <c r="O77" s="963">
        <f t="shared" si="64"/>
        <v>1</v>
      </c>
      <c r="P77" s="955">
        <v>38.700000000000003</v>
      </c>
      <c r="Q77" s="956">
        <v>39.4</v>
      </c>
      <c r="R77" s="956">
        <v>40.5</v>
      </c>
      <c r="S77" s="954">
        <v>42.1</v>
      </c>
      <c r="T77" s="967">
        <v>26</v>
      </c>
    </row>
    <row r="78" spans="1:20" x14ac:dyDescent="0.3">
      <c r="A78" s="875" t="s">
        <v>107</v>
      </c>
      <c r="B78" s="32">
        <f t="shared" si="37"/>
        <v>721</v>
      </c>
      <c r="C78" s="306">
        <v>1</v>
      </c>
      <c r="D78" s="922">
        <v>72</v>
      </c>
      <c r="E78" s="161">
        <f t="shared" si="56"/>
        <v>4.25</v>
      </c>
      <c r="F78" s="959" t="str">
        <f t="shared" si="57"/>
        <v xml:space="preserve">200m </v>
      </c>
      <c r="G78" s="960">
        <f t="shared" si="58"/>
        <v>1</v>
      </c>
      <c r="H78" s="345" t="str">
        <f t="shared" si="59"/>
        <v>Charlie Hughes</v>
      </c>
      <c r="I78" s="342" t="str">
        <f t="shared" si="59"/>
        <v>M</v>
      </c>
      <c r="J78" s="345" t="str">
        <f t="shared" si="60"/>
        <v>Solihull &amp; S.Heath</v>
      </c>
      <c r="K78" s="354"/>
      <c r="L78" s="968">
        <f t="shared" si="61"/>
        <v>23.5</v>
      </c>
      <c r="M78" s="345" t="str">
        <f t="shared" ref="M78" si="68">IF(A78="T","Sec","Mtr")</f>
        <v>Sec</v>
      </c>
      <c r="N78" s="961">
        <f t="shared" ref="N78" si="69">IF(G78=0,S78,HLOOKUP(G78,P$52:S$91,T78))</f>
        <v>24</v>
      </c>
      <c r="O78" s="963">
        <f t="shared" ref="O78" si="70">IF(A78="T",(N78-L78)/N78,(L78-N78)/N78)</f>
        <v>2.0833333333333332E-2</v>
      </c>
      <c r="P78" s="981">
        <v>24</v>
      </c>
      <c r="Q78" s="982">
        <v>24.3</v>
      </c>
      <c r="R78" s="982">
        <v>24.8</v>
      </c>
      <c r="S78" s="983">
        <v>25.6</v>
      </c>
      <c r="T78" s="967">
        <v>27</v>
      </c>
    </row>
    <row r="79" spans="1:20" x14ac:dyDescent="0.3">
      <c r="A79" s="875"/>
      <c r="B79" s="32"/>
      <c r="C79" s="306"/>
      <c r="D79" s="166"/>
      <c r="E79" s="161"/>
      <c r="F79" s="952"/>
      <c r="G79" s="961"/>
      <c r="H79" s="961"/>
      <c r="I79" s="961"/>
      <c r="J79" s="961"/>
      <c r="K79" s="961"/>
      <c r="L79" s="961"/>
      <c r="M79" s="345"/>
      <c r="N79" s="976"/>
      <c r="O79" s="973"/>
      <c r="P79" s="955"/>
      <c r="Q79" s="956"/>
      <c r="R79" s="956"/>
      <c r="S79" s="954"/>
      <c r="T79" s="967">
        <v>28</v>
      </c>
    </row>
    <row r="80" spans="1:20" x14ac:dyDescent="0.3">
      <c r="A80" s="875"/>
      <c r="B80" s="32"/>
      <c r="C80" s="306"/>
      <c r="D80" s="166"/>
      <c r="E80" s="161"/>
      <c r="F80" s="957" t="s">
        <v>461</v>
      </c>
      <c r="G80" s="961"/>
      <c r="H80" s="961"/>
      <c r="I80" s="961"/>
      <c r="J80" s="961"/>
      <c r="K80" s="961"/>
      <c r="L80" s="961"/>
      <c r="M80" s="345"/>
      <c r="N80" s="961"/>
      <c r="O80" s="963"/>
      <c r="P80" s="955"/>
      <c r="Q80" s="956"/>
      <c r="R80" s="956"/>
      <c r="S80" s="954"/>
      <c r="T80" s="967">
        <v>29</v>
      </c>
    </row>
    <row r="81" spans="1:20" x14ac:dyDescent="0.3">
      <c r="A81" s="875" t="s">
        <v>136</v>
      </c>
      <c r="B81" s="32">
        <f t="shared" si="37"/>
        <v>111</v>
      </c>
      <c r="C81" s="306">
        <v>1</v>
      </c>
      <c r="D81" s="922">
        <v>11</v>
      </c>
      <c r="E81" s="161">
        <f t="shared" ref="E81:E91" si="71">IF($D81&gt;0,VLOOKUP($D81,EventsOrder,2,FALSE)," ")</f>
        <v>12.15</v>
      </c>
      <c r="F81" s="959" t="str">
        <f t="shared" ref="F81:F91" si="72">IF($D81&gt;0,VLOOKUP($D81,EventsOrder,6,FALSE)," ")</f>
        <v xml:space="preserve">Shot (U18) </v>
      </c>
      <c r="G81" s="960">
        <f t="shared" si="58"/>
        <v>4</v>
      </c>
      <c r="H81" s="345" t="str">
        <f t="shared" ref="H81:I91" si="73">VLOOKUP($B81,Athlete,H$1,FALSE)</f>
        <v>Ted Freeman</v>
      </c>
      <c r="I81" s="342" t="str">
        <f t="shared" si="73"/>
        <v>U</v>
      </c>
      <c r="J81" s="345" t="str">
        <f t="shared" ref="J81:J91" si="74">VLOOKUP(LEFT(I81,1),V$4:W$11,2,FALSE)</f>
        <v>Kidder &amp; Stourport</v>
      </c>
      <c r="K81" s="354"/>
      <c r="L81" s="968">
        <f t="shared" ref="K81:L91" si="75">VLOOKUP($B81,Athlete,L$1,FALSE)</f>
        <v>11.04</v>
      </c>
      <c r="M81" s="345" t="str">
        <f t="shared" ref="M81" si="76">IF(A81="T","Sec","Mtr")</f>
        <v>Mtr</v>
      </c>
      <c r="N81" s="961">
        <f t="shared" ref="N81:N90" si="77">IF(G81=0,S81,HLOOKUP(G81,P$52:S$91,T81))</f>
        <v>10.7</v>
      </c>
      <c r="O81" s="963">
        <f t="shared" ref="O81:O90" si="78">IF(A81="T",(N81-L81)/N81,(L81-N81)/N81)</f>
        <v>3.1775700934579425E-2</v>
      </c>
      <c r="P81" s="955">
        <v>13.4</v>
      </c>
      <c r="Q81" s="956">
        <v>12.55</v>
      </c>
      <c r="R81" s="956">
        <v>11.8</v>
      </c>
      <c r="S81" s="954">
        <v>10.7</v>
      </c>
      <c r="T81" s="967">
        <v>30</v>
      </c>
    </row>
    <row r="82" spans="1:20" x14ac:dyDescent="0.3">
      <c r="A82" s="875" t="s">
        <v>107</v>
      </c>
      <c r="B82" s="32">
        <f t="shared" si="37"/>
        <v>181</v>
      </c>
      <c r="C82" s="306">
        <v>1</v>
      </c>
      <c r="D82" s="922">
        <v>18</v>
      </c>
      <c r="E82" s="161">
        <f t="shared" si="71"/>
        <v>12.2</v>
      </c>
      <c r="F82" s="959" t="str">
        <f t="shared" si="72"/>
        <v xml:space="preserve">800m (U18/U20) </v>
      </c>
      <c r="G82" s="960">
        <f t="shared" si="58"/>
        <v>3</v>
      </c>
      <c r="H82" s="345" t="str">
        <f t="shared" si="73"/>
        <v>Joel Benton</v>
      </c>
      <c r="I82" s="342" t="str">
        <f t="shared" si="73"/>
        <v>R</v>
      </c>
      <c r="J82" s="345" t="str">
        <f t="shared" si="74"/>
        <v>Rugby &amp; N'hampton</v>
      </c>
      <c r="K82" s="354" t="str">
        <f t="shared" si="75"/>
        <v>2.02.0</v>
      </c>
      <c r="L82" s="961">
        <f>(LEFT(K82,1)*60)+MID(K82,3,2)+((RIGHT(K82,1)/10))</f>
        <v>122</v>
      </c>
      <c r="M82" s="962" t="str">
        <f>IF(A82="T","Sec","Mtr")</f>
        <v>Sec</v>
      </c>
      <c r="N82" s="961">
        <f t="shared" si="77"/>
        <v>123</v>
      </c>
      <c r="O82" s="963">
        <f t="shared" si="78"/>
        <v>8.130081300813009E-3</v>
      </c>
      <c r="P82" s="955">
        <v>118.2</v>
      </c>
      <c r="Q82" s="956">
        <v>120</v>
      </c>
      <c r="R82" s="956">
        <v>123</v>
      </c>
      <c r="S82" s="954">
        <v>127</v>
      </c>
      <c r="T82" s="967">
        <v>31</v>
      </c>
    </row>
    <row r="83" spans="1:20" x14ac:dyDescent="0.3">
      <c r="A83" s="875" t="s">
        <v>136</v>
      </c>
      <c r="B83" s="32">
        <f t="shared" si="37"/>
        <v>231</v>
      </c>
      <c r="C83" s="306">
        <v>1</v>
      </c>
      <c r="D83" s="922">
        <v>23</v>
      </c>
      <c r="E83" s="161">
        <f t="shared" si="71"/>
        <v>1</v>
      </c>
      <c r="F83" s="959" t="str">
        <f t="shared" si="72"/>
        <v>Discus (U18) Match 2</v>
      </c>
      <c r="G83" s="960">
        <f t="shared" si="58"/>
        <v>0</v>
      </c>
      <c r="H83" s="345" t="str">
        <f t="shared" si="73"/>
        <v/>
      </c>
      <c r="I83" s="342">
        <f t="shared" si="73"/>
        <v>0</v>
      </c>
      <c r="J83" s="345" t="e">
        <f t="shared" si="74"/>
        <v>#N/A</v>
      </c>
      <c r="K83" s="354"/>
      <c r="L83" s="968">
        <f t="shared" si="75"/>
        <v>0</v>
      </c>
      <c r="M83" s="345" t="str">
        <f t="shared" ref="M83:M90" si="79">IF(A83="T","Sec","Mtr")</f>
        <v>Mtr</v>
      </c>
      <c r="N83" s="961">
        <f t="shared" si="77"/>
        <v>27.95</v>
      </c>
      <c r="O83" s="963">
        <f t="shared" si="78"/>
        <v>-1</v>
      </c>
      <c r="P83" s="955">
        <v>40.700000000000003</v>
      </c>
      <c r="Q83" s="956">
        <v>37.200000000000003</v>
      </c>
      <c r="R83" s="956">
        <v>33.200000000000003</v>
      </c>
      <c r="S83" s="954">
        <v>27.95</v>
      </c>
      <c r="T83" s="967">
        <v>32</v>
      </c>
    </row>
    <row r="84" spans="1:20" x14ac:dyDescent="0.3">
      <c r="A84" s="875" t="s">
        <v>107</v>
      </c>
      <c r="B84" s="32">
        <f t="shared" si="37"/>
        <v>271</v>
      </c>
      <c r="C84" s="306">
        <v>1</v>
      </c>
      <c r="D84" s="922">
        <v>27</v>
      </c>
      <c r="E84" s="161">
        <f t="shared" si="71"/>
        <v>1.1000000000000001</v>
      </c>
      <c r="F84" s="959" t="str">
        <f t="shared" si="72"/>
        <v xml:space="preserve">110m hurdles (U18) </v>
      </c>
      <c r="G84" s="960">
        <f t="shared" si="58"/>
        <v>4</v>
      </c>
      <c r="H84" s="345" t="str">
        <f t="shared" si="73"/>
        <v>Ben Hilton</v>
      </c>
      <c r="I84" s="342" t="str">
        <f t="shared" si="73"/>
        <v>M</v>
      </c>
      <c r="J84" s="345" t="str">
        <f t="shared" si="74"/>
        <v>Solihull &amp; S.Heath</v>
      </c>
      <c r="K84" s="354"/>
      <c r="L84" s="968">
        <f t="shared" si="75"/>
        <v>15.3</v>
      </c>
      <c r="M84" s="345" t="str">
        <f t="shared" si="79"/>
        <v>Sec</v>
      </c>
      <c r="N84" s="961">
        <f t="shared" si="77"/>
        <v>15.4</v>
      </c>
      <c r="O84" s="963">
        <f t="shared" si="78"/>
        <v>6.4935064935064705E-3</v>
      </c>
      <c r="P84" s="955">
        <v>13.8</v>
      </c>
      <c r="Q84" s="956">
        <v>14.1</v>
      </c>
      <c r="R84" s="956">
        <v>14.6</v>
      </c>
      <c r="S84" s="954">
        <v>15.4</v>
      </c>
      <c r="T84" s="967">
        <v>33</v>
      </c>
    </row>
    <row r="85" spans="1:20" x14ac:dyDescent="0.3">
      <c r="A85" s="875" t="s">
        <v>136</v>
      </c>
      <c r="B85" s="32">
        <f t="shared" si="37"/>
        <v>301</v>
      </c>
      <c r="C85" s="306">
        <v>1</v>
      </c>
      <c r="D85" s="922">
        <v>30</v>
      </c>
      <c r="E85" s="161">
        <f t="shared" si="71"/>
        <v>1.3</v>
      </c>
      <c r="F85" s="959" t="str">
        <f t="shared" si="72"/>
        <v>Long Jump (U18/20) Pit1</v>
      </c>
      <c r="G85" s="960">
        <f t="shared" si="58"/>
        <v>0</v>
      </c>
      <c r="H85" s="345" t="str">
        <f t="shared" si="73"/>
        <v>George Wright</v>
      </c>
      <c r="I85" s="342" t="str">
        <f t="shared" si="73"/>
        <v>DD</v>
      </c>
      <c r="J85" s="345" t="str">
        <f t="shared" si="74"/>
        <v>Stratford</v>
      </c>
      <c r="K85" s="354"/>
      <c r="L85" s="968">
        <f t="shared" si="75"/>
        <v>5.54</v>
      </c>
      <c r="M85" s="345" t="str">
        <f t="shared" si="79"/>
        <v>Mtr</v>
      </c>
      <c r="N85" s="961">
        <f t="shared" si="77"/>
        <v>5.6</v>
      </c>
      <c r="O85" s="963">
        <f t="shared" si="78"/>
        <v>-1.0714285714285645E-2</v>
      </c>
      <c r="P85" s="955">
        <v>6.35</v>
      </c>
      <c r="Q85" s="956">
        <v>6.15</v>
      </c>
      <c r="R85" s="956">
        <v>5.95</v>
      </c>
      <c r="S85" s="954">
        <v>5.6</v>
      </c>
      <c r="T85" s="967">
        <v>34</v>
      </c>
    </row>
    <row r="86" spans="1:20" x14ac:dyDescent="0.3">
      <c r="A86" s="875" t="s">
        <v>107</v>
      </c>
      <c r="B86" s="32">
        <f t="shared" si="37"/>
        <v>311</v>
      </c>
      <c r="C86" s="306">
        <v>1</v>
      </c>
      <c r="D86" s="922">
        <v>31</v>
      </c>
      <c r="E86" s="161">
        <f t="shared" si="71"/>
        <v>1.35</v>
      </c>
      <c r="F86" s="959" t="str">
        <f t="shared" si="72"/>
        <v xml:space="preserve">400m (U18/U20) </v>
      </c>
      <c r="G86" s="960">
        <f t="shared" si="58"/>
        <v>2</v>
      </c>
      <c r="H86" s="345" t="str">
        <f t="shared" si="73"/>
        <v>Tom Stanton</v>
      </c>
      <c r="I86" s="342" t="str">
        <f t="shared" si="73"/>
        <v>D</v>
      </c>
      <c r="J86" s="345" t="str">
        <f t="shared" si="74"/>
        <v>Stratford</v>
      </c>
      <c r="K86" s="354"/>
      <c r="L86" s="968">
        <f t="shared" si="75"/>
        <v>51.8</v>
      </c>
      <c r="M86" s="345" t="str">
        <f t="shared" si="79"/>
        <v>Sec</v>
      </c>
      <c r="N86" s="961">
        <f t="shared" si="77"/>
        <v>51.9</v>
      </c>
      <c r="O86" s="963">
        <f t="shared" si="78"/>
        <v>1.9267822736031104E-3</v>
      </c>
      <c r="P86" s="955">
        <v>51.2</v>
      </c>
      <c r="Q86" s="956">
        <v>51.9</v>
      </c>
      <c r="R86" s="956">
        <v>52.9</v>
      </c>
      <c r="S86" s="954">
        <v>54.5</v>
      </c>
      <c r="T86" s="967">
        <v>35</v>
      </c>
    </row>
    <row r="87" spans="1:20" x14ac:dyDescent="0.3">
      <c r="A87" s="875" t="s">
        <v>107</v>
      </c>
      <c r="B87" s="32">
        <f t="shared" si="37"/>
        <v>461</v>
      </c>
      <c r="C87" s="306">
        <v>1</v>
      </c>
      <c r="D87" s="922">
        <v>46</v>
      </c>
      <c r="E87" s="161">
        <f t="shared" si="71"/>
        <v>2.4500000000000002</v>
      </c>
      <c r="F87" s="959" t="str">
        <f t="shared" si="72"/>
        <v xml:space="preserve">100m (U18/U20) </v>
      </c>
      <c r="G87" s="960">
        <f t="shared" si="58"/>
        <v>1</v>
      </c>
      <c r="H87" s="345" t="str">
        <f t="shared" si="73"/>
        <v>Noah Latusek</v>
      </c>
      <c r="I87" s="342" t="str">
        <f t="shared" si="73"/>
        <v>M</v>
      </c>
      <c r="J87" s="345" t="str">
        <f t="shared" si="74"/>
        <v>Solihull &amp; S.Heath</v>
      </c>
      <c r="K87" s="354"/>
      <c r="L87" s="968">
        <f t="shared" si="75"/>
        <v>11.2</v>
      </c>
      <c r="M87" s="345" t="str">
        <f t="shared" si="79"/>
        <v>Sec</v>
      </c>
      <c r="N87" s="961">
        <f t="shared" si="77"/>
        <v>11.2</v>
      </c>
      <c r="O87" s="963">
        <f t="shared" si="78"/>
        <v>0</v>
      </c>
      <c r="P87" s="955">
        <v>11.2</v>
      </c>
      <c r="Q87" s="956">
        <v>11.3</v>
      </c>
      <c r="R87" s="956">
        <v>11.5</v>
      </c>
      <c r="S87" s="954">
        <v>11.8</v>
      </c>
      <c r="T87" s="967">
        <v>36</v>
      </c>
    </row>
    <row r="88" spans="1:20" x14ac:dyDescent="0.3">
      <c r="A88" s="875" t="s">
        <v>136</v>
      </c>
      <c r="B88" s="32">
        <f t="shared" si="37"/>
        <v>611</v>
      </c>
      <c r="C88" s="306">
        <v>1</v>
      </c>
      <c r="D88" s="922">
        <v>61</v>
      </c>
      <c r="E88" s="161">
        <f t="shared" si="71"/>
        <v>3.3</v>
      </c>
      <c r="F88" s="959" t="str">
        <f t="shared" si="72"/>
        <v>Javelin (U18) Match 1 &amp; 3</v>
      </c>
      <c r="G88" s="960">
        <f t="shared" si="58"/>
        <v>2</v>
      </c>
      <c r="H88" s="345" t="str">
        <f t="shared" si="73"/>
        <v>Ted Freeman</v>
      </c>
      <c r="I88" s="342" t="str">
        <f t="shared" si="73"/>
        <v>U</v>
      </c>
      <c r="J88" s="345" t="str">
        <f t="shared" si="74"/>
        <v>Kidder &amp; Stourport</v>
      </c>
      <c r="K88" s="354"/>
      <c r="L88" s="968">
        <f t="shared" si="75"/>
        <v>50.53</v>
      </c>
      <c r="M88" s="345" t="str">
        <f t="shared" si="79"/>
        <v>Mtr</v>
      </c>
      <c r="N88" s="961">
        <f t="shared" si="77"/>
        <v>47.9</v>
      </c>
      <c r="O88" s="963">
        <f t="shared" si="78"/>
        <v>5.4906054279749532E-2</v>
      </c>
      <c r="P88" s="955">
        <v>50.75</v>
      </c>
      <c r="Q88" s="956">
        <v>47.9</v>
      </c>
      <c r="R88" s="956">
        <v>43.85</v>
      </c>
      <c r="S88" s="954">
        <v>38.85</v>
      </c>
      <c r="T88" s="967">
        <v>37</v>
      </c>
    </row>
    <row r="89" spans="1:20" x14ac:dyDescent="0.3">
      <c r="A89" s="875" t="s">
        <v>107</v>
      </c>
      <c r="B89" s="32">
        <f t="shared" si="37"/>
        <v>621</v>
      </c>
      <c r="C89" s="306">
        <v>1</v>
      </c>
      <c r="D89" s="922">
        <v>62</v>
      </c>
      <c r="E89" s="161">
        <f t="shared" si="71"/>
        <v>3.3</v>
      </c>
      <c r="F89" s="959" t="str">
        <f t="shared" si="72"/>
        <v xml:space="preserve">1500m (U18/U20) </v>
      </c>
      <c r="G89" s="960">
        <f t="shared" si="58"/>
        <v>2</v>
      </c>
      <c r="H89" s="345" t="str">
        <f t="shared" si="73"/>
        <v>Tom Fisher</v>
      </c>
      <c r="I89" s="342" t="str">
        <f t="shared" si="73"/>
        <v>D</v>
      </c>
      <c r="J89" s="345" t="str">
        <f t="shared" si="74"/>
        <v>Stratford</v>
      </c>
      <c r="K89" s="354" t="str">
        <f t="shared" si="75"/>
        <v>4.09.2</v>
      </c>
      <c r="L89" s="968">
        <f>(LEFT(K89,1)*60)+MID(K89,3,2)+((RIGHT(K89,1)/10))</f>
        <v>249.2</v>
      </c>
      <c r="M89" s="345" t="str">
        <f>IF(A89="T","Sec","Mtr")</f>
        <v>Sec</v>
      </c>
      <c r="N89" s="961">
        <f t="shared" ref="N89" si="80">IF(G89=0,S89,HLOOKUP(G89,P$52:S$91,T89))</f>
        <v>252</v>
      </c>
      <c r="O89" s="963">
        <f t="shared" ref="O89" si="81">IF(A89="T",(N89-L89)/N89,(L89-N89)/N89)</f>
        <v>1.1111111111111157E-2</v>
      </c>
      <c r="P89" s="981">
        <v>246.5</v>
      </c>
      <c r="Q89" s="982">
        <v>252</v>
      </c>
      <c r="R89" s="982">
        <v>257.5</v>
      </c>
      <c r="S89" s="983">
        <v>267</v>
      </c>
      <c r="T89" s="967">
        <v>38</v>
      </c>
    </row>
    <row r="90" spans="1:20" x14ac:dyDescent="0.3">
      <c r="A90" s="875" t="s">
        <v>136</v>
      </c>
      <c r="B90" s="32">
        <f t="shared" si="37"/>
        <v>691</v>
      </c>
      <c r="C90" s="306">
        <v>1</v>
      </c>
      <c r="D90" s="922">
        <v>69</v>
      </c>
      <c r="E90" s="161">
        <f t="shared" si="71"/>
        <v>4.0999999999999996</v>
      </c>
      <c r="F90" s="959" t="str">
        <f t="shared" si="72"/>
        <v xml:space="preserve">High Jump (U18/U20) </v>
      </c>
      <c r="G90" s="960">
        <f t="shared" si="58"/>
        <v>0</v>
      </c>
      <c r="H90" s="345" t="str">
        <f t="shared" si="73"/>
        <v/>
      </c>
      <c r="I90" s="342">
        <f t="shared" si="73"/>
        <v>0</v>
      </c>
      <c r="J90" s="345" t="e">
        <f t="shared" si="74"/>
        <v>#N/A</v>
      </c>
      <c r="K90" s="354"/>
      <c r="L90" s="968">
        <f t="shared" si="75"/>
        <v>0</v>
      </c>
      <c r="M90" s="345" t="str">
        <f t="shared" si="79"/>
        <v>Mtr</v>
      </c>
      <c r="N90" s="961">
        <f t="shared" si="77"/>
        <v>1.7</v>
      </c>
      <c r="O90" s="963">
        <f t="shared" si="78"/>
        <v>-1</v>
      </c>
      <c r="P90" s="978">
        <v>1.9</v>
      </c>
      <c r="Q90" s="979">
        <v>1.85</v>
      </c>
      <c r="R90" s="979">
        <v>1.78</v>
      </c>
      <c r="S90" s="980">
        <v>1.7</v>
      </c>
      <c r="T90" s="967">
        <v>39</v>
      </c>
    </row>
    <row r="91" spans="1:20" x14ac:dyDescent="0.3">
      <c r="A91" s="875" t="s">
        <v>107</v>
      </c>
      <c r="B91" s="32">
        <f t="shared" si="37"/>
        <v>761</v>
      </c>
      <c r="C91" s="306">
        <v>1</v>
      </c>
      <c r="D91" s="922">
        <v>76</v>
      </c>
      <c r="E91" s="161">
        <f t="shared" si="71"/>
        <v>4.3</v>
      </c>
      <c r="F91" s="959" t="str">
        <f t="shared" si="72"/>
        <v xml:space="preserve">200m (U18/U20) </v>
      </c>
      <c r="G91" s="960">
        <f t="shared" si="58"/>
        <v>3</v>
      </c>
      <c r="H91" s="345" t="str">
        <f t="shared" si="73"/>
        <v>Max Roberts</v>
      </c>
      <c r="I91" s="342" t="str">
        <f t="shared" si="73"/>
        <v>R</v>
      </c>
      <c r="J91" s="345" t="str">
        <f t="shared" si="74"/>
        <v>Rugby &amp; N'hampton</v>
      </c>
      <c r="K91" s="354"/>
      <c r="L91" s="968">
        <f t="shared" si="75"/>
        <v>23.2</v>
      </c>
      <c r="M91" s="345" t="str">
        <f t="shared" ref="M91" si="82">IF(A91="T","Sec","Mtr")</f>
        <v>Sec</v>
      </c>
      <c r="N91" s="961">
        <f t="shared" ref="N91" si="83">IF(G91=0,S91,HLOOKUP(G91,P$52:S$91,T91))</f>
        <v>23.4</v>
      </c>
      <c r="O91" s="963">
        <f t="shared" ref="O91" si="84">IF(A91="T",(N91-L91)/N91,(L91-N91)/N91)</f>
        <v>8.5470085470085166E-3</v>
      </c>
      <c r="P91" s="955">
        <v>22.6</v>
      </c>
      <c r="Q91" s="956">
        <v>23</v>
      </c>
      <c r="R91" s="956">
        <v>23.4</v>
      </c>
      <c r="S91" s="954">
        <v>24.1</v>
      </c>
      <c r="T91" s="967">
        <v>40</v>
      </c>
    </row>
    <row r="92" spans="1:20" ht="15" thickBot="1" x14ac:dyDescent="0.35">
      <c r="C92" s="114"/>
      <c r="D92" s="987"/>
      <c r="E92" s="987"/>
      <c r="F92" s="1005"/>
      <c r="G92" s="1006"/>
      <c r="H92" s="987"/>
      <c r="I92" s="987"/>
      <c r="J92" s="987"/>
      <c r="K92" s="374"/>
      <c r="L92" s="374"/>
      <c r="M92" s="987"/>
      <c r="N92" s="1007"/>
      <c r="O92" s="1008"/>
      <c r="P92" s="990"/>
      <c r="Q92" s="991"/>
      <c r="R92" s="991"/>
      <c r="S92" s="992"/>
      <c r="T92" s="993"/>
    </row>
  </sheetData>
  <sheetProtection sheet="1" objects="1" scenarios="1"/>
  <mergeCells count="2">
    <mergeCell ref="P5:S5"/>
    <mergeCell ref="P51:S51"/>
  </mergeCells>
  <conditionalFormatting sqref="P15:T15">
    <cfRule type="expression" dxfId="15" priority="4">
      <formula>"$n$22=$n16"</formula>
    </cfRule>
  </conditionalFormatting>
  <conditionalFormatting sqref="T61">
    <cfRule type="expression" dxfId="14" priority="3">
      <formula>"$n$22=$n16"</formula>
    </cfRule>
  </conditionalFormatting>
  <conditionalFormatting sqref="G10:G19 G36:G46 G23:G33">
    <cfRule type="cellIs" dxfId="13" priority="2" operator="equal">
      <formula>1</formula>
    </cfRule>
  </conditionalFormatting>
  <conditionalFormatting sqref="G56:G65 G81:G91 G68:G78">
    <cfRule type="cellIs" dxfId="12" priority="1" operator="equal">
      <formula>1</formula>
    </cfRule>
  </conditionalFormatting>
  <pageMargins left="0.51181102362204722" right="0.70866141732283472" top="0.35433070866141736" bottom="0.55118110236220474" header="0.11811023622047245" footer="0.11811023622047245"/>
  <pageSetup paperSize="9" scale="74" fitToHeight="0" orientation="landscape" horizontalDpi="360" verticalDpi="36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37B38-4BEB-4571-B9B4-8DF50A416584}">
  <sheetPr>
    <pageSetUpPr fitToPage="1"/>
  </sheetPr>
  <dimension ref="B1:AA37"/>
  <sheetViews>
    <sheetView showZeros="0" topLeftCell="B1" workbookViewId="0">
      <selection activeCell="J5" sqref="J5"/>
    </sheetView>
  </sheetViews>
  <sheetFormatPr defaultRowHeight="14.4" x14ac:dyDescent="0.3"/>
  <cols>
    <col min="2" max="2" width="5.33203125" customWidth="1"/>
    <col min="3" max="3" width="7.109375" customWidth="1"/>
    <col min="4" max="4" width="22.6640625" bestFit="1" customWidth="1"/>
    <col min="6" max="6" width="13.6640625" bestFit="1" customWidth="1"/>
    <col min="7" max="7" width="2" customWidth="1"/>
    <col min="8" max="8" width="3.88671875" customWidth="1"/>
    <col min="9" max="9" width="5.44140625" customWidth="1"/>
    <col min="10" max="10" width="6.109375" customWidth="1"/>
    <col min="11" max="11" width="24.5546875" bestFit="1" customWidth="1"/>
    <col min="12" max="12" width="22.109375" customWidth="1"/>
    <col min="13" max="13" width="11.5546875" customWidth="1"/>
    <col min="14" max="14" width="5.6640625" customWidth="1"/>
    <col min="15" max="15" width="7.33203125" customWidth="1"/>
    <col min="16" max="21" width="11.5546875" customWidth="1"/>
    <col min="23" max="23" width="7.109375" customWidth="1"/>
    <col min="24" max="24" width="20.88671875" customWidth="1"/>
    <col min="25" max="25" width="18.6640625" bestFit="1" customWidth="1"/>
    <col min="26" max="26" width="11.88671875" bestFit="1" customWidth="1"/>
    <col min="27" max="27" width="7" customWidth="1"/>
  </cols>
  <sheetData>
    <row r="1" spans="2:27" x14ac:dyDescent="0.3">
      <c r="B1" s="32"/>
      <c r="C1" s="32"/>
      <c r="K1" s="1254" t="str">
        <f>'Event Details'!C17</f>
        <v>17th May 2026</v>
      </c>
      <c r="L1" s="32"/>
      <c r="T1" s="32"/>
      <c r="U1" s="32"/>
    </row>
    <row r="2" spans="2:27" ht="15" thickBot="1" x14ac:dyDescent="0.35">
      <c r="B2" s="32"/>
      <c r="C2" s="32"/>
      <c r="L2" s="32"/>
      <c r="T2" s="32"/>
      <c r="U2" s="32"/>
    </row>
    <row r="3" spans="2:27" x14ac:dyDescent="0.3">
      <c r="B3" s="653"/>
      <c r="C3" s="49"/>
      <c r="D3" s="48"/>
      <c r="E3" s="48"/>
      <c r="F3" s="48"/>
      <c r="G3" s="48"/>
      <c r="H3" s="50"/>
      <c r="I3" s="4"/>
      <c r="J3" s="1059" t="s">
        <v>258</v>
      </c>
      <c r="K3" s="89" t="s">
        <v>165</v>
      </c>
      <c r="L3" s="90" t="s">
        <v>169</v>
      </c>
      <c r="M3" s="9" t="s">
        <v>249</v>
      </c>
      <c r="R3" s="1275" t="s">
        <v>382</v>
      </c>
      <c r="S3" s="1060" t="s">
        <v>151</v>
      </c>
      <c r="T3" s="32"/>
      <c r="U3" s="32"/>
    </row>
    <row r="4" spans="2:27" s="140" customFormat="1" ht="16.2" thickBot="1" x14ac:dyDescent="0.35">
      <c r="B4" s="1061" t="s">
        <v>383</v>
      </c>
      <c r="C4" s="1062"/>
      <c r="D4" s="1062"/>
      <c r="E4" s="1062"/>
      <c r="F4" s="1062"/>
      <c r="G4" s="1062"/>
      <c r="H4" s="1063"/>
      <c r="I4" s="1064"/>
      <c r="J4" s="1065">
        <v>35</v>
      </c>
      <c r="K4" s="366" t="str">
        <f>VLOOKUP(J4,EventsOrder,6,FALSE)</f>
        <v xml:space="preserve">Shot (U18) </v>
      </c>
      <c r="L4" s="1066" t="str">
        <f>VLOOKUP(J4,FieldEventDraw,3,FALSE)</f>
        <v>U18 Female</v>
      </c>
      <c r="M4" s="75" t="str">
        <f>IF(MID(L4,5,1)="F","F","M")</f>
        <v>F</v>
      </c>
      <c r="N4"/>
      <c r="O4"/>
      <c r="P4"/>
      <c r="Q4"/>
      <c r="T4" s="148"/>
      <c r="U4" s="148"/>
    </row>
    <row r="5" spans="2:27" x14ac:dyDescent="0.3">
      <c r="B5" s="32"/>
      <c r="C5" s="32"/>
      <c r="L5" s="32"/>
      <c r="T5" s="32"/>
      <c r="U5" s="32"/>
    </row>
    <row r="6" spans="2:27" ht="15" thickBot="1" x14ac:dyDescent="0.35">
      <c r="B6" s="32"/>
      <c r="C6" s="32"/>
      <c r="L6" s="32"/>
      <c r="T6" s="32"/>
      <c r="U6" s="32"/>
    </row>
    <row r="7" spans="2:27" ht="18.75" customHeight="1" x14ac:dyDescent="0.3">
      <c r="B7" s="1335" t="s">
        <v>165</v>
      </c>
      <c r="C7" s="859" t="s">
        <v>168</v>
      </c>
      <c r="D7" s="1260" t="s">
        <v>241</v>
      </c>
      <c r="E7" s="1260" t="s">
        <v>384</v>
      </c>
      <c r="F7" s="1261" t="s">
        <v>169</v>
      </c>
      <c r="G7" t="str">
        <f>CONCATENATE(M5,O5)</f>
        <v/>
      </c>
      <c r="I7" s="4"/>
      <c r="J7" s="471" t="s">
        <v>62</v>
      </c>
      <c r="K7" s="48"/>
      <c r="L7" s="64" t="str">
        <f>"Event  No "&amp;J4&amp;"      "&amp;K4&amp;"       "&amp;L4</f>
        <v>Event  No 35      Shot (U18)        U18 Female</v>
      </c>
      <c r="M7" s="567"/>
      <c r="N7" s="567"/>
      <c r="O7" s="1067"/>
      <c r="P7" s="1068">
        <f>VLOOKUP($J4,EventsOrder,2,FALSE)</f>
        <v>1.5</v>
      </c>
      <c r="Q7" s="1069" t="s">
        <v>385</v>
      </c>
      <c r="R7" s="89" t="s">
        <v>64</v>
      </c>
      <c r="S7" s="1070">
        <f>'Event Details'!E9</f>
        <v>1</v>
      </c>
      <c r="T7" s="49"/>
      <c r="U7" s="138"/>
      <c r="W7" s="360"/>
      <c r="X7" s="880"/>
      <c r="Y7" s="880"/>
      <c r="Z7" s="680"/>
      <c r="AA7" s="1071"/>
    </row>
    <row r="8" spans="2:27" ht="18.75" customHeight="1" thickBot="1" x14ac:dyDescent="0.35">
      <c r="B8" s="1163"/>
      <c r="C8" s="32"/>
      <c r="D8" s="118"/>
      <c r="E8" s="118"/>
      <c r="F8" s="803"/>
      <c r="I8" s="51"/>
      <c r="L8" s="1073" t="str">
        <f>"  Date:   "&amp;K1</f>
        <v xml:space="preserve">  Date:   17th May 2026</v>
      </c>
      <c r="O8" s="1074" t="str">
        <f>"Weight "&amp;VLOOKUP($J4,B9:E36,4,FALSE)</f>
        <v>Weight 3Kg(u18)</v>
      </c>
      <c r="Q8" s="72"/>
      <c r="R8" s="55" t="s">
        <v>67</v>
      </c>
      <c r="S8" s="874" t="str">
        <f>'Event Details'!E17</f>
        <v>Bruce williams Way</v>
      </c>
      <c r="T8" s="32"/>
      <c r="U8" s="146"/>
      <c r="W8" s="1075" t="s">
        <v>86</v>
      </c>
      <c r="X8" s="1076" t="s">
        <v>86</v>
      </c>
      <c r="Y8" s="1076" t="s">
        <v>255</v>
      </c>
      <c r="Z8" s="1076" t="s">
        <v>256</v>
      </c>
      <c r="AA8" s="1077" t="s">
        <v>263</v>
      </c>
    </row>
    <row r="9" spans="2:27" ht="20.25" customHeight="1" thickBot="1" x14ac:dyDescent="0.35">
      <c r="B9" s="1262">
        <v>5</v>
      </c>
      <c r="C9" s="221">
        <f>IF($B9&gt;0,VLOOKUP($B9,EventsOrder,2,FALSE)," ")</f>
        <v>11.45</v>
      </c>
      <c r="D9" s="1259" t="str">
        <f>IF($B9&gt;0,VLOOKUP($B9,EventsOrder,6,FALSE)," ")</f>
        <v xml:space="preserve">Howler </v>
      </c>
      <c r="E9" s="1268">
        <f t="shared" ref="E9:E36" si="0">IF($B9&gt;0,VLOOKUP($B9,EventsOrder,8,FALSE)," ")</f>
        <v>0</v>
      </c>
      <c r="F9" s="1263" t="str">
        <f>IF($B9&gt;0,VLOOKUP($B9,EventsOrder,4,FALSE)," ")</f>
        <v>U12 Male</v>
      </c>
      <c r="I9" s="1082" t="s">
        <v>386</v>
      </c>
      <c r="J9" s="1083" t="s">
        <v>71</v>
      </c>
      <c r="K9" s="1084" t="s">
        <v>387</v>
      </c>
      <c r="L9" s="1085" t="s">
        <v>86</v>
      </c>
      <c r="M9" s="1082" t="s">
        <v>388</v>
      </c>
      <c r="N9" s="1083" t="s">
        <v>389</v>
      </c>
      <c r="O9" s="895"/>
      <c r="P9" s="1084" t="s">
        <v>390</v>
      </c>
      <c r="Q9" s="1086" t="s">
        <v>391</v>
      </c>
      <c r="R9" s="1087" t="s">
        <v>392</v>
      </c>
      <c r="S9" s="1084" t="s">
        <v>393</v>
      </c>
      <c r="T9" s="1088" t="s">
        <v>394</v>
      </c>
      <c r="U9" s="1089" t="s">
        <v>94</v>
      </c>
      <c r="W9" s="1090" t="s">
        <v>71</v>
      </c>
      <c r="X9" s="361"/>
      <c r="Y9" s="1091" t="s">
        <v>75</v>
      </c>
      <c r="Z9" s="1091" t="s">
        <v>75</v>
      </c>
      <c r="AA9" s="1092"/>
    </row>
    <row r="10" spans="2:27" ht="18" customHeight="1" x14ac:dyDescent="0.3">
      <c r="B10" s="1262">
        <v>6</v>
      </c>
      <c r="C10" s="221">
        <f t="shared" ref="C10:C36" si="1">IF($B10&gt;0,VLOOKUP($B10,EventsOrder,2,FALSE)," ")</f>
        <v>11.45</v>
      </c>
      <c r="D10" s="1259" t="str">
        <f t="shared" ref="D10:D36" si="2">IF($B10&gt;0,VLOOKUP($B10,EventsOrder,6,FALSE)," ")</f>
        <v xml:space="preserve">Howler </v>
      </c>
      <c r="E10" s="1268">
        <f t="shared" si="0"/>
        <v>0</v>
      </c>
      <c r="F10" s="1263" t="str">
        <f t="shared" ref="F10:F36" si="3">IF($B10&gt;0,VLOOKUP($B10,EventsOrder,4,FALSE)," ")</f>
        <v>U12 Female</v>
      </c>
      <c r="G10" s="32">
        <f t="shared" ref="G10:G17" si="4">VLOOKUP($J$4,FieldEventDraw,I10+3,FALSE)</f>
        <v>1</v>
      </c>
      <c r="H10" s="32"/>
      <c r="I10" s="1093" t="s">
        <v>395</v>
      </c>
      <c r="J10" s="1094" t="str">
        <f t="shared" ref="J10:J17" si="5">IF($G10=0,"",VLOOKUP($G10,LaneDraw,2,FALSE))</f>
        <v>S</v>
      </c>
      <c r="K10" s="1095" t="str">
        <f t="shared" ref="K10:K12" si="6">IF(OR(S$3&lt;&gt;"Y",LEN(J10)&lt;1),"",VLOOKUP(J10,W$10:Z$17,3,FALSE))</f>
        <v xml:space="preserve">Hephzibah Emmanuel Kokoh </v>
      </c>
      <c r="L10" s="394" t="str">
        <f t="shared" ref="L10:L25" si="7">IF($G10=0,"",VLOOKUP($G10,LaneDraw,3,FALSE))</f>
        <v>BRAT</v>
      </c>
      <c r="M10" s="693"/>
      <c r="N10" s="1096"/>
      <c r="O10" s="1097"/>
      <c r="P10" s="693"/>
      <c r="Q10" s="1098" t="s">
        <v>396</v>
      </c>
      <c r="R10" s="1099"/>
      <c r="S10" s="693"/>
      <c r="T10" s="1094"/>
      <c r="U10" s="1100"/>
      <c r="W10" s="362" t="str">
        <f>'Event Details'!D22</f>
        <v>S</v>
      </c>
      <c r="X10" s="381" t="str">
        <f>'Event Details'!E22</f>
        <v>BRAT</v>
      </c>
      <c r="Y10" s="1101" t="str">
        <f t="shared" ref="Y10:Y17" si="8">IF(S$3="Y",VLOOKUP($J$4,IF($M$4="F",TeamSheetFemale,TeamSheetMale),AA10,FALSE),"")</f>
        <v xml:space="preserve">Hephzibah Emmanuel Kokoh </v>
      </c>
      <c r="Z10" s="1101" t="str">
        <f t="shared" ref="Z10:Z17" si="9">IF(S$3="Y",VLOOKUP($J$4,IF($M$4="F",TeamSheetFemale,TeamSheetMale),AA10+2,FALSE),"")</f>
        <v xml:space="preserve">Daniella Anozie </v>
      </c>
      <c r="AA10" s="417">
        <v>7</v>
      </c>
    </row>
    <row r="11" spans="2:27" ht="18" customHeight="1" x14ac:dyDescent="0.3">
      <c r="B11" s="1262">
        <v>7</v>
      </c>
      <c r="C11" s="221">
        <f t="shared" si="1"/>
        <v>12</v>
      </c>
      <c r="D11" s="1259" t="str">
        <f t="shared" si="2"/>
        <v>Long Jump Pit 2</v>
      </c>
      <c r="E11" s="1268">
        <f t="shared" si="0"/>
        <v>0</v>
      </c>
      <c r="F11" s="1263" t="str">
        <f t="shared" si="3"/>
        <v>U16 Male</v>
      </c>
      <c r="G11" s="32">
        <f t="shared" si="4"/>
        <v>7</v>
      </c>
      <c r="H11" s="32"/>
      <c r="I11" s="1102" t="s">
        <v>397</v>
      </c>
      <c r="J11" s="499" t="str">
        <f t="shared" si="5"/>
        <v>F</v>
      </c>
      <c r="K11" s="1103" t="str">
        <f t="shared" si="6"/>
        <v>Sophie Godber</v>
      </c>
      <c r="L11" s="353" t="str">
        <f t="shared" si="7"/>
        <v>Tamworth</v>
      </c>
      <c r="M11" s="876"/>
      <c r="N11" s="1104"/>
      <c r="O11" s="826"/>
      <c r="P11" s="876"/>
      <c r="Q11" s="1105" t="s">
        <v>396</v>
      </c>
      <c r="R11" s="1106"/>
      <c r="S11" s="876"/>
      <c r="T11" s="499"/>
      <c r="U11" s="1107"/>
      <c r="W11" s="362" t="str">
        <f>'Event Details'!D23</f>
        <v>U</v>
      </c>
      <c r="X11" s="381" t="str">
        <f>'Event Details'!E23</f>
        <v>Kidder &amp; Stourport</v>
      </c>
      <c r="Y11" s="1101" t="str">
        <f t="shared" si="8"/>
        <v>Emma Ross</v>
      </c>
      <c r="Z11" s="1101" t="str">
        <f t="shared" si="9"/>
        <v>Jessika Shelley</v>
      </c>
      <c r="AA11" s="417">
        <v>12</v>
      </c>
    </row>
    <row r="12" spans="2:27" ht="18" customHeight="1" x14ac:dyDescent="0.3">
      <c r="B12" s="1262">
        <v>11</v>
      </c>
      <c r="C12" s="221">
        <f t="shared" si="1"/>
        <v>12.15</v>
      </c>
      <c r="D12" s="1259" t="str">
        <f t="shared" si="2"/>
        <v xml:space="preserve">Shot (U18) </v>
      </c>
      <c r="E12" s="1268" t="str">
        <f t="shared" si="0"/>
        <v>5.00Kg</v>
      </c>
      <c r="F12" s="1263" t="str">
        <f t="shared" si="3"/>
        <v>U18 Men</v>
      </c>
      <c r="G12" s="32">
        <f t="shared" si="4"/>
        <v>4</v>
      </c>
      <c r="H12" s="32"/>
      <c r="I12" s="1102" t="s">
        <v>398</v>
      </c>
      <c r="J12" s="499" t="str">
        <f t="shared" si="5"/>
        <v>R</v>
      </c>
      <c r="K12" s="1103" t="str">
        <f t="shared" si="6"/>
        <v>Grace O'Malley</v>
      </c>
      <c r="L12" s="353" t="str">
        <f t="shared" si="7"/>
        <v>Rugby &amp; N'hampton</v>
      </c>
      <c r="M12" s="876"/>
      <c r="N12" s="1104"/>
      <c r="O12" s="826"/>
      <c r="P12" s="876"/>
      <c r="Q12" s="1105" t="s">
        <v>396</v>
      </c>
      <c r="R12" s="1106"/>
      <c r="S12" s="876"/>
      <c r="T12" s="499"/>
      <c r="U12" s="1107"/>
      <c r="W12" s="362" t="str">
        <f>'Event Details'!D24</f>
        <v>G</v>
      </c>
      <c r="X12" s="381" t="str">
        <f>'Event Details'!E24</f>
        <v>Royal Sutton</v>
      </c>
      <c r="Y12" s="1101">
        <f t="shared" si="8"/>
        <v>0</v>
      </c>
      <c r="Z12" s="1101">
        <f t="shared" si="9"/>
        <v>0</v>
      </c>
      <c r="AA12" s="417">
        <v>17</v>
      </c>
    </row>
    <row r="13" spans="2:27" ht="18" customHeight="1" x14ac:dyDescent="0.3">
      <c r="B13" s="1262">
        <v>12</v>
      </c>
      <c r="C13" s="221">
        <f t="shared" si="1"/>
        <v>12.15</v>
      </c>
      <c r="D13" s="1259" t="str">
        <f t="shared" si="2"/>
        <v>Discus Match 2</v>
      </c>
      <c r="E13" s="1268" t="str">
        <f t="shared" si="0"/>
        <v>1.00Kg</v>
      </c>
      <c r="F13" s="1263" t="str">
        <f t="shared" si="3"/>
        <v>U16 Female</v>
      </c>
      <c r="G13" s="32">
        <f t="shared" si="4"/>
        <v>3</v>
      </c>
      <c r="H13" s="32"/>
      <c r="I13" s="1102" t="s">
        <v>399</v>
      </c>
      <c r="J13" s="499" t="str">
        <f t="shared" si="5"/>
        <v>G</v>
      </c>
      <c r="K13" s="1103">
        <f>IF(OR(S$3&lt;&gt;"Y",LEN(J13)&lt;1),"",VLOOKUP(J13,W$10:Z$17,3,FALSE))</f>
        <v>0</v>
      </c>
      <c r="L13" s="353" t="str">
        <f t="shared" si="7"/>
        <v>Royal Sutton</v>
      </c>
      <c r="M13" s="876"/>
      <c r="N13" s="1104"/>
      <c r="O13" s="826"/>
      <c r="P13" s="876"/>
      <c r="Q13" s="1105" t="s">
        <v>396</v>
      </c>
      <c r="R13" s="1106"/>
      <c r="S13" s="876"/>
      <c r="T13" s="499"/>
      <c r="U13" s="1107"/>
      <c r="W13" s="362" t="str">
        <f>'Event Details'!D25</f>
        <v>R</v>
      </c>
      <c r="X13" s="381" t="str">
        <f>'Event Details'!E25</f>
        <v>Rugby &amp; N'hampton</v>
      </c>
      <c r="Y13" s="1101" t="str">
        <f t="shared" si="8"/>
        <v>Grace O'Malley</v>
      </c>
      <c r="Z13" s="1101" t="str">
        <f t="shared" si="9"/>
        <v>Chelsea Adams</v>
      </c>
      <c r="AA13" s="417">
        <v>22</v>
      </c>
    </row>
    <row r="14" spans="2:27" ht="18" customHeight="1" thickBot="1" x14ac:dyDescent="0.35">
      <c r="B14" s="1262">
        <v>13</v>
      </c>
      <c r="C14" s="221">
        <f t="shared" si="1"/>
        <v>12.15</v>
      </c>
      <c r="D14" s="1259" t="str">
        <f t="shared" si="2"/>
        <v>Javelin (U18) Match 1 &amp; 3</v>
      </c>
      <c r="E14" s="1268" t="str">
        <f t="shared" si="0"/>
        <v>500gm(U18)</v>
      </c>
      <c r="F14" s="1263" t="str">
        <f t="shared" si="3"/>
        <v>U18 Female</v>
      </c>
      <c r="G14" s="32">
        <f t="shared" si="4"/>
        <v>6</v>
      </c>
      <c r="H14" s="32"/>
      <c r="I14" s="1102" t="s">
        <v>400</v>
      </c>
      <c r="J14" s="499" t="str">
        <f t="shared" si="5"/>
        <v>D</v>
      </c>
      <c r="K14" s="1103">
        <f t="shared" ref="K14:K17" si="10">IF(OR(S$3&lt;&gt;"Y",LEN(J14)&lt;1),"",VLOOKUP(J14,W$10:Z$17,3,FALSE))</f>
        <v>0</v>
      </c>
      <c r="L14" s="353" t="str">
        <f t="shared" si="7"/>
        <v>Stratford</v>
      </c>
      <c r="M14" s="876"/>
      <c r="N14" s="1104"/>
      <c r="O14" s="826"/>
      <c r="P14" s="876"/>
      <c r="Q14" s="1108" t="s">
        <v>396</v>
      </c>
      <c r="R14" s="1106"/>
      <c r="S14" s="876"/>
      <c r="T14" s="499"/>
      <c r="U14" s="1107"/>
      <c r="W14" s="362" t="str">
        <f>'Event Details'!D26</f>
        <v>M</v>
      </c>
      <c r="X14" s="381" t="str">
        <f>'Event Details'!E26</f>
        <v>Solihull &amp; S.Heath</v>
      </c>
      <c r="Y14" s="1101" t="str">
        <f t="shared" si="8"/>
        <v>Maia Collett</v>
      </c>
      <c r="Z14" s="1101">
        <f t="shared" si="9"/>
        <v>0</v>
      </c>
      <c r="AA14" s="417">
        <v>27</v>
      </c>
    </row>
    <row r="15" spans="2:27" ht="18" customHeight="1" x14ac:dyDescent="0.3">
      <c r="B15" s="1262">
        <v>16</v>
      </c>
      <c r="C15" s="221">
        <f t="shared" si="1"/>
        <v>12.3</v>
      </c>
      <c r="D15" s="1259" t="str">
        <f t="shared" si="2"/>
        <v>Long Jump Pit 1</v>
      </c>
      <c r="E15" s="1268">
        <f t="shared" si="0"/>
        <v>0</v>
      </c>
      <c r="F15" s="1263" t="str">
        <f t="shared" si="3"/>
        <v>U12 Male</v>
      </c>
      <c r="G15" s="32">
        <f t="shared" si="4"/>
        <v>5</v>
      </c>
      <c r="H15" s="32"/>
      <c r="I15" s="1102" t="s">
        <v>401</v>
      </c>
      <c r="J15" s="499" t="str">
        <f t="shared" si="5"/>
        <v>M</v>
      </c>
      <c r="K15" s="1103" t="str">
        <f t="shared" si="10"/>
        <v>Maia Collett</v>
      </c>
      <c r="L15" s="353" t="str">
        <f t="shared" si="7"/>
        <v>Solihull &amp; S.Heath</v>
      </c>
      <c r="M15" s="876"/>
      <c r="N15" s="1104"/>
      <c r="O15" s="826"/>
      <c r="P15" s="876"/>
      <c r="Q15" s="1109">
        <v>3</v>
      </c>
      <c r="R15" s="1106"/>
      <c r="S15" s="876"/>
      <c r="T15" s="499"/>
      <c r="U15" s="1107"/>
      <c r="W15" s="362" t="str">
        <f>'Event Details'!D27</f>
        <v>D</v>
      </c>
      <c r="X15" s="381" t="str">
        <f>'Event Details'!E27</f>
        <v>Stratford</v>
      </c>
      <c r="Y15" s="1101">
        <f t="shared" si="8"/>
        <v>0</v>
      </c>
      <c r="Z15" s="1101">
        <f t="shared" si="9"/>
        <v>0</v>
      </c>
      <c r="AA15" s="417">
        <v>32</v>
      </c>
    </row>
    <row r="16" spans="2:27" ht="18" customHeight="1" x14ac:dyDescent="0.3">
      <c r="B16" s="1262">
        <v>21</v>
      </c>
      <c r="C16" s="221">
        <f t="shared" si="1"/>
        <v>1</v>
      </c>
      <c r="D16" s="1259" t="str">
        <f t="shared" si="2"/>
        <v>Long Jump Pit 2</v>
      </c>
      <c r="E16" s="1268">
        <f t="shared" si="0"/>
        <v>0</v>
      </c>
      <c r="F16" s="1263" t="str">
        <f t="shared" si="3"/>
        <v>U16 Female</v>
      </c>
      <c r="G16" s="32">
        <f t="shared" si="4"/>
        <v>2</v>
      </c>
      <c r="H16" s="32"/>
      <c r="I16" s="1102" t="s">
        <v>402</v>
      </c>
      <c r="J16" s="499" t="str">
        <f t="shared" si="5"/>
        <v>U</v>
      </c>
      <c r="K16" s="1103" t="str">
        <f t="shared" si="10"/>
        <v>Emma Ross</v>
      </c>
      <c r="L16" s="353" t="str">
        <f t="shared" si="7"/>
        <v>Kidder &amp; Stourport</v>
      </c>
      <c r="M16" s="876"/>
      <c r="N16" s="1104"/>
      <c r="O16" s="826"/>
      <c r="P16" s="876"/>
      <c r="Q16" s="1110" t="s">
        <v>403</v>
      </c>
      <c r="R16" s="1106"/>
      <c r="S16" s="876"/>
      <c r="T16" s="499"/>
      <c r="U16" s="1107"/>
      <c r="W16" s="362" t="str">
        <f>'Event Details'!D28</f>
        <v>F</v>
      </c>
      <c r="X16" s="381" t="str">
        <f>'Event Details'!E28</f>
        <v>Tamworth</v>
      </c>
      <c r="Y16" s="1101" t="str">
        <f t="shared" si="8"/>
        <v>Sophie Godber</v>
      </c>
      <c r="Z16" s="1101">
        <f t="shared" si="9"/>
        <v>0</v>
      </c>
      <c r="AA16" s="417">
        <v>37</v>
      </c>
    </row>
    <row r="17" spans="2:27" ht="18" customHeight="1" thickBot="1" x14ac:dyDescent="0.35">
      <c r="B17" s="1262">
        <v>22</v>
      </c>
      <c r="C17" s="221">
        <f t="shared" si="1"/>
        <v>1</v>
      </c>
      <c r="D17" s="1259" t="str">
        <f t="shared" si="2"/>
        <v xml:space="preserve">Shot </v>
      </c>
      <c r="E17" s="1268" t="str">
        <f t="shared" si="0"/>
        <v>4.00Kg</v>
      </c>
      <c r="F17" s="1263" t="str">
        <f t="shared" si="3"/>
        <v>U16 Male</v>
      </c>
      <c r="G17" s="32">
        <f t="shared" si="4"/>
        <v>8</v>
      </c>
      <c r="H17" s="32"/>
      <c r="I17" s="1102" t="s">
        <v>404</v>
      </c>
      <c r="J17" s="499" t="str">
        <f t="shared" si="5"/>
        <v>Y</v>
      </c>
      <c r="K17" s="1103">
        <f t="shared" si="10"/>
        <v>0</v>
      </c>
      <c r="L17" s="353" t="str">
        <f t="shared" si="7"/>
        <v>Worcester</v>
      </c>
      <c r="M17" s="876"/>
      <c r="N17" s="1104"/>
      <c r="O17" s="826"/>
      <c r="P17" s="876"/>
      <c r="Q17" s="1111" t="s">
        <v>405</v>
      </c>
      <c r="R17" s="1106"/>
      <c r="S17" s="876"/>
      <c r="T17" s="499"/>
      <c r="U17" s="1107"/>
      <c r="W17" s="365" t="str">
        <f>'Event Details'!D29</f>
        <v>Y</v>
      </c>
      <c r="X17" s="366" t="str">
        <f>'Event Details'!E29</f>
        <v>Worcester</v>
      </c>
      <c r="Y17" s="1112">
        <f t="shared" si="8"/>
        <v>0</v>
      </c>
      <c r="Z17" s="1112">
        <f t="shared" si="9"/>
        <v>0</v>
      </c>
      <c r="AA17" s="418">
        <v>42</v>
      </c>
    </row>
    <row r="18" spans="2:27" ht="18" customHeight="1" x14ac:dyDescent="0.3">
      <c r="B18" s="1262">
        <v>23</v>
      </c>
      <c r="C18" s="221">
        <f t="shared" si="1"/>
        <v>1</v>
      </c>
      <c r="D18" s="1259" t="str">
        <f t="shared" si="2"/>
        <v>Discus (U18) Match 2</v>
      </c>
      <c r="E18" s="1268" t="str">
        <f t="shared" si="0"/>
        <v>1.5kg</v>
      </c>
      <c r="F18" s="1263" t="str">
        <f t="shared" si="3"/>
        <v>U18 Men</v>
      </c>
      <c r="G18" s="32">
        <f>G10</f>
        <v>1</v>
      </c>
      <c r="H18" s="32"/>
      <c r="I18" s="1102" t="s">
        <v>299</v>
      </c>
      <c r="J18" s="499" t="str">
        <f t="shared" ref="J18:J25" si="11">IF(J10=0,"",J10&amp;J10)</f>
        <v>SS</v>
      </c>
      <c r="K18" s="1103" t="str">
        <f t="shared" ref="K18:K20" si="12">IF(OR(S$3&lt;&gt;"Y",LEN(J18)&lt;1),"",VLOOKUP(LEFT(J18,1),W$10:Z$17,4,FALSE))</f>
        <v xml:space="preserve">Daniella Anozie </v>
      </c>
      <c r="L18" s="353" t="str">
        <f t="shared" si="7"/>
        <v>BRAT</v>
      </c>
      <c r="M18" s="876"/>
      <c r="N18" s="1104"/>
      <c r="O18" s="826"/>
      <c r="P18" s="876"/>
      <c r="Q18" s="1105" t="s">
        <v>396</v>
      </c>
      <c r="R18" s="1106"/>
      <c r="S18" s="876"/>
      <c r="T18" s="499"/>
      <c r="U18" s="1107"/>
    </row>
    <row r="19" spans="2:27" ht="18" customHeight="1" x14ac:dyDescent="0.3">
      <c r="B19" s="1262">
        <v>24</v>
      </c>
      <c r="C19" s="221">
        <f t="shared" si="1"/>
        <v>1</v>
      </c>
      <c r="D19" s="1259" t="str">
        <f t="shared" si="2"/>
        <v>Javelin Match 1 &amp; 3</v>
      </c>
      <c r="E19" s="1268" t="str">
        <f t="shared" si="0"/>
        <v>500gm</v>
      </c>
      <c r="F19" s="1263" t="str">
        <f t="shared" si="3"/>
        <v>U14 Male</v>
      </c>
      <c r="G19" s="32">
        <f t="shared" ref="G19:G25" si="13">G11</f>
        <v>7</v>
      </c>
      <c r="H19" s="32"/>
      <c r="I19" s="1102" t="s">
        <v>406</v>
      </c>
      <c r="J19" s="499" t="str">
        <f t="shared" si="11"/>
        <v>FF</v>
      </c>
      <c r="K19" s="1103">
        <f t="shared" si="12"/>
        <v>0</v>
      </c>
      <c r="L19" s="353" t="str">
        <f t="shared" si="7"/>
        <v>Tamworth</v>
      </c>
      <c r="M19" s="876"/>
      <c r="N19" s="1104"/>
      <c r="O19" s="826"/>
      <c r="P19" s="876"/>
      <c r="Q19" s="1105" t="s">
        <v>396</v>
      </c>
      <c r="R19" s="1106"/>
      <c r="S19" s="876"/>
      <c r="T19" s="499"/>
      <c r="U19" s="1107"/>
    </row>
    <row r="20" spans="2:27" ht="18" customHeight="1" x14ac:dyDescent="0.3">
      <c r="B20" s="1262">
        <v>30</v>
      </c>
      <c r="C20" s="221">
        <f t="shared" si="1"/>
        <v>1.3</v>
      </c>
      <c r="D20" s="1259" t="str">
        <f t="shared" si="2"/>
        <v>Long Jump (U18/20) Pit1</v>
      </c>
      <c r="E20" s="1268">
        <f t="shared" si="0"/>
        <v>0</v>
      </c>
      <c r="F20" s="1263" t="str">
        <f t="shared" si="3"/>
        <v>U18 Men</v>
      </c>
      <c r="G20" s="32">
        <f t="shared" si="13"/>
        <v>4</v>
      </c>
      <c r="H20" s="32"/>
      <c r="I20" s="1102" t="s">
        <v>407</v>
      </c>
      <c r="J20" s="499" t="str">
        <f t="shared" si="11"/>
        <v>RR</v>
      </c>
      <c r="K20" s="1103" t="str">
        <f t="shared" si="12"/>
        <v>Chelsea Adams</v>
      </c>
      <c r="L20" s="353" t="str">
        <f t="shared" si="7"/>
        <v>Rugby &amp; N'hampton</v>
      </c>
      <c r="M20" s="876"/>
      <c r="N20" s="1104"/>
      <c r="O20" s="826"/>
      <c r="P20" s="876"/>
      <c r="Q20" s="1105" t="s">
        <v>396</v>
      </c>
      <c r="R20" s="1106"/>
      <c r="S20" s="876"/>
      <c r="T20" s="499"/>
      <c r="U20" s="1107"/>
    </row>
    <row r="21" spans="2:27" ht="18" customHeight="1" x14ac:dyDescent="0.3">
      <c r="B21" s="1262">
        <v>35</v>
      </c>
      <c r="C21" s="221">
        <f t="shared" si="1"/>
        <v>1.5</v>
      </c>
      <c r="D21" s="1259" t="str">
        <f t="shared" si="2"/>
        <v xml:space="preserve">Shot (U18) </v>
      </c>
      <c r="E21" s="1268" t="str">
        <f t="shared" si="0"/>
        <v>3Kg(u18)</v>
      </c>
      <c r="F21" s="1263" t="str">
        <f t="shared" si="3"/>
        <v>U18 Female</v>
      </c>
      <c r="G21" s="32">
        <f t="shared" si="13"/>
        <v>3</v>
      </c>
      <c r="H21" s="32"/>
      <c r="I21" s="1102" t="s">
        <v>408</v>
      </c>
      <c r="J21" s="499" t="str">
        <f t="shared" si="11"/>
        <v>GG</v>
      </c>
      <c r="K21" s="1103">
        <f>IF(OR(S$3&lt;&gt;"Y",LEN(J21)&lt;1),"",VLOOKUP(LEFT(J21,1),W$10:Z$17,4,FALSE))</f>
        <v>0</v>
      </c>
      <c r="L21" s="353" t="str">
        <f t="shared" si="7"/>
        <v>Royal Sutton</v>
      </c>
      <c r="M21" s="876"/>
      <c r="N21" s="1104"/>
      <c r="O21" s="826"/>
      <c r="P21" s="876"/>
      <c r="Q21" s="1105" t="s">
        <v>396</v>
      </c>
      <c r="R21" s="1106"/>
      <c r="S21" s="876"/>
      <c r="T21" s="499"/>
      <c r="U21" s="1107"/>
    </row>
    <row r="22" spans="2:27" ht="18" customHeight="1" x14ac:dyDescent="0.3">
      <c r="B22" s="1262">
        <v>36</v>
      </c>
      <c r="C22" s="221">
        <f t="shared" si="1"/>
        <v>1.5</v>
      </c>
      <c r="D22" s="1259" t="str">
        <f t="shared" si="2"/>
        <v>Discus Match 2</v>
      </c>
      <c r="E22" s="1268" t="str">
        <f t="shared" si="0"/>
        <v>0.75Kg</v>
      </c>
      <c r="F22" s="1263" t="str">
        <f t="shared" si="3"/>
        <v>U14 Female</v>
      </c>
      <c r="G22" s="32">
        <f t="shared" si="13"/>
        <v>6</v>
      </c>
      <c r="H22" s="32"/>
      <c r="I22" s="1113" t="s">
        <v>409</v>
      </c>
      <c r="J22" s="499" t="str">
        <f t="shared" si="11"/>
        <v>DD</v>
      </c>
      <c r="K22" s="1114">
        <f t="shared" ref="K22:K25" si="14">IF(OR(S$3&lt;&gt;"Y",LEN(J22)&lt;1),"",VLOOKUP(LEFT(J22,1),W$10:Z$17,4,FALSE))</f>
        <v>0</v>
      </c>
      <c r="L22" s="353" t="str">
        <f t="shared" si="7"/>
        <v>Stratford</v>
      </c>
      <c r="M22" s="1115"/>
      <c r="N22" s="1116"/>
      <c r="O22" s="1117"/>
      <c r="P22" s="1115"/>
      <c r="Q22" s="1105" t="s">
        <v>396</v>
      </c>
      <c r="R22" s="345"/>
      <c r="S22" s="1115"/>
      <c r="T22" s="342"/>
      <c r="U22" s="1118"/>
    </row>
    <row r="23" spans="2:27" ht="20.25" customHeight="1" x14ac:dyDescent="0.3">
      <c r="B23" s="1262">
        <v>37</v>
      </c>
      <c r="C23" s="221">
        <f t="shared" si="1"/>
        <v>1.5</v>
      </c>
      <c r="D23" s="1259" t="str">
        <f t="shared" si="2"/>
        <v>Javelin Match 1 &amp; 3</v>
      </c>
      <c r="E23" s="1268" t="str">
        <f t="shared" si="0"/>
        <v>600gm</v>
      </c>
      <c r="F23" s="1263" t="str">
        <f t="shared" si="3"/>
        <v>U16 Male</v>
      </c>
      <c r="G23" s="32">
        <f t="shared" si="13"/>
        <v>5</v>
      </c>
      <c r="H23" s="32"/>
      <c r="I23" s="1113" t="s">
        <v>300</v>
      </c>
      <c r="J23" s="499" t="str">
        <f t="shared" si="11"/>
        <v>MM</v>
      </c>
      <c r="K23" s="1114">
        <f t="shared" si="14"/>
        <v>0</v>
      </c>
      <c r="L23" s="353" t="str">
        <f t="shared" si="7"/>
        <v>Solihull &amp; S.Heath</v>
      </c>
      <c r="M23" s="1115"/>
      <c r="N23" s="1116"/>
      <c r="O23" s="1117"/>
      <c r="P23" s="1115"/>
      <c r="Q23" s="1105" t="s">
        <v>396</v>
      </c>
      <c r="R23" s="345"/>
      <c r="S23" s="1115"/>
      <c r="T23" s="342"/>
      <c r="U23" s="1118"/>
    </row>
    <row r="24" spans="2:27" ht="18" customHeight="1" x14ac:dyDescent="0.3">
      <c r="B24" s="1262">
        <v>40</v>
      </c>
      <c r="C24" s="221">
        <f t="shared" si="1"/>
        <v>2.1</v>
      </c>
      <c r="D24" s="1259" t="str">
        <f t="shared" si="2"/>
        <v>Long Jump Pit 2</v>
      </c>
      <c r="E24" s="1268">
        <f t="shared" si="0"/>
        <v>0</v>
      </c>
      <c r="F24" s="1263" t="str">
        <f t="shared" si="3"/>
        <v>U12 Female</v>
      </c>
      <c r="G24" s="32">
        <f t="shared" si="13"/>
        <v>2</v>
      </c>
      <c r="H24" s="32"/>
      <c r="I24" s="1113" t="s">
        <v>410</v>
      </c>
      <c r="J24" s="499" t="str">
        <f t="shared" si="11"/>
        <v>UU</v>
      </c>
      <c r="K24" s="1114" t="str">
        <f t="shared" si="14"/>
        <v>Jessika Shelley</v>
      </c>
      <c r="L24" s="353" t="str">
        <f t="shared" si="7"/>
        <v>Kidder &amp; Stourport</v>
      </c>
      <c r="M24" s="1115"/>
      <c r="N24" s="1116"/>
      <c r="O24" s="1117"/>
      <c r="P24" s="1115"/>
      <c r="Q24" s="1105" t="s">
        <v>396</v>
      </c>
      <c r="R24" s="345"/>
      <c r="S24" s="1115"/>
      <c r="T24" s="342"/>
      <c r="U24" s="1118"/>
    </row>
    <row r="25" spans="2:27" ht="20.25" customHeight="1" thickBot="1" x14ac:dyDescent="0.35">
      <c r="B25" s="1262">
        <v>47</v>
      </c>
      <c r="C25" s="221">
        <f t="shared" si="1"/>
        <v>2.4</v>
      </c>
      <c r="D25" s="1259" t="str">
        <f t="shared" si="2"/>
        <v xml:space="preserve">Shot </v>
      </c>
      <c r="E25" s="1268" t="str">
        <f t="shared" si="0"/>
        <v>3 Kg</v>
      </c>
      <c r="F25" s="1263" t="str">
        <f t="shared" si="3"/>
        <v>U14 Male</v>
      </c>
      <c r="G25" s="32">
        <f t="shared" si="13"/>
        <v>8</v>
      </c>
      <c r="H25" s="32"/>
      <c r="I25" s="1119" t="s">
        <v>411</v>
      </c>
      <c r="J25" s="579" t="str">
        <f t="shared" si="11"/>
        <v>YY</v>
      </c>
      <c r="K25" s="624">
        <f t="shared" si="14"/>
        <v>0</v>
      </c>
      <c r="L25" s="375" t="str">
        <f t="shared" si="7"/>
        <v>Worcester</v>
      </c>
      <c r="M25" s="115"/>
      <c r="N25" s="1120"/>
      <c r="O25" s="1121"/>
      <c r="P25" s="115"/>
      <c r="Q25" s="1122" t="s">
        <v>396</v>
      </c>
      <c r="R25" s="1123"/>
      <c r="S25" s="115"/>
      <c r="T25" s="579"/>
      <c r="U25" s="523"/>
    </row>
    <row r="26" spans="2:27" ht="19.5" customHeight="1" thickBot="1" x14ac:dyDescent="0.35">
      <c r="B26" s="1262">
        <v>48</v>
      </c>
      <c r="C26" s="221">
        <f t="shared" si="1"/>
        <v>2.4</v>
      </c>
      <c r="D26" s="1259" t="str">
        <f t="shared" si="2"/>
        <v>Discus (U18) Match 2</v>
      </c>
      <c r="E26" s="1268" t="str">
        <f t="shared" si="0"/>
        <v>1.00Kg</v>
      </c>
      <c r="F26" s="1263" t="str">
        <f t="shared" si="3"/>
        <v>U18 Female</v>
      </c>
      <c r="G26" s="32"/>
      <c r="I26" s="51"/>
      <c r="L26" s="32"/>
      <c r="T26" s="32"/>
      <c r="U26" s="146"/>
    </row>
    <row r="27" spans="2:27" ht="16.5" customHeight="1" thickBot="1" x14ac:dyDescent="0.35">
      <c r="B27" s="1262">
        <v>49</v>
      </c>
      <c r="C27" s="221">
        <f t="shared" si="1"/>
        <v>2.4</v>
      </c>
      <c r="D27" s="1259" t="str">
        <f t="shared" si="2"/>
        <v>Javelin Match 1 &amp; 3</v>
      </c>
      <c r="E27" s="1268" t="str">
        <f t="shared" si="0"/>
        <v>500gm</v>
      </c>
      <c r="F27" s="1263" t="str">
        <f t="shared" si="3"/>
        <v>U16 Female</v>
      </c>
      <c r="G27" s="32"/>
      <c r="I27" s="51"/>
      <c r="J27" s="33"/>
      <c r="K27" s="1445" t="s">
        <v>412</v>
      </c>
      <c r="L27" s="1445"/>
      <c r="M27" s="1446"/>
      <c r="N27" s="33"/>
      <c r="O27" s="1447" t="s">
        <v>413</v>
      </c>
      <c r="P27" s="1447"/>
      <c r="Q27" s="1447"/>
      <c r="R27" s="1447"/>
      <c r="S27" s="48"/>
      <c r="T27" s="48"/>
      <c r="U27" s="50"/>
    </row>
    <row r="28" spans="2:27" ht="16.5" customHeight="1" thickBot="1" x14ac:dyDescent="0.35">
      <c r="B28" s="1262">
        <v>52</v>
      </c>
      <c r="C28" s="221">
        <f t="shared" si="1"/>
        <v>2.5</v>
      </c>
      <c r="D28" s="1259" t="str">
        <f t="shared" si="2"/>
        <v>Long Jump Pit 1</v>
      </c>
      <c r="E28" s="1268">
        <f t="shared" si="0"/>
        <v>0</v>
      </c>
      <c r="F28" s="1263" t="str">
        <f t="shared" si="3"/>
        <v>U14 Female</v>
      </c>
      <c r="G28" s="32"/>
      <c r="I28" s="51"/>
      <c r="J28" s="1124" t="s">
        <v>71</v>
      </c>
      <c r="K28" s="1125" t="s">
        <v>414</v>
      </c>
      <c r="L28" s="1126" t="s">
        <v>86</v>
      </c>
      <c r="M28" s="1127" t="s">
        <v>415</v>
      </c>
      <c r="N28" s="1124" t="s">
        <v>71</v>
      </c>
      <c r="O28" s="1276" t="s">
        <v>414</v>
      </c>
      <c r="P28" s="1277"/>
      <c r="Q28" s="895"/>
      <c r="R28" s="1158" t="s">
        <v>86</v>
      </c>
      <c r="S28" s="1160"/>
      <c r="T28" s="1278" t="s">
        <v>415</v>
      </c>
      <c r="U28" s="476"/>
    </row>
    <row r="29" spans="2:27" ht="18" customHeight="1" x14ac:dyDescent="0.3">
      <c r="B29" s="1262">
        <v>58</v>
      </c>
      <c r="C29" s="221">
        <f t="shared" si="1"/>
        <v>3.2</v>
      </c>
      <c r="D29" s="1259" t="str">
        <f t="shared" si="2"/>
        <v>Long Jump Pit 2</v>
      </c>
      <c r="E29" s="1268">
        <f t="shared" si="0"/>
        <v>0</v>
      </c>
      <c r="F29" s="1263" t="str">
        <f t="shared" si="3"/>
        <v>U14 Male</v>
      </c>
      <c r="G29" s="32"/>
      <c r="I29" s="51"/>
      <c r="J29" s="1128"/>
      <c r="K29" s="1129" t="s">
        <v>395</v>
      </c>
      <c r="L29" s="1094"/>
      <c r="M29" s="694"/>
      <c r="N29" s="693"/>
      <c r="O29" s="1131" t="s">
        <v>395</v>
      </c>
      <c r="P29" s="1133"/>
      <c r="Q29" s="876"/>
      <c r="R29" s="1104"/>
      <c r="S29" s="826"/>
      <c r="T29" s="1104"/>
      <c r="U29" s="1132"/>
    </row>
    <row r="30" spans="2:27" ht="18" customHeight="1" x14ac:dyDescent="0.3">
      <c r="B30" s="1262">
        <v>59</v>
      </c>
      <c r="C30" s="221">
        <f t="shared" si="1"/>
        <v>3.3</v>
      </c>
      <c r="D30" s="1259" t="str">
        <f t="shared" si="2"/>
        <v xml:space="preserve">Shot </v>
      </c>
      <c r="E30" s="1268" t="str">
        <f t="shared" si="0"/>
        <v>2.72kg</v>
      </c>
      <c r="F30" s="1263" t="str">
        <f t="shared" si="3"/>
        <v>U14 Female</v>
      </c>
      <c r="G30" s="32"/>
      <c r="I30" s="51"/>
      <c r="J30" s="1130"/>
      <c r="K30" s="1131" t="s">
        <v>397</v>
      </c>
      <c r="L30" s="499"/>
      <c r="M30" s="1132"/>
      <c r="N30" s="876"/>
      <c r="O30" s="1131" t="s">
        <v>397</v>
      </c>
      <c r="P30" s="1133"/>
      <c r="Q30" s="876"/>
      <c r="R30" s="1104"/>
      <c r="S30" s="826"/>
      <c r="T30" s="1104"/>
      <c r="U30" s="1132"/>
    </row>
    <row r="31" spans="2:27" ht="18" customHeight="1" x14ac:dyDescent="0.3">
      <c r="B31" s="1262">
        <v>60</v>
      </c>
      <c r="C31" s="221">
        <f t="shared" si="1"/>
        <v>3.3</v>
      </c>
      <c r="D31" s="1259" t="str">
        <f t="shared" si="2"/>
        <v>Discus Match 2</v>
      </c>
      <c r="E31" s="1268" t="str">
        <f t="shared" si="0"/>
        <v>1.25kg</v>
      </c>
      <c r="F31" s="1263" t="str">
        <f t="shared" si="3"/>
        <v>U16 Male</v>
      </c>
      <c r="G31" s="32"/>
      <c r="I31" s="51"/>
      <c r="J31" s="1130"/>
      <c r="K31" s="1131" t="s">
        <v>398</v>
      </c>
      <c r="L31" s="499"/>
      <c r="M31" s="1132"/>
      <c r="N31" s="876"/>
      <c r="O31" s="1131" t="s">
        <v>398</v>
      </c>
      <c r="P31" s="1133"/>
      <c r="Q31" s="876"/>
      <c r="R31" s="1104"/>
      <c r="S31" s="826"/>
      <c r="T31" s="1104"/>
      <c r="U31" s="1132"/>
    </row>
    <row r="32" spans="2:27" ht="18" customHeight="1" x14ac:dyDescent="0.3">
      <c r="B32" s="1262">
        <v>61</v>
      </c>
      <c r="C32" s="221">
        <f t="shared" si="1"/>
        <v>3.3</v>
      </c>
      <c r="D32" s="1259" t="str">
        <f t="shared" si="2"/>
        <v>Javelin (U18) Match 1 &amp; 3</v>
      </c>
      <c r="E32" s="1268" t="str">
        <f t="shared" si="0"/>
        <v>700gm</v>
      </c>
      <c r="F32" s="1263" t="str">
        <f t="shared" si="3"/>
        <v>U18 Men</v>
      </c>
      <c r="G32" s="32"/>
      <c r="I32" s="51"/>
      <c r="J32" s="1130"/>
      <c r="K32" s="1131" t="s">
        <v>399</v>
      </c>
      <c r="L32" s="499"/>
      <c r="M32" s="1132"/>
      <c r="N32" s="876"/>
      <c r="O32" s="1131" t="s">
        <v>399</v>
      </c>
      <c r="P32" s="1133"/>
      <c r="Q32" s="876"/>
      <c r="R32" s="1104"/>
      <c r="S32" s="826"/>
      <c r="T32" s="1104"/>
      <c r="U32" s="1132"/>
    </row>
    <row r="33" spans="2:21" ht="18" customHeight="1" x14ac:dyDescent="0.3">
      <c r="B33" s="1262">
        <v>67</v>
      </c>
      <c r="C33" s="221">
        <f t="shared" si="1"/>
        <v>4</v>
      </c>
      <c r="D33" s="1259" t="str">
        <f t="shared" si="2"/>
        <v>Long Jump (U18/20) Pit1</v>
      </c>
      <c r="E33" s="1268">
        <f t="shared" si="0"/>
        <v>0</v>
      </c>
      <c r="F33" s="1263" t="str">
        <f t="shared" si="3"/>
        <v>U18 Female</v>
      </c>
      <c r="G33" s="32"/>
      <c r="I33" s="51"/>
      <c r="J33" s="1130"/>
      <c r="K33" s="1131" t="s">
        <v>400</v>
      </c>
      <c r="L33" s="499"/>
      <c r="M33" s="1132"/>
      <c r="N33" s="876"/>
      <c r="O33" s="1131" t="s">
        <v>400</v>
      </c>
      <c r="P33" s="1133"/>
      <c r="Q33" s="876"/>
      <c r="R33" s="1104"/>
      <c r="S33" s="826"/>
      <c r="T33" s="1104"/>
      <c r="U33" s="1132"/>
    </row>
    <row r="34" spans="2:21" ht="18" customHeight="1" x14ac:dyDescent="0.3">
      <c r="B34" s="1262">
        <v>73</v>
      </c>
      <c r="C34" s="221">
        <f t="shared" si="1"/>
        <v>4.2</v>
      </c>
      <c r="D34" s="1259" t="str">
        <f t="shared" si="2"/>
        <v xml:space="preserve">Shot </v>
      </c>
      <c r="E34" s="1268" t="str">
        <f t="shared" si="0"/>
        <v>3Kg</v>
      </c>
      <c r="F34" s="1263" t="str">
        <f t="shared" si="3"/>
        <v>U16 Female</v>
      </c>
      <c r="G34" s="32"/>
      <c r="I34" s="51"/>
      <c r="J34" s="1130"/>
      <c r="K34" s="1131" t="s">
        <v>401</v>
      </c>
      <c r="L34" s="499"/>
      <c r="M34" s="1132"/>
      <c r="N34" s="876"/>
      <c r="O34" s="1131" t="s">
        <v>401</v>
      </c>
      <c r="P34" s="1133"/>
      <c r="Q34" s="876"/>
      <c r="R34" s="1104"/>
      <c r="S34" s="826"/>
      <c r="T34" s="1104"/>
      <c r="U34" s="1132"/>
    </row>
    <row r="35" spans="2:21" ht="18" customHeight="1" x14ac:dyDescent="0.3">
      <c r="B35" s="1262">
        <v>74</v>
      </c>
      <c r="C35" s="221">
        <f t="shared" si="1"/>
        <v>4.2</v>
      </c>
      <c r="D35" s="1259" t="str">
        <f t="shared" si="2"/>
        <v>Discus Match 2</v>
      </c>
      <c r="E35" s="1268" t="str">
        <f t="shared" si="0"/>
        <v>1.00kg</v>
      </c>
      <c r="F35" s="1263" t="str">
        <f t="shared" si="3"/>
        <v>U14 Male</v>
      </c>
      <c r="G35" s="32"/>
      <c r="I35" s="51"/>
      <c r="J35" s="1130"/>
      <c r="K35" s="1131" t="s">
        <v>402</v>
      </c>
      <c r="L35" s="499"/>
      <c r="M35" s="1132"/>
      <c r="N35" s="876"/>
      <c r="O35" s="1131" t="s">
        <v>402</v>
      </c>
      <c r="P35" s="1133"/>
      <c r="Q35" s="876"/>
      <c r="R35" s="1104"/>
      <c r="S35" s="826"/>
      <c r="T35" s="1104"/>
      <c r="U35" s="1132"/>
    </row>
    <row r="36" spans="2:21" ht="18" customHeight="1" thickBot="1" x14ac:dyDescent="0.35">
      <c r="B36" s="1264">
        <v>75</v>
      </c>
      <c r="C36" s="1265">
        <f t="shared" si="1"/>
        <v>4.2</v>
      </c>
      <c r="D36" s="1266" t="str">
        <f t="shared" si="2"/>
        <v>Javelin Match 1 &amp; 3</v>
      </c>
      <c r="E36" s="1269" t="str">
        <f t="shared" si="0"/>
        <v>400gm</v>
      </c>
      <c r="F36" s="1267" t="str">
        <f t="shared" si="3"/>
        <v>U14 Female</v>
      </c>
      <c r="G36" s="32"/>
      <c r="I36" s="51"/>
      <c r="J36" s="670"/>
      <c r="K36" s="1138" t="s">
        <v>404</v>
      </c>
      <c r="L36" s="605"/>
      <c r="M36" s="53"/>
      <c r="O36" s="1138" t="s">
        <v>404</v>
      </c>
      <c r="P36" s="1164"/>
      <c r="Q36" s="115"/>
      <c r="R36" s="1120"/>
      <c r="S36" s="1121"/>
      <c r="T36" s="1120"/>
      <c r="U36" s="117"/>
    </row>
    <row r="37" spans="2:21" ht="27.75" customHeight="1" thickBot="1" x14ac:dyDescent="0.35">
      <c r="B37" s="32"/>
      <c r="C37" s="32"/>
      <c r="I37" s="1139" t="s">
        <v>416</v>
      </c>
      <c r="J37" s="895"/>
      <c r="K37" s="895"/>
      <c r="L37" s="509"/>
      <c r="M37" s="895"/>
      <c r="N37" s="895"/>
      <c r="O37" s="895"/>
      <c r="P37" s="546"/>
      <c r="Q37" s="1165" t="s">
        <v>417</v>
      </c>
      <c r="R37" s="895"/>
      <c r="S37" s="895"/>
      <c r="T37" s="509"/>
      <c r="U37" s="476"/>
    </row>
  </sheetData>
  <sheetProtection sheet="1" objects="1" scenarios="1"/>
  <mergeCells count="2">
    <mergeCell ref="K27:M27"/>
    <mergeCell ref="O27:R27"/>
  </mergeCells>
  <conditionalFormatting sqref="M4">
    <cfRule type="cellIs" dxfId="11" priority="1" stopIfTrue="1" operator="equal">
      <formula>"""U17M"""</formula>
    </cfRule>
    <cfRule type="cellIs" dxfId="10" priority="2" stopIfTrue="1" operator="equal">
      <formula>"""U15B"""</formula>
    </cfRule>
    <cfRule type="cellIs" dxfId="9" priority="3" stopIfTrue="1" operator="equal">
      <formula>"""U13B"""</formula>
    </cfRule>
  </conditionalFormatting>
  <pageMargins left="0.78740157480314965" right="0.39370078740157483" top="0.59055118110236227" bottom="0.39370078740157483" header="0.11811023622047245" footer="0.11811023622047245"/>
  <pageSetup paperSize="9" scale="8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8ADE22-15B7-4C92-874B-837818260D7A}">
  <sheetPr>
    <pageSetUpPr fitToPage="1"/>
  </sheetPr>
  <dimension ref="B1:AE38"/>
  <sheetViews>
    <sheetView showZeros="0" workbookViewId="0">
      <selection activeCell="J5" sqref="J5"/>
    </sheetView>
  </sheetViews>
  <sheetFormatPr defaultRowHeight="14.4" x14ac:dyDescent="0.3"/>
  <cols>
    <col min="1" max="1" width="3.88671875" customWidth="1"/>
    <col min="2" max="2" width="6" customWidth="1"/>
    <col min="3" max="3" width="6.5546875" customWidth="1"/>
    <col min="4" max="4" width="19.5546875" customWidth="1"/>
    <col min="5" max="5" width="7.109375" customWidth="1"/>
    <col min="6" max="6" width="13.6640625" bestFit="1" customWidth="1"/>
    <col min="7" max="7" width="0.88671875" customWidth="1"/>
    <col min="8" max="8" width="3.88671875" customWidth="1"/>
    <col min="9" max="9" width="6.33203125" customWidth="1"/>
    <col min="10" max="10" width="5.88671875" customWidth="1"/>
    <col min="11" max="11" width="24.5546875" customWidth="1"/>
    <col min="12" max="12" width="20.6640625" bestFit="1" customWidth="1"/>
    <col min="13" max="25" width="7.5546875" customWidth="1"/>
    <col min="27" max="27" width="7" customWidth="1"/>
    <col min="28" max="28" width="25.109375" bestFit="1" customWidth="1"/>
    <col min="29" max="29" width="18.33203125" bestFit="1" customWidth="1"/>
    <col min="30" max="30" width="21.44140625" bestFit="1" customWidth="1"/>
    <col min="31" max="31" width="7" customWidth="1"/>
  </cols>
  <sheetData>
    <row r="1" spans="2:31" x14ac:dyDescent="0.3">
      <c r="B1" s="32"/>
      <c r="C1" s="32"/>
      <c r="G1" s="32"/>
      <c r="H1" s="32"/>
      <c r="L1" s="32"/>
      <c r="W1" s="32"/>
      <c r="X1" s="32"/>
      <c r="Y1" s="32"/>
    </row>
    <row r="2" spans="2:31" ht="15" thickBot="1" x14ac:dyDescent="0.35">
      <c r="B2" s="32"/>
      <c r="C2" s="32"/>
      <c r="G2" s="32"/>
      <c r="H2" s="32"/>
      <c r="L2" s="32"/>
      <c r="W2" s="32"/>
      <c r="X2" s="32"/>
      <c r="Y2" s="32"/>
    </row>
    <row r="3" spans="2:31" x14ac:dyDescent="0.3">
      <c r="B3" s="653"/>
      <c r="C3" s="49"/>
      <c r="D3" s="48"/>
      <c r="E3" s="48"/>
      <c r="F3" s="48"/>
      <c r="G3" s="49"/>
      <c r="H3" s="138"/>
      <c r="I3" s="4"/>
      <c r="J3" s="1059" t="s">
        <v>258</v>
      </c>
      <c r="K3" s="1140" t="s">
        <v>165</v>
      </c>
      <c r="L3" s="1141" t="s">
        <v>169</v>
      </c>
      <c r="M3" s="9" t="s">
        <v>249</v>
      </c>
      <c r="O3" s="868" t="s">
        <v>382</v>
      </c>
      <c r="U3" s="1060" t="s">
        <v>151</v>
      </c>
      <c r="V3" s="32"/>
      <c r="W3" s="32"/>
      <c r="X3" s="32"/>
    </row>
    <row r="4" spans="2:31" s="140" customFormat="1" ht="16.2" thickBot="1" x14ac:dyDescent="0.35">
      <c r="B4" s="1061" t="s">
        <v>383</v>
      </c>
      <c r="C4" s="1062"/>
      <c r="D4" s="1062"/>
      <c r="E4" s="1062"/>
      <c r="F4" s="1062"/>
      <c r="G4" s="1142"/>
      <c r="H4" s="1143"/>
      <c r="I4" s="1064"/>
      <c r="J4" s="1065">
        <v>57</v>
      </c>
      <c r="K4" s="366" t="str">
        <f>VLOOKUP(J4,EventsOrder,6,FALSE)</f>
        <v xml:space="preserve">High Jump (U18/U20) </v>
      </c>
      <c r="L4" s="1144" t="str">
        <f>IF($J4&gt;0,VLOOKUP($J4,EventsOrder,4,FALSE)," ")</f>
        <v>U18 Female</v>
      </c>
      <c r="M4" s="75" t="str">
        <f>IF(MID(L4,5,1)="F","F","M")</f>
        <v>F</v>
      </c>
      <c r="O4" s="750"/>
      <c r="P4" s="1145"/>
      <c r="U4" s="148"/>
      <c r="V4" s="148"/>
      <c r="W4" s="148"/>
    </row>
    <row r="5" spans="2:31" x14ac:dyDescent="0.3">
      <c r="B5" s="32"/>
      <c r="C5" s="32"/>
      <c r="G5" s="32"/>
      <c r="H5" s="32"/>
      <c r="L5" s="32"/>
      <c r="W5" s="32"/>
      <c r="X5" s="32"/>
      <c r="Y5" s="32"/>
    </row>
    <row r="6" spans="2:31" ht="15" thickBot="1" x14ac:dyDescent="0.35">
      <c r="B6" s="32"/>
      <c r="C6" s="32"/>
      <c r="G6" s="32"/>
      <c r="H6" s="32"/>
      <c r="L6" s="32"/>
      <c r="W6" s="32"/>
      <c r="X6" s="32"/>
      <c r="Y6" s="32"/>
    </row>
    <row r="7" spans="2:31" ht="16.2" thickBot="1" x14ac:dyDescent="0.35">
      <c r="B7" s="1018" t="s">
        <v>165</v>
      </c>
      <c r="C7" s="1019" t="s">
        <v>168</v>
      </c>
      <c r="D7" s="1020" t="s">
        <v>241</v>
      </c>
      <c r="E7" s="1146" t="s">
        <v>418</v>
      </c>
      <c r="F7" s="1022" t="s">
        <v>169</v>
      </c>
      <c r="G7" s="32"/>
      <c r="H7" s="32"/>
      <c r="I7" s="4"/>
      <c r="J7" s="88" t="s">
        <v>62</v>
      </c>
      <c r="K7" s="48"/>
      <c r="L7" s="138"/>
      <c r="M7" s="64" t="str">
        <f>"Event No "&amp;J4&amp;"         "&amp;K4&amp;"        "&amp;L4</f>
        <v>Event No 57         High Jump (U18/U20)         U18 Female</v>
      </c>
      <c r="N7" s="48"/>
      <c r="O7" s="567"/>
      <c r="P7" s="567"/>
      <c r="Q7" s="48"/>
      <c r="R7" s="567"/>
      <c r="S7" s="1147">
        <f>VLOOKUP($J4,EventsOrder,2,FALSE)</f>
        <v>3.2</v>
      </c>
      <c r="T7" s="90" t="s">
        <v>385</v>
      </c>
      <c r="U7" s="87" t="s">
        <v>64</v>
      </c>
      <c r="V7" s="48"/>
      <c r="W7" s="1070">
        <f>'Event Details'!E9</f>
        <v>1</v>
      </c>
      <c r="X7" s="49"/>
      <c r="Y7" s="138"/>
    </row>
    <row r="8" spans="2:31" ht="18.75" customHeight="1" thickBot="1" x14ac:dyDescent="0.35">
      <c r="B8" s="1024"/>
      <c r="C8" s="1025"/>
      <c r="D8" s="1026"/>
      <c r="E8" s="118" t="s">
        <v>419</v>
      </c>
      <c r="F8" s="1072"/>
      <c r="G8" s="32"/>
      <c r="H8" s="32"/>
      <c r="I8" s="51"/>
      <c r="K8" s="228" t="s">
        <v>420</v>
      </c>
      <c r="L8" s="146"/>
      <c r="M8" s="78" t="s">
        <v>421</v>
      </c>
      <c r="N8" s="1253" t="str">
        <f>'Event Details'!C17</f>
        <v>17th May 2026</v>
      </c>
      <c r="O8" s="715"/>
      <c r="P8" s="1148"/>
      <c r="Q8" s="1148"/>
      <c r="R8" s="1149" t="s">
        <v>418</v>
      </c>
      <c r="S8" s="1150" t="str">
        <f>VLOOKUP($J4,B9:E29,4,FALSE)</f>
        <v>1.20m</v>
      </c>
      <c r="T8" s="1127" t="s">
        <v>419</v>
      </c>
      <c r="U8" s="54" t="s">
        <v>67</v>
      </c>
      <c r="W8" s="55" t="str">
        <f>'Event Details'!E17</f>
        <v>Bruce williams Way</v>
      </c>
      <c r="X8" s="32"/>
      <c r="Y8" s="146"/>
      <c r="AA8" s="360"/>
      <c r="AB8" s="880"/>
      <c r="AC8" s="880"/>
      <c r="AD8" s="880"/>
      <c r="AE8" s="1071"/>
    </row>
    <row r="9" spans="2:31" ht="18.75" customHeight="1" thickBot="1" x14ac:dyDescent="0.35">
      <c r="B9" s="1078">
        <v>1</v>
      </c>
      <c r="C9" s="1079">
        <f>IF($B9&gt;0,VLOOKUP($B9,EventsOrder,2,FALSE)," ")</f>
        <v>11.3</v>
      </c>
      <c r="D9" s="1080" t="str">
        <f>IF($B9&gt;0,VLOOKUP($B9,EventsOrder,6,FALSE)," ")</f>
        <v xml:space="preserve">High Jump </v>
      </c>
      <c r="E9" s="1268" t="str">
        <f t="shared" ref="E9:E14" si="0">IF($B9&gt;0,VLOOKUP($B9,EventsOrder,8,FALSE)," ")</f>
        <v>1.10m</v>
      </c>
      <c r="F9" s="1081" t="str">
        <f>IF($B9&gt;0,VLOOKUP($B9,EventsOrder,4,FALSE)," ")</f>
        <v>U14 Male</v>
      </c>
      <c r="G9" s="32"/>
      <c r="H9" s="32"/>
      <c r="I9" s="114"/>
      <c r="J9" s="115"/>
      <c r="K9" s="115"/>
      <c r="L9" s="523"/>
      <c r="M9" s="1087" t="s">
        <v>422</v>
      </c>
      <c r="N9" s="1083" t="s">
        <v>422</v>
      </c>
      <c r="O9" s="1083" t="s">
        <v>422</v>
      </c>
      <c r="P9" s="1083" t="s">
        <v>422</v>
      </c>
      <c r="Q9" s="1083" t="s">
        <v>422</v>
      </c>
      <c r="R9" s="1083" t="s">
        <v>422</v>
      </c>
      <c r="S9" s="1083" t="s">
        <v>422</v>
      </c>
      <c r="T9" s="1083" t="s">
        <v>422</v>
      </c>
      <c r="U9" s="1083" t="s">
        <v>422</v>
      </c>
      <c r="V9" s="1083" t="s">
        <v>423</v>
      </c>
      <c r="W9" s="1151" t="s">
        <v>424</v>
      </c>
      <c r="X9" s="1151" t="s">
        <v>78</v>
      </c>
      <c r="Y9" s="5" t="s">
        <v>377</v>
      </c>
      <c r="AA9" s="1075" t="s">
        <v>86</v>
      </c>
      <c r="AB9" s="1076" t="s">
        <v>86</v>
      </c>
      <c r="AC9" s="1076" t="s">
        <v>255</v>
      </c>
      <c r="AD9" s="1076" t="s">
        <v>425</v>
      </c>
      <c r="AE9" s="1077" t="s">
        <v>263</v>
      </c>
    </row>
    <row r="10" spans="2:31" ht="20.25" customHeight="1" thickBot="1" x14ac:dyDescent="0.35">
      <c r="B10" s="1078">
        <v>17</v>
      </c>
      <c r="C10" s="1079">
        <f t="shared" ref="C10:C29" si="1">IF($B10&gt;0,VLOOKUP($B10,EventsOrder,2,FALSE)," ")</f>
        <v>12.3</v>
      </c>
      <c r="D10" s="1080" t="str">
        <f t="shared" ref="D10:D29" si="2">IF($B10&gt;0,VLOOKUP($B10,EventsOrder,6,FALSE)," ")</f>
        <v xml:space="preserve">High Jump </v>
      </c>
      <c r="E10" s="1268" t="str">
        <f t="shared" si="0"/>
        <v>1.10m</v>
      </c>
      <c r="F10" s="1081" t="str">
        <f t="shared" ref="F10:F29" si="3">IF($B10&gt;0,VLOOKUP($B10,EventsOrder,4,FALSE)," ")</f>
        <v>U16 Female</v>
      </c>
      <c r="G10" s="32"/>
      <c r="H10" s="32"/>
      <c r="I10" s="1082" t="s">
        <v>386</v>
      </c>
      <c r="J10" s="1083" t="s">
        <v>71</v>
      </c>
      <c r="K10" s="1084" t="s">
        <v>387</v>
      </c>
      <c r="L10" s="1088" t="s">
        <v>86</v>
      </c>
      <c r="M10" s="1152"/>
      <c r="N10" s="1152"/>
      <c r="O10" s="1152"/>
      <c r="P10" s="1152"/>
      <c r="Q10" s="1152"/>
      <c r="R10" s="1152"/>
      <c r="S10" s="1152"/>
      <c r="T10" s="1152"/>
      <c r="U10" s="1152"/>
      <c r="V10" s="1152"/>
      <c r="W10" s="1126" t="s">
        <v>426</v>
      </c>
      <c r="X10" s="1126" t="s">
        <v>427</v>
      </c>
      <c r="Y10" s="1153"/>
      <c r="AA10" s="1090" t="s">
        <v>71</v>
      </c>
      <c r="AB10" s="361"/>
      <c r="AC10" s="1091" t="s">
        <v>75</v>
      </c>
      <c r="AD10" s="1091" t="s">
        <v>75</v>
      </c>
      <c r="AE10" s="1092"/>
    </row>
    <row r="11" spans="2:31" ht="18" customHeight="1" x14ac:dyDescent="0.3">
      <c r="B11" s="1078">
        <v>29</v>
      </c>
      <c r="C11" s="1079">
        <f t="shared" si="1"/>
        <v>1.3</v>
      </c>
      <c r="D11" s="1080" t="str">
        <f t="shared" si="2"/>
        <v xml:space="preserve">High Jump </v>
      </c>
      <c r="E11" s="1268" t="str">
        <f t="shared" si="0"/>
        <v>1.00m</v>
      </c>
      <c r="F11" s="1081" t="str">
        <f t="shared" si="3"/>
        <v>U14 Female</v>
      </c>
      <c r="G11" s="32">
        <f t="shared" ref="G11:G18" si="4">VLOOKUP($J$4,FieldEventDraw,I11+3,FALSE)</f>
        <v>4</v>
      </c>
      <c r="H11" s="32"/>
      <c r="I11" s="1093" t="s">
        <v>395</v>
      </c>
      <c r="J11" s="1094" t="str">
        <f>IF($G11=0,"",VLOOKUP($G11,LaneDraw,2,FALSE))</f>
        <v>R</v>
      </c>
      <c r="K11" s="1095" t="str">
        <f>IF(OR(U$3&lt;&gt;"Y",LEN(J11)&lt;1),"",VLOOKUP(J11,AA$11:AE$18,3,FALSE))</f>
        <v>Emily Kendrick</v>
      </c>
      <c r="L11" s="394" t="str">
        <f>IF($G11=0,"",VLOOKUP($G11,LaneDraw,3,FALSE))</f>
        <v>Rugby &amp; N'hampton</v>
      </c>
      <c r="M11" s="1099"/>
      <c r="N11" s="1099"/>
      <c r="O11" s="1099"/>
      <c r="P11" s="1099"/>
      <c r="Q11" s="1099"/>
      <c r="R11" s="1099"/>
      <c r="S11" s="1099"/>
      <c r="T11" s="1099"/>
      <c r="U11" s="1099"/>
      <c r="V11" s="1099"/>
      <c r="W11" s="1094"/>
      <c r="X11" s="1094"/>
      <c r="Y11" s="1100"/>
      <c r="AA11" s="1226" t="str">
        <f>'Event Details'!D22</f>
        <v>S</v>
      </c>
      <c r="AB11" s="381" t="str">
        <f>'Event Details'!E22</f>
        <v>BRAT</v>
      </c>
      <c r="AC11" s="1101" t="str">
        <f t="shared" ref="AC11:AC18" si="5">IF(U$3="Y",VLOOKUP($J$4,IF($M$4="F",TeamSheetFemale,TeamSheetMale),AE11,FALSE),"")</f>
        <v xml:space="preserve">Hephzibah Emmanuel Kokoh </v>
      </c>
      <c r="AD11" s="1101">
        <f t="shared" ref="AD11:AD18" si="6">IF(U$3="Y",VLOOKUP($J$4,IF($M$4="F",TeamSheetFemale,TeamSheetMale),AE11+2,FALSE),"")</f>
        <v>0</v>
      </c>
      <c r="AE11" s="417">
        <v>7</v>
      </c>
    </row>
    <row r="12" spans="2:31" ht="18" customHeight="1" x14ac:dyDescent="0.3">
      <c r="B12" s="1078">
        <v>45</v>
      </c>
      <c r="C12" s="1079">
        <f t="shared" si="1"/>
        <v>2.2999999999999998</v>
      </c>
      <c r="D12" s="1080" t="str">
        <f t="shared" si="2"/>
        <v xml:space="preserve">High Jump </v>
      </c>
      <c r="E12" s="1268" t="str">
        <f t="shared" si="0"/>
        <v>1.20m</v>
      </c>
      <c r="F12" s="1081" t="str">
        <f t="shared" si="3"/>
        <v>U16 Male</v>
      </c>
      <c r="G12" s="32">
        <f t="shared" si="4"/>
        <v>7</v>
      </c>
      <c r="H12" s="32"/>
      <c r="I12" s="1102" t="s">
        <v>397</v>
      </c>
      <c r="J12" s="499" t="str">
        <f>IF($G12=0,"",VLOOKUP($G12,LaneDraw,2,FALSE))</f>
        <v>F</v>
      </c>
      <c r="K12" s="1103" t="str">
        <f t="shared" ref="K12:K18" si="7">IF(OR(U$3&lt;&gt;"Y",LEN(J12)&lt;1),"",VLOOKUP(J12,AA$11:AE$18,3,FALSE))</f>
        <v>Chloe Massey</v>
      </c>
      <c r="L12" s="353" t="str">
        <f>IF($G12=0,"",VLOOKUP($G12,LaneDraw,3,FALSE))</f>
        <v>Tamworth</v>
      </c>
      <c r="M12" s="1106"/>
      <c r="N12" s="1106"/>
      <c r="O12" s="1106"/>
      <c r="P12" s="1106"/>
      <c r="Q12" s="1106"/>
      <c r="R12" s="1106"/>
      <c r="S12" s="1106"/>
      <c r="T12" s="1106"/>
      <c r="U12" s="1106"/>
      <c r="V12" s="1106"/>
      <c r="W12" s="499"/>
      <c r="X12" s="499"/>
      <c r="Y12" s="1107"/>
      <c r="AA12" s="1226" t="str">
        <f>'Event Details'!D23</f>
        <v>U</v>
      </c>
      <c r="AB12" s="381" t="str">
        <f>'Event Details'!E23</f>
        <v>Kidder &amp; Stourport</v>
      </c>
      <c r="AC12" s="1101">
        <f t="shared" si="5"/>
        <v>0</v>
      </c>
      <c r="AD12" s="1101">
        <f t="shared" si="6"/>
        <v>0</v>
      </c>
      <c r="AE12" s="417">
        <v>12</v>
      </c>
    </row>
    <row r="13" spans="2:31" ht="18" customHeight="1" x14ac:dyDescent="0.3">
      <c r="B13" s="1078">
        <v>57</v>
      </c>
      <c r="C13" s="1079">
        <f t="shared" si="1"/>
        <v>3.2</v>
      </c>
      <c r="D13" s="1080" t="str">
        <f t="shared" si="2"/>
        <v xml:space="preserve">High Jump (U18/U20) </v>
      </c>
      <c r="E13" s="1268" t="str">
        <f t="shared" si="0"/>
        <v>1.20m</v>
      </c>
      <c r="F13" s="1081" t="str">
        <f t="shared" si="3"/>
        <v>U18 Female</v>
      </c>
      <c r="G13" s="32">
        <f t="shared" si="4"/>
        <v>3</v>
      </c>
      <c r="H13" s="32"/>
      <c r="I13" s="1102" t="s">
        <v>398</v>
      </c>
      <c r="J13" s="499" t="str">
        <f>IF($G13=0,"",VLOOKUP($G13,LaneDraw,2,FALSE))</f>
        <v>G</v>
      </c>
      <c r="K13" s="1103">
        <f t="shared" si="7"/>
        <v>0</v>
      </c>
      <c r="L13" s="353" t="str">
        <f>IF($G13=0,"",VLOOKUP($G13,LaneDraw,3,FALSE))</f>
        <v>Royal Sutton</v>
      </c>
      <c r="M13" s="1106"/>
      <c r="N13" s="1106"/>
      <c r="O13" s="1106"/>
      <c r="P13" s="1106"/>
      <c r="Q13" s="1106"/>
      <c r="R13" s="1106"/>
      <c r="S13" s="1106"/>
      <c r="T13" s="1106"/>
      <c r="U13" s="1106"/>
      <c r="V13" s="1106"/>
      <c r="W13" s="499"/>
      <c r="X13" s="499"/>
      <c r="Y13" s="1107"/>
      <c r="AA13" s="1226" t="str">
        <f>'Event Details'!D24</f>
        <v>G</v>
      </c>
      <c r="AB13" s="381" t="str">
        <f>'Event Details'!E24</f>
        <v>Royal Sutton</v>
      </c>
      <c r="AC13" s="1101">
        <f t="shared" si="5"/>
        <v>0</v>
      </c>
      <c r="AD13" s="1101">
        <f t="shared" si="6"/>
        <v>0</v>
      </c>
      <c r="AE13" s="417">
        <v>17</v>
      </c>
    </row>
    <row r="14" spans="2:31" ht="18" customHeight="1" x14ac:dyDescent="0.3">
      <c r="B14" s="1078">
        <v>69</v>
      </c>
      <c r="C14" s="1079">
        <f t="shared" si="1"/>
        <v>4.0999999999999996</v>
      </c>
      <c r="D14" s="1080" t="str">
        <f t="shared" si="2"/>
        <v xml:space="preserve">High Jump (U18/U20) </v>
      </c>
      <c r="E14" s="1268" t="str">
        <f t="shared" si="0"/>
        <v>1.30m</v>
      </c>
      <c r="F14" s="1081" t="str">
        <f t="shared" si="3"/>
        <v>U18 Men</v>
      </c>
      <c r="G14" s="32">
        <f t="shared" si="4"/>
        <v>1</v>
      </c>
      <c r="H14" s="32"/>
      <c r="I14" s="1102" t="s">
        <v>399</v>
      </c>
      <c r="J14" s="499" t="str">
        <f>IF($G14=0,"",VLOOKUP($G14,LaneDraw,2,FALSE))</f>
        <v>S</v>
      </c>
      <c r="K14" s="1103" t="str">
        <f t="shared" si="7"/>
        <v xml:space="preserve">Hephzibah Emmanuel Kokoh </v>
      </c>
      <c r="L14" s="353" t="str">
        <f>IF($G14=0,"",VLOOKUP($G14,LaneDraw,3,FALSE))</f>
        <v>BRAT</v>
      </c>
      <c r="M14" s="1106"/>
      <c r="N14" s="1106"/>
      <c r="O14" s="1106"/>
      <c r="P14" s="1106"/>
      <c r="Q14" s="1106"/>
      <c r="R14" s="1106"/>
      <c r="S14" s="1106"/>
      <c r="T14" s="1106"/>
      <c r="U14" s="1106"/>
      <c r="V14" s="1106"/>
      <c r="W14" s="499"/>
      <c r="X14" s="499"/>
      <c r="Y14" s="1107"/>
      <c r="AA14" s="1226" t="str">
        <f>'Event Details'!D25</f>
        <v>R</v>
      </c>
      <c r="AB14" s="381" t="str">
        <f>'Event Details'!E25</f>
        <v>Rugby &amp; N'hampton</v>
      </c>
      <c r="AC14" s="1101" t="str">
        <f t="shared" si="5"/>
        <v>Emily Kendrick</v>
      </c>
      <c r="AD14" s="1101">
        <f t="shared" si="6"/>
        <v>0</v>
      </c>
      <c r="AE14" s="417">
        <v>22</v>
      </c>
    </row>
    <row r="15" spans="2:31" ht="18" customHeight="1" x14ac:dyDescent="0.3">
      <c r="B15" s="1078"/>
      <c r="C15" s="1079" t="str">
        <f t="shared" si="1"/>
        <v xml:space="preserve"> </v>
      </c>
      <c r="D15" s="1080" t="str">
        <f t="shared" si="2"/>
        <v xml:space="preserve"> </v>
      </c>
      <c r="E15" s="1268"/>
      <c r="F15" s="1081" t="str">
        <f t="shared" si="3"/>
        <v xml:space="preserve"> </v>
      </c>
      <c r="G15" s="32">
        <f t="shared" si="4"/>
        <v>6</v>
      </c>
      <c r="H15" s="32"/>
      <c r="I15" s="1102" t="s">
        <v>400</v>
      </c>
      <c r="J15" s="499" t="str">
        <f t="shared" ref="J15:J18" si="8">IF($G15=0,"",VLOOKUP($G15,LaneDraw,2,FALSE))</f>
        <v>D</v>
      </c>
      <c r="K15" s="1103" t="str">
        <f t="shared" si="7"/>
        <v>Darcie Nicholls</v>
      </c>
      <c r="L15" s="353" t="str">
        <f t="shared" ref="L15:L26" si="9">IF($G15=0,"",VLOOKUP($G15,LaneDraw,3,FALSE))</f>
        <v>Stratford</v>
      </c>
      <c r="M15" s="1106"/>
      <c r="N15" s="1106"/>
      <c r="O15" s="1106"/>
      <c r="P15" s="1106"/>
      <c r="Q15" s="1106"/>
      <c r="R15" s="1106"/>
      <c r="S15" s="1106"/>
      <c r="T15" s="1106"/>
      <c r="U15" s="1106"/>
      <c r="V15" s="1106"/>
      <c r="W15" s="499"/>
      <c r="X15" s="499"/>
      <c r="Y15" s="1107"/>
      <c r="AA15" s="1226" t="str">
        <f>'Event Details'!D26</f>
        <v>M</v>
      </c>
      <c r="AB15" s="381" t="str">
        <f>'Event Details'!E26</f>
        <v>Solihull &amp; S.Heath</v>
      </c>
      <c r="AC15" s="1101" t="str">
        <f t="shared" si="5"/>
        <v>Jess Pym</v>
      </c>
      <c r="AD15" s="1101">
        <f t="shared" si="6"/>
        <v>0</v>
      </c>
      <c r="AE15" s="417">
        <v>27</v>
      </c>
    </row>
    <row r="16" spans="2:31" ht="18" customHeight="1" x14ac:dyDescent="0.3">
      <c r="B16" s="1078"/>
      <c r="C16" s="1079" t="str">
        <f t="shared" si="1"/>
        <v xml:space="preserve"> </v>
      </c>
      <c r="D16" s="1080" t="str">
        <f t="shared" si="2"/>
        <v xml:space="preserve"> </v>
      </c>
      <c r="E16" s="1268"/>
      <c r="F16" s="1081" t="str">
        <f t="shared" si="3"/>
        <v xml:space="preserve"> </v>
      </c>
      <c r="G16" s="32">
        <f t="shared" si="4"/>
        <v>5</v>
      </c>
      <c r="H16" s="32"/>
      <c r="I16" s="1102" t="s">
        <v>401</v>
      </c>
      <c r="J16" s="499" t="str">
        <f t="shared" si="8"/>
        <v>M</v>
      </c>
      <c r="K16" s="1103" t="str">
        <f t="shared" si="7"/>
        <v>Jess Pym</v>
      </c>
      <c r="L16" s="353" t="str">
        <f t="shared" si="9"/>
        <v>Solihull &amp; S.Heath</v>
      </c>
      <c r="M16" s="1106"/>
      <c r="N16" s="1106"/>
      <c r="O16" s="1106"/>
      <c r="P16" s="1106"/>
      <c r="Q16" s="1106"/>
      <c r="R16" s="1106"/>
      <c r="S16" s="1106"/>
      <c r="T16" s="1106"/>
      <c r="U16" s="1106"/>
      <c r="V16" s="1106"/>
      <c r="W16" s="499"/>
      <c r="X16" s="499"/>
      <c r="Y16" s="1107"/>
      <c r="AA16" s="1226" t="str">
        <f>'Event Details'!D27</f>
        <v>D</v>
      </c>
      <c r="AB16" s="381" t="str">
        <f>'Event Details'!E27</f>
        <v>Stratford</v>
      </c>
      <c r="AC16" s="1101" t="str">
        <f t="shared" si="5"/>
        <v>Darcie Nicholls</v>
      </c>
      <c r="AD16" s="1101" t="str">
        <f t="shared" si="6"/>
        <v>Ava Sheppard</v>
      </c>
      <c r="AE16" s="417">
        <v>32</v>
      </c>
    </row>
    <row r="17" spans="2:31" ht="18" customHeight="1" x14ac:dyDescent="0.3">
      <c r="B17" s="1078"/>
      <c r="C17" s="1079" t="str">
        <f t="shared" si="1"/>
        <v xml:space="preserve"> </v>
      </c>
      <c r="D17" s="1080" t="str">
        <f t="shared" si="2"/>
        <v xml:space="preserve"> </v>
      </c>
      <c r="E17" s="1268"/>
      <c r="F17" s="1081" t="str">
        <f t="shared" si="3"/>
        <v xml:space="preserve"> </v>
      </c>
      <c r="G17" s="32">
        <f t="shared" si="4"/>
        <v>2</v>
      </c>
      <c r="H17" s="32"/>
      <c r="I17" s="1102" t="s">
        <v>402</v>
      </c>
      <c r="J17" s="499" t="str">
        <f t="shared" si="8"/>
        <v>U</v>
      </c>
      <c r="K17" s="1103">
        <f t="shared" si="7"/>
        <v>0</v>
      </c>
      <c r="L17" s="353" t="str">
        <f t="shared" si="9"/>
        <v>Kidder &amp; Stourport</v>
      </c>
      <c r="M17" s="1106"/>
      <c r="N17" s="1106"/>
      <c r="O17" s="1106"/>
      <c r="P17" s="1106"/>
      <c r="Q17" s="1106"/>
      <c r="R17" s="1106"/>
      <c r="S17" s="1106"/>
      <c r="T17" s="1106"/>
      <c r="U17" s="1106"/>
      <c r="V17" s="1106"/>
      <c r="W17" s="499"/>
      <c r="X17" s="499"/>
      <c r="Y17" s="1107"/>
      <c r="AA17" s="1226" t="str">
        <f>'Event Details'!D28</f>
        <v>F</v>
      </c>
      <c r="AB17" s="381" t="str">
        <f>'Event Details'!E28</f>
        <v>Tamworth</v>
      </c>
      <c r="AC17" s="1101" t="str">
        <f t="shared" si="5"/>
        <v>Chloe Massey</v>
      </c>
      <c r="AD17" s="1101">
        <f t="shared" si="6"/>
        <v>0</v>
      </c>
      <c r="AE17" s="417">
        <v>37</v>
      </c>
    </row>
    <row r="18" spans="2:31" ht="18" customHeight="1" thickBot="1" x14ac:dyDescent="0.35">
      <c r="B18" s="1078"/>
      <c r="C18" s="1079" t="str">
        <f t="shared" si="1"/>
        <v xml:space="preserve"> </v>
      </c>
      <c r="D18" s="1080" t="str">
        <f t="shared" si="2"/>
        <v xml:space="preserve"> </v>
      </c>
      <c r="E18" s="1268"/>
      <c r="F18" s="1081" t="str">
        <f t="shared" si="3"/>
        <v xml:space="preserve"> </v>
      </c>
      <c r="G18" s="32">
        <f t="shared" si="4"/>
        <v>8</v>
      </c>
      <c r="H18" s="32"/>
      <c r="I18" s="1102" t="s">
        <v>404</v>
      </c>
      <c r="J18" s="499" t="str">
        <f t="shared" si="8"/>
        <v>Y</v>
      </c>
      <c r="K18" s="1103">
        <f t="shared" si="7"/>
        <v>0</v>
      </c>
      <c r="L18" s="353" t="str">
        <f t="shared" si="9"/>
        <v>Worcester</v>
      </c>
      <c r="M18" s="1106"/>
      <c r="N18" s="1106"/>
      <c r="O18" s="1106"/>
      <c r="P18" s="1106"/>
      <c r="Q18" s="1106"/>
      <c r="R18" s="1106"/>
      <c r="S18" s="1106"/>
      <c r="T18" s="1106"/>
      <c r="U18" s="1106"/>
      <c r="V18" s="1106"/>
      <c r="W18" s="499"/>
      <c r="X18" s="499"/>
      <c r="Y18" s="1107"/>
      <c r="AA18" s="1227" t="str">
        <f>'Event Details'!D29</f>
        <v>Y</v>
      </c>
      <c r="AB18" s="366" t="str">
        <f>'Event Details'!E29</f>
        <v>Worcester</v>
      </c>
      <c r="AC18" s="1112">
        <f t="shared" si="5"/>
        <v>0</v>
      </c>
      <c r="AD18" s="1112">
        <f t="shared" si="6"/>
        <v>0</v>
      </c>
      <c r="AE18" s="418">
        <v>42</v>
      </c>
    </row>
    <row r="19" spans="2:31" ht="18" customHeight="1" x14ac:dyDescent="0.3">
      <c r="B19" s="1078"/>
      <c r="C19" s="1079" t="str">
        <f t="shared" si="1"/>
        <v xml:space="preserve"> </v>
      </c>
      <c r="D19" s="1080" t="str">
        <f t="shared" si="2"/>
        <v xml:space="preserve"> </v>
      </c>
      <c r="E19" s="1268"/>
      <c r="F19" s="1081" t="str">
        <f t="shared" si="3"/>
        <v xml:space="preserve"> </v>
      </c>
      <c r="G19" s="32">
        <f>G11</f>
        <v>4</v>
      </c>
      <c r="H19" s="32"/>
      <c r="I19" s="1102" t="s">
        <v>299</v>
      </c>
      <c r="J19" s="499" t="str">
        <f t="shared" ref="J19:J26" si="10">IF(J11=0,"",J11&amp;J11)</f>
        <v>RR</v>
      </c>
      <c r="K19" s="876">
        <f>IF(OR(U$3&lt;&gt;"Y",LEN(J19)&lt;1),"",VLOOKUP(LEFT(J19,1),AA$11:AE$18,4,FALSE))</f>
        <v>0</v>
      </c>
      <c r="L19" s="353" t="str">
        <f t="shared" si="9"/>
        <v>Rugby &amp; N'hampton</v>
      </c>
      <c r="M19" s="1106"/>
      <c r="N19" s="1106"/>
      <c r="O19" s="1106"/>
      <c r="P19" s="1106"/>
      <c r="Q19" s="1106"/>
      <c r="R19" s="1106"/>
      <c r="S19" s="1106"/>
      <c r="T19" s="1106"/>
      <c r="U19" s="1106"/>
      <c r="V19" s="1106"/>
      <c r="W19" s="499"/>
      <c r="X19" s="499"/>
      <c r="Y19" s="1107"/>
    </row>
    <row r="20" spans="2:31" ht="18" customHeight="1" x14ac:dyDescent="0.3">
      <c r="B20" s="1078"/>
      <c r="C20" s="1079" t="str">
        <f t="shared" si="1"/>
        <v xml:space="preserve"> </v>
      </c>
      <c r="D20" s="1080" t="str">
        <f t="shared" si="2"/>
        <v xml:space="preserve"> </v>
      </c>
      <c r="E20" s="1268"/>
      <c r="F20" s="1081" t="str">
        <f t="shared" si="3"/>
        <v xml:space="preserve"> </v>
      </c>
      <c r="G20" s="32">
        <f t="shared" ref="G20:G26" si="11">G12</f>
        <v>7</v>
      </c>
      <c r="H20" s="32"/>
      <c r="I20" s="1102" t="s">
        <v>406</v>
      </c>
      <c r="J20" s="499" t="str">
        <f t="shared" si="10"/>
        <v>FF</v>
      </c>
      <c r="K20" s="876">
        <f t="shared" ref="K20:K26" si="12">IF(OR(U$3&lt;&gt;"Y",LEN(J20)&lt;1),"",VLOOKUP(LEFT(J20,1),AA$11:AE$18,4,FALSE))</f>
        <v>0</v>
      </c>
      <c r="L20" s="353" t="str">
        <f t="shared" si="9"/>
        <v>Tamworth</v>
      </c>
      <c r="M20" s="1106"/>
      <c r="N20" s="1106"/>
      <c r="O20" s="1106"/>
      <c r="P20" s="1106"/>
      <c r="Q20" s="1106"/>
      <c r="R20" s="1106"/>
      <c r="S20" s="1106"/>
      <c r="T20" s="1106"/>
      <c r="U20" s="1106"/>
      <c r="V20" s="1106"/>
      <c r="W20" s="499"/>
      <c r="X20" s="499"/>
      <c r="Y20" s="1107"/>
    </row>
    <row r="21" spans="2:31" ht="18" customHeight="1" x14ac:dyDescent="0.3">
      <c r="B21" s="1078"/>
      <c r="C21" s="1079" t="str">
        <f t="shared" si="1"/>
        <v xml:space="preserve"> </v>
      </c>
      <c r="D21" s="1080" t="str">
        <f t="shared" si="2"/>
        <v xml:space="preserve"> </v>
      </c>
      <c r="E21" s="1268"/>
      <c r="F21" s="1081" t="str">
        <f t="shared" si="3"/>
        <v xml:space="preserve"> </v>
      </c>
      <c r="G21" s="32">
        <f t="shared" si="11"/>
        <v>3</v>
      </c>
      <c r="H21" s="32"/>
      <c r="I21" s="1102" t="s">
        <v>407</v>
      </c>
      <c r="J21" s="499" t="str">
        <f t="shared" si="10"/>
        <v>GG</v>
      </c>
      <c r="K21" s="876">
        <f t="shared" si="12"/>
        <v>0</v>
      </c>
      <c r="L21" s="353" t="str">
        <f t="shared" si="9"/>
        <v>Royal Sutton</v>
      </c>
      <c r="M21" s="1106"/>
      <c r="N21" s="1106"/>
      <c r="O21" s="1106"/>
      <c r="P21" s="1106"/>
      <c r="Q21" s="1106"/>
      <c r="R21" s="1106"/>
      <c r="S21" s="1106"/>
      <c r="T21" s="1106"/>
      <c r="U21" s="1106"/>
      <c r="V21" s="1106"/>
      <c r="W21" s="499"/>
      <c r="X21" s="499"/>
      <c r="Y21" s="1107"/>
    </row>
    <row r="22" spans="2:31" ht="18" customHeight="1" x14ac:dyDescent="0.3">
      <c r="B22" s="1078"/>
      <c r="C22" s="1079" t="str">
        <f t="shared" si="1"/>
        <v xml:space="preserve"> </v>
      </c>
      <c r="D22" s="1080" t="str">
        <f t="shared" si="2"/>
        <v xml:space="preserve"> </v>
      </c>
      <c r="E22" s="1268"/>
      <c r="F22" s="1081" t="str">
        <f t="shared" si="3"/>
        <v xml:space="preserve"> </v>
      </c>
      <c r="G22" s="32">
        <f t="shared" si="11"/>
        <v>1</v>
      </c>
      <c r="H22" s="32"/>
      <c r="I22" s="1102" t="s">
        <v>408</v>
      </c>
      <c r="J22" s="499" t="str">
        <f t="shared" si="10"/>
        <v>SS</v>
      </c>
      <c r="K22" s="876">
        <f t="shared" si="12"/>
        <v>0</v>
      </c>
      <c r="L22" s="353" t="str">
        <f t="shared" si="9"/>
        <v>BRAT</v>
      </c>
      <c r="M22" s="1106"/>
      <c r="N22" s="1106"/>
      <c r="O22" s="1106"/>
      <c r="P22" s="1106"/>
      <c r="Q22" s="1106"/>
      <c r="R22" s="1106"/>
      <c r="S22" s="1106"/>
      <c r="T22" s="1106"/>
      <c r="U22" s="1106"/>
      <c r="V22" s="1106"/>
      <c r="W22" s="499"/>
      <c r="X22" s="499"/>
      <c r="Y22" s="1107"/>
    </row>
    <row r="23" spans="2:31" ht="18" customHeight="1" x14ac:dyDescent="0.3">
      <c r="B23" s="1078"/>
      <c r="C23" s="1079" t="str">
        <f t="shared" si="1"/>
        <v xml:space="preserve"> </v>
      </c>
      <c r="D23" s="1080" t="str">
        <f t="shared" si="2"/>
        <v xml:space="preserve"> </v>
      </c>
      <c r="E23" s="1268"/>
      <c r="F23" s="1081" t="str">
        <f t="shared" si="3"/>
        <v xml:space="preserve"> </v>
      </c>
      <c r="G23" s="32">
        <f t="shared" si="11"/>
        <v>6</v>
      </c>
      <c r="H23" s="32"/>
      <c r="I23" s="1113" t="s">
        <v>409</v>
      </c>
      <c r="J23" s="499" t="str">
        <f t="shared" si="10"/>
        <v>DD</v>
      </c>
      <c r="K23" s="1115" t="str">
        <f t="shared" si="12"/>
        <v>Ava Sheppard</v>
      </c>
      <c r="L23" s="353" t="str">
        <f t="shared" si="9"/>
        <v>Stratford</v>
      </c>
      <c r="M23" s="345"/>
      <c r="N23" s="345"/>
      <c r="O23" s="345"/>
      <c r="P23" s="345"/>
      <c r="Q23" s="345"/>
      <c r="R23" s="345"/>
      <c r="S23" s="345"/>
      <c r="T23" s="345"/>
      <c r="U23" s="345"/>
      <c r="V23" s="345"/>
      <c r="W23" s="342"/>
      <c r="X23" s="342"/>
      <c r="Y23" s="1118"/>
    </row>
    <row r="24" spans="2:31" ht="20.25" customHeight="1" x14ac:dyDescent="0.3">
      <c r="B24" s="1078"/>
      <c r="C24" s="1079" t="str">
        <f t="shared" si="1"/>
        <v xml:space="preserve"> </v>
      </c>
      <c r="D24" s="1080" t="str">
        <f t="shared" si="2"/>
        <v xml:space="preserve"> </v>
      </c>
      <c r="E24" s="1268"/>
      <c r="F24" s="1081" t="str">
        <f t="shared" si="3"/>
        <v xml:space="preserve"> </v>
      </c>
      <c r="G24" s="32">
        <f t="shared" si="11"/>
        <v>5</v>
      </c>
      <c r="H24" s="32"/>
      <c r="I24" s="1113" t="s">
        <v>300</v>
      </c>
      <c r="J24" s="499" t="str">
        <f t="shared" si="10"/>
        <v>MM</v>
      </c>
      <c r="K24" s="1115">
        <f t="shared" si="12"/>
        <v>0</v>
      </c>
      <c r="L24" s="353" t="str">
        <f t="shared" si="9"/>
        <v>Solihull &amp; S.Heath</v>
      </c>
      <c r="M24" s="345"/>
      <c r="N24" s="345"/>
      <c r="O24" s="345"/>
      <c r="P24" s="345"/>
      <c r="Q24" s="345"/>
      <c r="R24" s="345"/>
      <c r="S24" s="345"/>
      <c r="T24" s="345"/>
      <c r="U24" s="345"/>
      <c r="V24" s="345"/>
      <c r="W24" s="342"/>
      <c r="X24" s="342"/>
      <c r="Y24" s="1118"/>
    </row>
    <row r="25" spans="2:31" ht="18" customHeight="1" x14ac:dyDescent="0.3">
      <c r="B25" s="1078"/>
      <c r="C25" s="1079" t="str">
        <f t="shared" si="1"/>
        <v xml:space="preserve"> </v>
      </c>
      <c r="D25" s="1080" t="str">
        <f t="shared" si="2"/>
        <v xml:space="preserve"> </v>
      </c>
      <c r="E25" s="1268"/>
      <c r="F25" s="1081" t="str">
        <f t="shared" si="3"/>
        <v xml:space="preserve"> </v>
      </c>
      <c r="G25" s="32">
        <f t="shared" si="11"/>
        <v>2</v>
      </c>
      <c r="H25" s="32"/>
      <c r="I25" s="1113" t="s">
        <v>410</v>
      </c>
      <c r="J25" s="499" t="str">
        <f t="shared" si="10"/>
        <v>UU</v>
      </c>
      <c r="K25" s="1115">
        <f t="shared" si="12"/>
        <v>0</v>
      </c>
      <c r="L25" s="353" t="str">
        <f t="shared" si="9"/>
        <v>Kidder &amp; Stourport</v>
      </c>
      <c r="M25" s="345"/>
      <c r="N25" s="345"/>
      <c r="O25" s="345"/>
      <c r="P25" s="345"/>
      <c r="Q25" s="345"/>
      <c r="R25" s="345"/>
      <c r="S25" s="345"/>
      <c r="T25" s="345"/>
      <c r="U25" s="345"/>
      <c r="V25" s="345"/>
      <c r="W25" s="342"/>
      <c r="X25" s="342"/>
      <c r="Y25" s="1118"/>
    </row>
    <row r="26" spans="2:31" ht="20.25" customHeight="1" thickBot="1" x14ac:dyDescent="0.35">
      <c r="B26" s="1078"/>
      <c r="C26" s="1079" t="str">
        <f t="shared" si="1"/>
        <v xml:space="preserve"> </v>
      </c>
      <c r="D26" s="1080" t="str">
        <f t="shared" si="2"/>
        <v xml:space="preserve"> </v>
      </c>
      <c r="E26" s="1268"/>
      <c r="F26" s="1081" t="str">
        <f t="shared" si="3"/>
        <v xml:space="preserve"> </v>
      </c>
      <c r="G26" s="32">
        <f t="shared" si="11"/>
        <v>8</v>
      </c>
      <c r="H26" s="32"/>
      <c r="I26" s="1154" t="s">
        <v>411</v>
      </c>
      <c r="J26" s="579" t="str">
        <f t="shared" si="10"/>
        <v>YY</v>
      </c>
      <c r="K26" s="877">
        <f t="shared" si="12"/>
        <v>0</v>
      </c>
      <c r="L26" s="375" t="str">
        <f t="shared" si="9"/>
        <v>Worcester</v>
      </c>
      <c r="M26" s="987"/>
      <c r="N26" s="987"/>
      <c r="O26" s="987"/>
      <c r="P26" s="987"/>
      <c r="Q26" s="987"/>
      <c r="R26" s="987"/>
      <c r="S26" s="987"/>
      <c r="T26" s="987"/>
      <c r="U26" s="987"/>
      <c r="V26" s="987"/>
      <c r="W26" s="347"/>
      <c r="X26" s="347"/>
      <c r="Y26" s="1155"/>
    </row>
    <row r="27" spans="2:31" ht="19.5" customHeight="1" thickBot="1" x14ac:dyDescent="0.35">
      <c r="B27" s="1078"/>
      <c r="C27" s="1079" t="str">
        <f t="shared" si="1"/>
        <v xml:space="preserve"> </v>
      </c>
      <c r="D27" s="1080" t="str">
        <f t="shared" si="2"/>
        <v xml:space="preserve"> </v>
      </c>
      <c r="E27" s="1268"/>
      <c r="F27" s="1081" t="str">
        <f t="shared" si="3"/>
        <v xml:space="preserve"> </v>
      </c>
      <c r="G27" s="32"/>
      <c r="H27" s="32"/>
      <c r="I27" s="51"/>
      <c r="L27" s="32"/>
      <c r="W27" s="32"/>
      <c r="X27" s="32"/>
      <c r="Y27" s="146"/>
    </row>
    <row r="28" spans="2:31" ht="16.5" customHeight="1" thickBot="1" x14ac:dyDescent="0.35">
      <c r="B28" s="1078"/>
      <c r="C28" s="1079" t="str">
        <f t="shared" si="1"/>
        <v xml:space="preserve"> </v>
      </c>
      <c r="D28" s="1080" t="str">
        <f t="shared" si="2"/>
        <v xml:space="preserve"> </v>
      </c>
      <c r="E28" s="1268"/>
      <c r="F28" s="1081" t="str">
        <f t="shared" si="3"/>
        <v xml:space="preserve"> </v>
      </c>
      <c r="G28" s="32"/>
      <c r="H28" s="32"/>
      <c r="I28" s="51"/>
      <c r="J28" s="510"/>
      <c r="K28" s="1445" t="s">
        <v>412</v>
      </c>
      <c r="L28" s="1445"/>
      <c r="M28" s="1445"/>
      <c r="N28" s="1342"/>
      <c r="O28" s="1448" t="s">
        <v>428</v>
      </c>
      <c r="P28" s="1449"/>
      <c r="Q28" s="1449"/>
      <c r="R28" s="1449"/>
      <c r="S28" s="1449"/>
      <c r="T28" s="1341"/>
      <c r="U28" s="895"/>
      <c r="V28" s="895"/>
      <c r="W28" s="895"/>
      <c r="X28" s="476"/>
      <c r="Y28" s="146"/>
    </row>
    <row r="29" spans="2:31" ht="16.5" customHeight="1" thickBot="1" x14ac:dyDescent="0.35">
      <c r="B29" s="1134"/>
      <c r="C29" s="1135" t="str">
        <f t="shared" si="1"/>
        <v xml:space="preserve"> </v>
      </c>
      <c r="D29" s="1136" t="str">
        <f t="shared" si="2"/>
        <v xml:space="preserve"> </v>
      </c>
      <c r="E29" s="1270"/>
      <c r="F29" s="1137" t="str">
        <f t="shared" si="3"/>
        <v xml:space="preserve"> </v>
      </c>
      <c r="G29" s="32"/>
      <c r="H29" s="32"/>
      <c r="I29" s="51"/>
      <c r="J29" s="1124" t="s">
        <v>71</v>
      </c>
      <c r="K29" s="1156" t="s">
        <v>387</v>
      </c>
      <c r="L29" s="1126" t="s">
        <v>86</v>
      </c>
      <c r="M29" s="1157" t="s">
        <v>209</v>
      </c>
      <c r="N29" s="59"/>
      <c r="O29" s="1124" t="s">
        <v>71</v>
      </c>
      <c r="P29" s="1082" t="s">
        <v>387</v>
      </c>
      <c r="Q29" s="1084"/>
      <c r="R29" s="895"/>
      <c r="S29" s="895"/>
      <c r="T29" s="1158"/>
      <c r="U29" s="1159" t="s">
        <v>86</v>
      </c>
      <c r="V29" s="1160"/>
      <c r="W29" s="1161" t="s">
        <v>209</v>
      </c>
      <c r="X29" s="476"/>
      <c r="Y29" s="146"/>
    </row>
    <row r="30" spans="2:31" ht="18" customHeight="1" x14ac:dyDescent="0.3">
      <c r="B30" s="32"/>
      <c r="C30" s="32"/>
      <c r="G30" s="32"/>
      <c r="H30" s="32"/>
      <c r="I30" s="51"/>
      <c r="J30" s="1128"/>
      <c r="K30" s="1129" t="s">
        <v>395</v>
      </c>
      <c r="L30" s="1162"/>
      <c r="M30" s="1162"/>
      <c r="N30" s="694"/>
      <c r="O30" s="1128"/>
      <c r="P30" s="1131" t="s">
        <v>395</v>
      </c>
      <c r="Q30" s="1133"/>
      <c r="R30" s="876"/>
      <c r="S30" s="876"/>
      <c r="T30" s="1104"/>
      <c r="U30" s="876"/>
      <c r="V30" s="826"/>
      <c r="W30" s="876"/>
      <c r="X30" s="1107"/>
      <c r="Y30" s="146"/>
    </row>
    <row r="31" spans="2:31" ht="18" customHeight="1" x14ac:dyDescent="0.3">
      <c r="B31" s="32"/>
      <c r="C31" s="32"/>
      <c r="G31" s="32"/>
      <c r="H31" s="32"/>
      <c r="I31" s="51"/>
      <c r="J31" s="1130"/>
      <c r="K31" s="1131" t="s">
        <v>397</v>
      </c>
      <c r="L31" s="787"/>
      <c r="M31" s="787"/>
      <c r="N31" s="1132"/>
      <c r="O31" s="876"/>
      <c r="P31" s="1131" t="s">
        <v>397</v>
      </c>
      <c r="Q31" s="1133"/>
      <c r="R31" s="876"/>
      <c r="S31" s="876"/>
      <c r="T31" s="1104"/>
      <c r="U31" s="876"/>
      <c r="V31" s="826"/>
      <c r="W31" s="876"/>
      <c r="X31" s="1107"/>
      <c r="Y31" s="146"/>
    </row>
    <row r="32" spans="2:31" ht="18" customHeight="1" x14ac:dyDescent="0.3">
      <c r="B32" s="32"/>
      <c r="C32" s="32"/>
      <c r="G32" s="32"/>
      <c r="H32" s="32"/>
      <c r="I32" s="51"/>
      <c r="J32" s="1130"/>
      <c r="K32" s="1131" t="s">
        <v>398</v>
      </c>
      <c r="L32" s="787"/>
      <c r="M32" s="787"/>
      <c r="N32" s="1132"/>
      <c r="O32" s="876"/>
      <c r="P32" s="1131" t="s">
        <v>398</v>
      </c>
      <c r="Q32" s="1133"/>
      <c r="R32" s="876"/>
      <c r="S32" s="876"/>
      <c r="T32" s="1104"/>
      <c r="U32" s="876"/>
      <c r="V32" s="826"/>
      <c r="W32" s="876"/>
      <c r="X32" s="1107"/>
      <c r="Y32" s="146"/>
    </row>
    <row r="33" spans="2:25" ht="18" customHeight="1" x14ac:dyDescent="0.3">
      <c r="B33" s="32"/>
      <c r="C33" s="32"/>
      <c r="G33" s="32"/>
      <c r="H33" s="32"/>
      <c r="I33" s="51"/>
      <c r="J33" s="1130"/>
      <c r="K33" s="1131" t="s">
        <v>399</v>
      </c>
      <c r="L33" s="787"/>
      <c r="M33" s="787"/>
      <c r="N33" s="1132"/>
      <c r="O33" s="876"/>
      <c r="P33" s="1131" t="s">
        <v>399</v>
      </c>
      <c r="Q33" s="1133"/>
      <c r="R33" s="876"/>
      <c r="S33" s="876"/>
      <c r="T33" s="1104"/>
      <c r="U33" s="876"/>
      <c r="V33" s="826"/>
      <c r="W33" s="876"/>
      <c r="X33" s="1107"/>
      <c r="Y33" s="146"/>
    </row>
    <row r="34" spans="2:25" ht="18" customHeight="1" x14ac:dyDescent="0.3">
      <c r="B34" s="32"/>
      <c r="C34" s="32"/>
      <c r="G34" s="32"/>
      <c r="H34" s="32"/>
      <c r="I34" s="51"/>
      <c r="J34" s="1130"/>
      <c r="K34" s="1131" t="s">
        <v>400</v>
      </c>
      <c r="L34" s="787"/>
      <c r="M34" s="787"/>
      <c r="N34" s="1132"/>
      <c r="O34" s="876"/>
      <c r="P34" s="1131" t="s">
        <v>400</v>
      </c>
      <c r="Q34" s="1133"/>
      <c r="R34" s="876"/>
      <c r="S34" s="876"/>
      <c r="T34" s="1104"/>
      <c r="U34" s="876"/>
      <c r="V34" s="826"/>
      <c r="W34" s="876"/>
      <c r="X34" s="1107"/>
      <c r="Y34" s="146"/>
    </row>
    <row r="35" spans="2:25" ht="18" customHeight="1" x14ac:dyDescent="0.3">
      <c r="B35" s="32"/>
      <c r="C35" s="32"/>
      <c r="G35" s="32"/>
      <c r="H35" s="32"/>
      <c r="I35" s="51"/>
      <c r="J35" s="1130"/>
      <c r="K35" s="1131" t="s">
        <v>401</v>
      </c>
      <c r="L35" s="787"/>
      <c r="M35" s="787"/>
      <c r="N35" s="1132"/>
      <c r="O35" s="876"/>
      <c r="P35" s="1131" t="s">
        <v>401</v>
      </c>
      <c r="Q35" s="1133"/>
      <c r="R35" s="876"/>
      <c r="S35" s="876"/>
      <c r="T35" s="1104"/>
      <c r="U35" s="876"/>
      <c r="V35" s="826"/>
      <c r="W35" s="876"/>
      <c r="X35" s="1107"/>
      <c r="Y35" s="146"/>
    </row>
    <row r="36" spans="2:25" ht="18" customHeight="1" x14ac:dyDescent="0.3">
      <c r="B36" s="32"/>
      <c r="C36" s="32"/>
      <c r="G36" s="32"/>
      <c r="H36" s="32"/>
      <c r="I36" s="51"/>
      <c r="J36" s="1130"/>
      <c r="K36" s="1131" t="s">
        <v>402</v>
      </c>
      <c r="L36" s="787"/>
      <c r="M36" s="787"/>
      <c r="N36" s="1132"/>
      <c r="O36" s="876"/>
      <c r="P36" s="1131" t="s">
        <v>402</v>
      </c>
      <c r="Q36" s="1133"/>
      <c r="R36" s="876"/>
      <c r="S36" s="876"/>
      <c r="T36" s="1104"/>
      <c r="U36" s="876"/>
      <c r="V36" s="826"/>
      <c r="W36" s="876"/>
      <c r="X36" s="1107"/>
      <c r="Y36" s="146"/>
    </row>
    <row r="37" spans="2:25" ht="18" customHeight="1" thickBot="1" x14ac:dyDescent="0.35">
      <c r="B37" s="32"/>
      <c r="C37" s="32"/>
      <c r="G37" s="32"/>
      <c r="H37" s="32"/>
      <c r="I37" s="51"/>
      <c r="J37" s="503"/>
      <c r="K37" s="1138" t="s">
        <v>404</v>
      </c>
      <c r="L37" s="1163"/>
      <c r="M37" s="1163"/>
      <c r="N37" s="53"/>
      <c r="P37" s="1138" t="s">
        <v>404</v>
      </c>
      <c r="Q37" s="1164"/>
      <c r="T37" s="847"/>
      <c r="V37" s="803"/>
      <c r="X37" s="146"/>
      <c r="Y37" s="146"/>
    </row>
    <row r="38" spans="2:25" ht="27.75" customHeight="1" thickBot="1" x14ac:dyDescent="0.35">
      <c r="B38" s="32"/>
      <c r="C38" s="32"/>
      <c r="G38" s="32"/>
      <c r="H38" s="32"/>
      <c r="I38" s="1139" t="s">
        <v>416</v>
      </c>
      <c r="J38" s="895"/>
      <c r="K38" s="895"/>
      <c r="L38" s="509"/>
      <c r="M38" s="895"/>
      <c r="N38" s="895"/>
      <c r="O38" s="895"/>
      <c r="P38" s="895"/>
      <c r="Q38" s="546"/>
      <c r="R38" s="1139" t="s">
        <v>417</v>
      </c>
      <c r="S38" s="1165"/>
      <c r="T38" s="895"/>
      <c r="U38" s="895"/>
      <c r="V38" s="895"/>
      <c r="W38" s="895"/>
      <c r="X38" s="509"/>
      <c r="Y38" s="476"/>
    </row>
  </sheetData>
  <sheetProtection sheet="1" objects="1" scenarios="1"/>
  <mergeCells count="2">
    <mergeCell ref="K28:M28"/>
    <mergeCell ref="O28:S28"/>
  </mergeCells>
  <conditionalFormatting sqref="M4">
    <cfRule type="cellIs" dxfId="8" priority="1" stopIfTrue="1" operator="equal">
      <formula>"""U17M"""</formula>
    </cfRule>
    <cfRule type="cellIs" dxfId="7" priority="2" stopIfTrue="1" operator="equal">
      <formula>"""U15B"""</formula>
    </cfRule>
    <cfRule type="cellIs" dxfId="6" priority="3" stopIfTrue="1" operator="equal">
      <formula>"""U13B"""</formula>
    </cfRule>
  </conditionalFormatting>
  <pageMargins left="0.70866141732283472" right="0.11811023622047245" top="0.35433070866141736" bottom="0.35433070866141736" header="0.11811023622047245" footer="0.11811023622047245"/>
  <pageSetup paperSize="9" scale="8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BA855-53F0-41C7-8D43-D981C64A8E48}">
  <sheetPr>
    <pageSetUpPr fitToPage="1"/>
  </sheetPr>
  <dimension ref="A1:AF185"/>
  <sheetViews>
    <sheetView showZeros="0" topLeftCell="B64" workbookViewId="0">
      <selection activeCell="A164" sqref="A164"/>
    </sheetView>
  </sheetViews>
  <sheetFormatPr defaultRowHeight="14.4" x14ac:dyDescent="0.3"/>
  <cols>
    <col min="1" max="1" width="7.44140625" customWidth="1"/>
    <col min="2" max="2" width="7.6640625" customWidth="1"/>
    <col min="3" max="3" width="16.33203125" bestFit="1" customWidth="1"/>
    <col min="4" max="12" width="12.33203125" customWidth="1"/>
    <col min="13" max="21" width="6.33203125" customWidth="1"/>
  </cols>
  <sheetData>
    <row r="1" spans="1:31" x14ac:dyDescent="0.3">
      <c r="A1" s="32"/>
      <c r="B1" s="32"/>
    </row>
    <row r="2" spans="1:31" ht="15" thickBot="1" x14ac:dyDescent="0.35">
      <c r="A2" s="32"/>
      <c r="B2" s="32"/>
      <c r="M2" t="s">
        <v>429</v>
      </c>
    </row>
    <row r="3" spans="1:31" ht="16.2" thickBot="1" x14ac:dyDescent="0.35">
      <c r="A3" s="32"/>
      <c r="B3" s="1167" t="s">
        <v>430</v>
      </c>
      <c r="D3" s="4"/>
      <c r="E3" s="88" t="s">
        <v>431</v>
      </c>
      <c r="F3" s="48"/>
      <c r="G3" s="48"/>
      <c r="H3" s="50"/>
      <c r="M3" s="33">
        <v>8</v>
      </c>
      <c r="N3" s="1341">
        <v>7</v>
      </c>
      <c r="O3" s="1341">
        <v>6</v>
      </c>
      <c r="P3" s="1341">
        <v>5</v>
      </c>
      <c r="Q3" s="1341">
        <v>4</v>
      </c>
      <c r="R3" s="1341">
        <v>3</v>
      </c>
      <c r="S3" s="1341">
        <v>2</v>
      </c>
      <c r="T3" s="1342">
        <v>1</v>
      </c>
      <c r="U3" s="50"/>
    </row>
    <row r="4" spans="1:31" x14ac:dyDescent="0.3">
      <c r="A4" s="32"/>
      <c r="B4" s="534" t="s">
        <v>70</v>
      </c>
      <c r="D4" s="51"/>
      <c r="H4" s="53"/>
      <c r="M4" s="51"/>
      <c r="U4" s="53"/>
    </row>
    <row r="5" spans="1:31" x14ac:dyDescent="0.3">
      <c r="A5" s="32"/>
      <c r="B5" s="417">
        <f>'Event Details'!D32</f>
        <v>8</v>
      </c>
      <c r="D5" s="51">
        <v>1</v>
      </c>
      <c r="E5" s="32" t="str">
        <f>'Event Details'!D22</f>
        <v>S</v>
      </c>
      <c r="F5" t="str">
        <f>'Event Details'!E22</f>
        <v>BRAT</v>
      </c>
      <c r="G5" t="str">
        <f>'Event Details'!H22</f>
        <v>BRAT</v>
      </c>
      <c r="H5" s="53" t="str">
        <f>E5&amp;" - "&amp;G5</f>
        <v>S - BRAT</v>
      </c>
      <c r="L5" t="str">
        <f>H5</f>
        <v>S - BRAT</v>
      </c>
      <c r="M5" s="16">
        <f t="shared" ref="M5:T12" si="0">COUNTIF(M$21:M$182,$D5)</f>
        <v>7</v>
      </c>
      <c r="N5" s="32">
        <f t="shared" si="0"/>
        <v>5</v>
      </c>
      <c r="O5" s="32">
        <f t="shared" si="0"/>
        <v>6</v>
      </c>
      <c r="P5" s="32">
        <f t="shared" si="0"/>
        <v>8</v>
      </c>
      <c r="Q5" s="32">
        <f t="shared" si="0"/>
        <v>6</v>
      </c>
      <c r="R5" s="32">
        <f t="shared" si="0"/>
        <v>7</v>
      </c>
      <c r="S5" s="32">
        <f t="shared" si="0"/>
        <v>5</v>
      </c>
      <c r="T5" s="32">
        <f t="shared" si="0"/>
        <v>5</v>
      </c>
      <c r="U5" s="1168">
        <f t="shared" ref="U5:U12" si="1">SUM(M5:T5)</f>
        <v>49</v>
      </c>
    </row>
    <row r="6" spans="1:31" ht="15" thickBot="1" x14ac:dyDescent="0.35">
      <c r="A6" s="32"/>
      <c r="B6" s="418"/>
      <c r="D6" s="51">
        <v>2</v>
      </c>
      <c r="E6" s="32" t="str">
        <f>'Event Details'!D23</f>
        <v>U</v>
      </c>
      <c r="F6" t="str">
        <f>'Event Details'!E23</f>
        <v>Kidder &amp; Stourport</v>
      </c>
      <c r="G6" t="str">
        <f>'Event Details'!H23</f>
        <v>K&amp;S</v>
      </c>
      <c r="H6" s="53" t="str">
        <f t="shared" ref="H6:H12" si="2">E6&amp;" - "&amp;G6</f>
        <v>U - K&amp;S</v>
      </c>
      <c r="L6" t="str">
        <f t="shared" ref="L6:L12" si="3">H6</f>
        <v>U - K&amp;S</v>
      </c>
      <c r="M6" s="16">
        <f t="shared" si="0"/>
        <v>7</v>
      </c>
      <c r="N6" s="32">
        <f t="shared" si="0"/>
        <v>6</v>
      </c>
      <c r="O6" s="32">
        <f t="shared" si="0"/>
        <v>8</v>
      </c>
      <c r="P6" s="32">
        <f t="shared" si="0"/>
        <v>6</v>
      </c>
      <c r="Q6" s="32">
        <f t="shared" si="0"/>
        <v>5</v>
      </c>
      <c r="R6" s="32">
        <f t="shared" si="0"/>
        <v>3</v>
      </c>
      <c r="S6" s="32">
        <f t="shared" si="0"/>
        <v>7</v>
      </c>
      <c r="T6" s="32">
        <f t="shared" si="0"/>
        <v>7</v>
      </c>
      <c r="U6" s="1168">
        <f t="shared" si="1"/>
        <v>49</v>
      </c>
    </row>
    <row r="7" spans="1:31" x14ac:dyDescent="0.3">
      <c r="A7" s="32"/>
      <c r="B7" s="32"/>
      <c r="D7" s="51">
        <v>3</v>
      </c>
      <c r="E7" s="32" t="str">
        <f>'Event Details'!D24</f>
        <v>G</v>
      </c>
      <c r="F7" t="str">
        <f>'Event Details'!E24</f>
        <v>Royal Sutton</v>
      </c>
      <c r="G7" t="str">
        <f>'Event Details'!H24</f>
        <v>Royal</v>
      </c>
      <c r="H7" s="53" t="str">
        <f t="shared" si="2"/>
        <v>G - Royal</v>
      </c>
      <c r="L7" t="str">
        <f t="shared" si="3"/>
        <v>G - Royal</v>
      </c>
      <c r="M7" s="16">
        <f t="shared" si="0"/>
        <v>5</v>
      </c>
      <c r="N7" s="32">
        <f t="shared" si="0"/>
        <v>8</v>
      </c>
      <c r="O7" s="32">
        <f t="shared" si="0"/>
        <v>5</v>
      </c>
      <c r="P7" s="32">
        <f t="shared" si="0"/>
        <v>6</v>
      </c>
      <c r="Q7" s="32">
        <f t="shared" si="0"/>
        <v>5</v>
      </c>
      <c r="R7" s="32">
        <f t="shared" si="0"/>
        <v>7</v>
      </c>
      <c r="S7" s="32">
        <f t="shared" si="0"/>
        <v>5</v>
      </c>
      <c r="T7" s="32">
        <f t="shared" si="0"/>
        <v>8</v>
      </c>
      <c r="U7" s="1168">
        <f t="shared" si="1"/>
        <v>49</v>
      </c>
    </row>
    <row r="8" spans="1:31" x14ac:dyDescent="0.3">
      <c r="A8" s="32"/>
      <c r="B8" s="32"/>
      <c r="D8" s="51">
        <v>4</v>
      </c>
      <c r="E8" s="32" t="str">
        <f>'Event Details'!D25</f>
        <v>R</v>
      </c>
      <c r="F8" t="str">
        <f>'Event Details'!E25</f>
        <v>Rugby &amp; N'hampton</v>
      </c>
      <c r="G8" t="str">
        <f>'Event Details'!H25</f>
        <v>Rugby</v>
      </c>
      <c r="H8" s="53" t="str">
        <f t="shared" si="2"/>
        <v>R - Rugby</v>
      </c>
      <c r="L8" t="str">
        <f t="shared" si="3"/>
        <v>R - Rugby</v>
      </c>
      <c r="M8" s="16">
        <f t="shared" si="0"/>
        <v>5</v>
      </c>
      <c r="N8" s="32">
        <f t="shared" si="0"/>
        <v>5</v>
      </c>
      <c r="O8" s="32">
        <f t="shared" si="0"/>
        <v>8</v>
      </c>
      <c r="P8" s="32">
        <f t="shared" si="0"/>
        <v>7</v>
      </c>
      <c r="Q8" s="32">
        <f t="shared" si="0"/>
        <v>6</v>
      </c>
      <c r="R8" s="32">
        <f t="shared" si="0"/>
        <v>7</v>
      </c>
      <c r="S8" s="32">
        <f t="shared" si="0"/>
        <v>8</v>
      </c>
      <c r="T8" s="32">
        <f t="shared" si="0"/>
        <v>3</v>
      </c>
      <c r="U8" s="1168">
        <f t="shared" si="1"/>
        <v>49</v>
      </c>
    </row>
    <row r="9" spans="1:31" x14ac:dyDescent="0.3">
      <c r="A9" s="32"/>
      <c r="B9" s="32"/>
      <c r="D9" s="51">
        <v>5</v>
      </c>
      <c r="E9" s="32" t="str">
        <f>'Event Details'!D26</f>
        <v>M</v>
      </c>
      <c r="F9" t="str">
        <f>'Event Details'!E26</f>
        <v>Solihull &amp; S.Heath</v>
      </c>
      <c r="G9" t="str">
        <f>'Event Details'!H26</f>
        <v>Sol</v>
      </c>
      <c r="H9" s="53" t="str">
        <f t="shared" si="2"/>
        <v>M - Sol</v>
      </c>
      <c r="L9" t="str">
        <f t="shared" si="3"/>
        <v>M - Sol</v>
      </c>
      <c r="M9" s="16">
        <f t="shared" si="0"/>
        <v>7</v>
      </c>
      <c r="N9" s="32">
        <f t="shared" si="0"/>
        <v>7</v>
      </c>
      <c r="O9" s="32">
        <f t="shared" si="0"/>
        <v>5</v>
      </c>
      <c r="P9" s="32">
        <f t="shared" si="0"/>
        <v>5</v>
      </c>
      <c r="Q9" s="32">
        <f t="shared" si="0"/>
        <v>6</v>
      </c>
      <c r="R9" s="32">
        <f t="shared" si="0"/>
        <v>7</v>
      </c>
      <c r="S9" s="32">
        <f t="shared" si="0"/>
        <v>5</v>
      </c>
      <c r="T9" s="32">
        <f t="shared" si="0"/>
        <v>7</v>
      </c>
      <c r="U9" s="1168">
        <f t="shared" si="1"/>
        <v>49</v>
      </c>
    </row>
    <row r="10" spans="1:31" x14ac:dyDescent="0.3">
      <c r="A10" s="32"/>
      <c r="B10" s="32"/>
      <c r="D10" s="51">
        <v>6</v>
      </c>
      <c r="E10" s="32" t="str">
        <f>'Event Details'!D27</f>
        <v>D</v>
      </c>
      <c r="F10" t="str">
        <f>'Event Details'!E27</f>
        <v>Stratford</v>
      </c>
      <c r="G10" t="str">
        <f>'Event Details'!H27</f>
        <v>Strat</v>
      </c>
      <c r="H10" s="53" t="str">
        <f t="shared" si="2"/>
        <v>D - Strat</v>
      </c>
      <c r="L10" t="str">
        <f t="shared" si="3"/>
        <v>D - Strat</v>
      </c>
      <c r="M10" s="16">
        <f t="shared" si="0"/>
        <v>5</v>
      </c>
      <c r="N10" s="32">
        <f t="shared" si="0"/>
        <v>6</v>
      </c>
      <c r="O10" s="32">
        <f t="shared" si="0"/>
        <v>6</v>
      </c>
      <c r="P10" s="32">
        <f t="shared" si="0"/>
        <v>7</v>
      </c>
      <c r="Q10" s="32">
        <f t="shared" si="0"/>
        <v>7</v>
      </c>
      <c r="R10" s="32">
        <f t="shared" si="0"/>
        <v>5</v>
      </c>
      <c r="S10" s="32">
        <f t="shared" si="0"/>
        <v>6</v>
      </c>
      <c r="T10" s="32">
        <f t="shared" si="0"/>
        <v>7</v>
      </c>
      <c r="U10" s="1168">
        <f t="shared" si="1"/>
        <v>49</v>
      </c>
    </row>
    <row r="11" spans="1:31" x14ac:dyDescent="0.3">
      <c r="A11" s="32"/>
      <c r="B11" s="32"/>
      <c r="D11" s="51">
        <v>7</v>
      </c>
      <c r="E11" s="32" t="str">
        <f>'Event Details'!D28</f>
        <v>F</v>
      </c>
      <c r="F11" t="str">
        <f>'Event Details'!E28</f>
        <v>Tamworth</v>
      </c>
      <c r="G11" t="str">
        <f>'Event Details'!H28</f>
        <v>Tam</v>
      </c>
      <c r="H11" s="53" t="str">
        <f t="shared" si="2"/>
        <v>F - Tam</v>
      </c>
      <c r="L11" t="str">
        <f t="shared" si="3"/>
        <v>F - Tam</v>
      </c>
      <c r="M11" s="16">
        <f t="shared" si="0"/>
        <v>6</v>
      </c>
      <c r="N11" s="32">
        <f t="shared" si="0"/>
        <v>7</v>
      </c>
      <c r="O11" s="32">
        <f t="shared" si="0"/>
        <v>5</v>
      </c>
      <c r="P11" s="32">
        <f t="shared" si="0"/>
        <v>4</v>
      </c>
      <c r="Q11" s="32">
        <f t="shared" si="0"/>
        <v>8</v>
      </c>
      <c r="R11" s="32">
        <f t="shared" si="0"/>
        <v>6</v>
      </c>
      <c r="S11" s="32">
        <f t="shared" si="0"/>
        <v>6</v>
      </c>
      <c r="T11" s="32">
        <f t="shared" si="0"/>
        <v>7</v>
      </c>
      <c r="U11" s="1168">
        <f t="shared" si="1"/>
        <v>49</v>
      </c>
    </row>
    <row r="12" spans="1:31" ht="15" thickBot="1" x14ac:dyDescent="0.35">
      <c r="A12" s="32"/>
      <c r="B12" s="32"/>
      <c r="D12" s="114">
        <v>8</v>
      </c>
      <c r="E12" s="116" t="str">
        <f>'Event Details'!D29</f>
        <v>Y</v>
      </c>
      <c r="F12" s="115" t="str">
        <f>'Event Details'!E29</f>
        <v>Worcester</v>
      </c>
      <c r="G12" s="115" t="str">
        <f>'Event Details'!H29</f>
        <v>Worc</v>
      </c>
      <c r="H12" s="117" t="str">
        <f t="shared" si="2"/>
        <v>Y - Worc</v>
      </c>
      <c r="L12" t="str">
        <f t="shared" si="3"/>
        <v>Y - Worc</v>
      </c>
      <c r="M12" s="16">
        <f t="shared" si="0"/>
        <v>7</v>
      </c>
      <c r="N12" s="32">
        <f t="shared" si="0"/>
        <v>5</v>
      </c>
      <c r="O12" s="32">
        <f t="shared" si="0"/>
        <v>6</v>
      </c>
      <c r="P12" s="32">
        <f t="shared" si="0"/>
        <v>6</v>
      </c>
      <c r="Q12" s="32">
        <f t="shared" si="0"/>
        <v>6</v>
      </c>
      <c r="R12" s="32">
        <f t="shared" si="0"/>
        <v>7</v>
      </c>
      <c r="S12" s="32">
        <f t="shared" si="0"/>
        <v>7</v>
      </c>
      <c r="T12" s="32">
        <f t="shared" si="0"/>
        <v>5</v>
      </c>
      <c r="U12" s="1168">
        <f t="shared" si="1"/>
        <v>49</v>
      </c>
    </row>
    <row r="13" spans="1:31" ht="15" thickBot="1" x14ac:dyDescent="0.35">
      <c r="A13" s="32"/>
      <c r="B13" s="32"/>
      <c r="M13" s="25">
        <f>SUM(M5:M12)</f>
        <v>49</v>
      </c>
      <c r="N13" s="116">
        <f t="shared" ref="N13:T13" si="4">SUM(N5:N12)</f>
        <v>49</v>
      </c>
      <c r="O13" s="116">
        <f t="shared" si="4"/>
        <v>49</v>
      </c>
      <c r="P13" s="116">
        <f t="shared" si="4"/>
        <v>49</v>
      </c>
      <c r="Q13" s="116">
        <f t="shared" si="4"/>
        <v>49</v>
      </c>
      <c r="R13" s="116">
        <f t="shared" si="4"/>
        <v>49</v>
      </c>
      <c r="S13" s="116">
        <f t="shared" si="4"/>
        <v>49</v>
      </c>
      <c r="T13" s="116">
        <f t="shared" si="4"/>
        <v>49</v>
      </c>
      <c r="U13" s="117"/>
    </row>
    <row r="14" spans="1:31" ht="15" thickBot="1" x14ac:dyDescent="0.35">
      <c r="A14" s="1139" t="s">
        <v>432</v>
      </c>
      <c r="B14" s="1165"/>
      <c r="C14" s="895"/>
      <c r="D14" s="895"/>
      <c r="E14" s="1169">
        <v>3</v>
      </c>
      <c r="F14" s="1169">
        <v>5</v>
      </c>
      <c r="G14" s="1169">
        <v>4</v>
      </c>
      <c r="H14" s="1169">
        <v>2</v>
      </c>
      <c r="I14" s="1169">
        <v>1</v>
      </c>
      <c r="J14" s="1169">
        <v>6</v>
      </c>
      <c r="K14" s="1169">
        <v>7</v>
      </c>
      <c r="L14" s="1170">
        <v>8</v>
      </c>
      <c r="AE14">
        <v>0</v>
      </c>
    </row>
    <row r="15" spans="1:31" x14ac:dyDescent="0.3">
      <c r="A15" s="32"/>
      <c r="B15" s="32"/>
    </row>
    <row r="16" spans="1:31" ht="16.2" thickBot="1" x14ac:dyDescent="0.35">
      <c r="A16" s="32"/>
      <c r="B16" s="32"/>
      <c r="D16" s="750" t="s">
        <v>67</v>
      </c>
      <c r="E16" s="750" t="str">
        <f>'Event Details'!E17</f>
        <v>Bruce williams Way</v>
      </c>
      <c r="H16" s="750" t="s">
        <v>66</v>
      </c>
      <c r="I16" s="750" t="str">
        <f>'Event Details'!C17</f>
        <v>17th May 2026</v>
      </c>
    </row>
    <row r="17" spans="1:32" ht="15" thickBot="1" x14ac:dyDescent="0.35">
      <c r="A17" s="32"/>
      <c r="B17" s="32"/>
      <c r="C17" s="55"/>
      <c r="G17" s="32"/>
      <c r="M17" s="56"/>
      <c r="N17" s="56"/>
      <c r="O17" s="56"/>
      <c r="P17" s="56"/>
      <c r="Q17" s="56"/>
      <c r="R17" s="56"/>
      <c r="S17" s="56"/>
      <c r="T17" s="56"/>
      <c r="W17" s="32">
        <v>1</v>
      </c>
      <c r="X17" s="4"/>
      <c r="Y17" s="1171" t="str">
        <f>E5</f>
        <v>S</v>
      </c>
      <c r="Z17" s="1343" t="str">
        <f>E6</f>
        <v>U</v>
      </c>
      <c r="AA17" s="1343" t="str">
        <f>E7</f>
        <v>G</v>
      </c>
      <c r="AB17" s="1343" t="str">
        <f>E8</f>
        <v>R</v>
      </c>
      <c r="AC17" s="1343" t="str">
        <f>E9</f>
        <v>M</v>
      </c>
      <c r="AD17" s="1343" t="str">
        <f>E10</f>
        <v>D</v>
      </c>
      <c r="AE17" s="1343" t="str">
        <f>IF(LEN(H11)=5,LEFT(H11,1),E11)</f>
        <v>F</v>
      </c>
      <c r="AF17" s="1172" t="str">
        <f>IF(LEN(H12)=5,LEFT(H12,1),E12)</f>
        <v>Y</v>
      </c>
    </row>
    <row r="18" spans="1:32" s="433" customFormat="1" ht="15" thickBot="1" x14ac:dyDescent="0.35">
      <c r="A18" s="1173"/>
      <c r="B18" s="1174"/>
      <c r="C18" s="1175"/>
      <c r="D18" s="1175"/>
      <c r="E18" s="1450" t="s">
        <v>433</v>
      </c>
      <c r="F18" s="1451"/>
      <c r="G18" s="1451"/>
      <c r="H18" s="1451"/>
      <c r="I18" s="1451"/>
      <c r="J18" s="1451"/>
      <c r="K18" s="1451"/>
      <c r="L18" s="1452"/>
      <c r="M18" s="1345"/>
      <c r="N18" s="1345"/>
      <c r="O18" s="1345"/>
      <c r="P18" s="1345"/>
      <c r="Q18" s="1345"/>
      <c r="R18" s="1345"/>
      <c r="S18" s="1345"/>
      <c r="T18" s="1346"/>
      <c r="W18" s="32">
        <v>2</v>
      </c>
      <c r="X18" s="455"/>
      <c r="Y18" s="1176" t="str">
        <f>F5</f>
        <v>BRAT</v>
      </c>
      <c r="Z18" s="1176" t="str">
        <f>F6</f>
        <v>Kidder &amp; Stourport</v>
      </c>
      <c r="AA18" s="1176" t="str">
        <f>F7</f>
        <v>Royal Sutton</v>
      </c>
      <c r="AB18" s="1176" t="str">
        <f>F8</f>
        <v>Rugby &amp; N'hampton</v>
      </c>
      <c r="AC18" s="1176" t="str">
        <f>F9</f>
        <v>Solihull &amp; S.Heath</v>
      </c>
      <c r="AD18" s="1176" t="str">
        <f>F10</f>
        <v>Stratford</v>
      </c>
      <c r="AE18" s="433" t="str">
        <f>F11</f>
        <v>Tamworth</v>
      </c>
      <c r="AF18" s="1177" t="str">
        <f>F12</f>
        <v>Worcester</v>
      </c>
    </row>
    <row r="19" spans="1:32" s="433" customFormat="1" ht="15" thickBot="1" x14ac:dyDescent="0.35">
      <c r="A19" s="1344" t="s">
        <v>165</v>
      </c>
      <c r="B19" s="1345" t="s">
        <v>168</v>
      </c>
      <c r="C19" s="1174" t="s">
        <v>165</v>
      </c>
      <c r="D19" s="1178" t="s">
        <v>169</v>
      </c>
      <c r="E19" s="1179">
        <v>8</v>
      </c>
      <c r="F19" s="1180">
        <v>7</v>
      </c>
      <c r="G19" s="1180">
        <v>6</v>
      </c>
      <c r="H19" s="1180">
        <v>5</v>
      </c>
      <c r="I19" s="1180">
        <v>4</v>
      </c>
      <c r="J19" s="1180">
        <v>3</v>
      </c>
      <c r="K19" s="1180">
        <v>2</v>
      </c>
      <c r="L19" s="1181">
        <v>1</v>
      </c>
      <c r="M19" s="1345">
        <v>8</v>
      </c>
      <c r="N19" s="1345">
        <v>7</v>
      </c>
      <c r="O19" s="1345">
        <v>6</v>
      </c>
      <c r="P19" s="1345">
        <v>5</v>
      </c>
      <c r="Q19" s="1345">
        <v>4</v>
      </c>
      <c r="R19" s="1345">
        <v>3</v>
      </c>
      <c r="S19" s="1345">
        <v>2</v>
      </c>
      <c r="T19" s="1346">
        <v>1</v>
      </c>
      <c r="U19" s="433" t="s">
        <v>434</v>
      </c>
      <c r="W19" s="32">
        <v>3</v>
      </c>
      <c r="X19" s="455" t="s">
        <v>435</v>
      </c>
      <c r="Y19" s="425">
        <v>7</v>
      </c>
      <c r="Z19" s="425">
        <v>12</v>
      </c>
      <c r="AA19" s="425">
        <v>17</v>
      </c>
      <c r="AB19" s="425">
        <v>22</v>
      </c>
      <c r="AC19" s="425">
        <v>27</v>
      </c>
      <c r="AD19" s="425">
        <v>32</v>
      </c>
      <c r="AE19" s="425">
        <v>37</v>
      </c>
      <c r="AF19" s="1039">
        <v>42</v>
      </c>
    </row>
    <row r="20" spans="1:32" s="433" customFormat="1" ht="15" thickBot="1" x14ac:dyDescent="0.35">
      <c r="A20" s="1182"/>
      <c r="B20" s="1182"/>
      <c r="C20" s="1183"/>
      <c r="D20" s="1183"/>
      <c r="E20" s="1182"/>
      <c r="F20" s="1182"/>
      <c r="G20" s="1182"/>
      <c r="H20" s="1182"/>
      <c r="I20" s="1182"/>
      <c r="J20" s="1182"/>
      <c r="K20" s="1182"/>
      <c r="L20" s="1182"/>
      <c r="M20" s="874"/>
      <c r="N20" s="874"/>
      <c r="O20" s="874"/>
      <c r="P20" s="874"/>
      <c r="Q20" s="874"/>
      <c r="R20" s="874"/>
      <c r="S20" s="874"/>
      <c r="T20" s="874"/>
      <c r="W20" s="32">
        <v>4</v>
      </c>
      <c r="X20" s="1056" t="s">
        <v>436</v>
      </c>
      <c r="Y20" s="116">
        <v>9</v>
      </c>
      <c r="Z20" s="116">
        <v>14</v>
      </c>
      <c r="AA20" s="116">
        <v>19</v>
      </c>
      <c r="AB20" s="116">
        <v>24</v>
      </c>
      <c r="AC20" s="116">
        <v>29</v>
      </c>
      <c r="AD20" s="116">
        <v>34</v>
      </c>
      <c r="AE20" s="1184">
        <v>39</v>
      </c>
      <c r="AF20" s="1041">
        <v>44</v>
      </c>
    </row>
    <row r="21" spans="1:32" ht="15" customHeight="1" x14ac:dyDescent="0.3">
      <c r="A21" s="1255">
        <v>2</v>
      </c>
      <c r="B21" s="1185">
        <f>IF($A21&gt;0,VLOOKUP($A21,EventsOrder,2,FALSE)," ")</f>
        <v>11</v>
      </c>
      <c r="C21" s="1186" t="str">
        <f>IF($A21&gt;0,VLOOKUP($A21,EventsOrder,6,FALSE)," ")</f>
        <v xml:space="preserve">1500m </v>
      </c>
      <c r="D21" s="1186" t="str">
        <f>IF($A21&gt;0,VLOOKUP($A21,EventsOrder,4,FALSE)," ")</f>
        <v>U14 Female</v>
      </c>
      <c r="E21" s="1187" t="str">
        <f>IF(M21=0,"",VLOOKUP(M21,LaneDraw,5,FALSE))</f>
        <v>G - Royal</v>
      </c>
      <c r="F21" s="1187" t="str">
        <f>IF(N21=0,"",VLOOKUP(N21,LaneDraw,5,FALSE))</f>
        <v>M - Sol</v>
      </c>
      <c r="G21" s="1187" t="str">
        <f t="shared" ref="G21:L21" si="5">IF(O21=0,"",VLOOKUP(O21,LaneDraw,5,FALSE))</f>
        <v>R - Rugby</v>
      </c>
      <c r="H21" s="1187" t="str">
        <f t="shared" si="5"/>
        <v>U - K&amp;S</v>
      </c>
      <c r="I21" s="1187" t="str">
        <f t="shared" si="5"/>
        <v>S - BRAT</v>
      </c>
      <c r="J21" s="1187" t="str">
        <f t="shared" si="5"/>
        <v>D - Strat</v>
      </c>
      <c r="K21" s="1187" t="str">
        <f t="shared" si="5"/>
        <v>F - Tam</v>
      </c>
      <c r="L21" s="1187" t="str">
        <f t="shared" si="5"/>
        <v>Y - Worc</v>
      </c>
      <c r="M21" s="1188">
        <f>$E$14</f>
        <v>3</v>
      </c>
      <c r="N21" s="1188">
        <f>$F$14</f>
        <v>5</v>
      </c>
      <c r="O21" s="1188">
        <f>$G$14</f>
        <v>4</v>
      </c>
      <c r="P21" s="1188">
        <f>$H$14</f>
        <v>2</v>
      </c>
      <c r="Q21" s="1188">
        <f>$I$14</f>
        <v>1</v>
      </c>
      <c r="R21" s="1188">
        <f>$J$14</f>
        <v>6</v>
      </c>
      <c r="S21" s="1188">
        <f>$K$14</f>
        <v>7</v>
      </c>
      <c r="T21" s="1188">
        <f>$L$14</f>
        <v>8</v>
      </c>
      <c r="U21" s="1188">
        <f t="shared" ref="U21:U184" si="6">SUM(M21:T21)</f>
        <v>36</v>
      </c>
      <c r="W21" s="32">
        <v>5</v>
      </c>
    </row>
    <row r="22" spans="1:32" ht="15" customHeight="1" x14ac:dyDescent="0.3">
      <c r="A22" s="1189"/>
      <c r="B22" s="1190" t="s">
        <v>149</v>
      </c>
      <c r="C22" s="1191" t="s">
        <v>167</v>
      </c>
      <c r="D22" s="1192">
        <f>COUNTIF(E22:L22,"*")</f>
        <v>8</v>
      </c>
      <c r="E22" s="1193" t="str">
        <f t="shared" ref="E22:L22" si="7">HLOOKUP(LEFT(E21,1),$Y$17:$AF$181,$W22,FALSE)</f>
        <v>Lucy Harradence</v>
      </c>
      <c r="F22" s="1193" t="str">
        <f t="shared" si="7"/>
        <v>Alex Healy</v>
      </c>
      <c r="G22" s="1193" t="str">
        <f t="shared" si="7"/>
        <v>Freya Carty</v>
      </c>
      <c r="H22" s="1193" t="str">
        <f t="shared" si="7"/>
        <v>Alicia Chorostowska</v>
      </c>
      <c r="I22" s="1193" t="str">
        <f t="shared" si="7"/>
        <v>Sophie McKinnon</v>
      </c>
      <c r="J22" s="1193" t="str">
        <f t="shared" si="7"/>
        <v>Maggie Silvers</v>
      </c>
      <c r="K22" s="1193" t="str">
        <f t="shared" si="7"/>
        <v>Lacey Eaton</v>
      </c>
      <c r="L22" s="1193" t="str">
        <f t="shared" si="7"/>
        <v>Elsie Thornton</v>
      </c>
      <c r="M22" s="1188"/>
      <c r="N22" s="1188"/>
      <c r="O22" s="1188"/>
      <c r="P22" s="1188"/>
      <c r="Q22" s="1188"/>
      <c r="R22" s="1188"/>
      <c r="S22" s="1188"/>
      <c r="T22" s="1188"/>
      <c r="U22" s="1188"/>
      <c r="W22" s="32">
        <v>6</v>
      </c>
      <c r="X22" s="1194" t="str">
        <f>MID(D21,5,1)</f>
        <v>F</v>
      </c>
      <c r="Y22" s="419" t="str">
        <f t="shared" ref="Y22:AF22" si="8">VLOOKUP($A21,IF($X22="F",TeamSheetFemale,TeamSheetMale),Y$19,FALSE)</f>
        <v>Sophie McKinnon</v>
      </c>
      <c r="Z22" s="419" t="str">
        <f t="shared" si="8"/>
        <v>Alicia Chorostowska</v>
      </c>
      <c r="AA22" s="419" t="str">
        <f t="shared" si="8"/>
        <v>Lucy Harradence</v>
      </c>
      <c r="AB22" s="419" t="str">
        <f t="shared" si="8"/>
        <v>Freya Carty</v>
      </c>
      <c r="AC22" s="419" t="str">
        <f t="shared" si="8"/>
        <v>Alex Healy</v>
      </c>
      <c r="AD22" s="419" t="str">
        <f t="shared" si="8"/>
        <v>Maggie Silvers</v>
      </c>
      <c r="AE22" s="419" t="str">
        <f t="shared" si="8"/>
        <v>Lacey Eaton</v>
      </c>
      <c r="AF22" s="419" t="str">
        <f t="shared" si="8"/>
        <v>Elsie Thornton</v>
      </c>
    </row>
    <row r="23" spans="1:32" ht="15" customHeight="1" thickBot="1" x14ac:dyDescent="0.35">
      <c r="A23" s="1189"/>
      <c r="B23" s="1195" t="s">
        <v>94</v>
      </c>
      <c r="C23" s="1196" t="s">
        <v>167</v>
      </c>
      <c r="D23" s="1197">
        <f>COUNTIF(E23:L23,"*")</f>
        <v>7</v>
      </c>
      <c r="E23" s="1198" t="str">
        <f t="shared" ref="E23:L23" si="9">HLOOKUP(LEFT(E21,1),$Y$17:$AF$181,$W23,FALSE)</f>
        <v>Emilia Dudley</v>
      </c>
      <c r="F23" s="1198">
        <f t="shared" si="9"/>
        <v>0</v>
      </c>
      <c r="G23" s="1198" t="str">
        <f t="shared" si="9"/>
        <v>Mollie Diplock</v>
      </c>
      <c r="H23" s="1198" t="str">
        <f t="shared" si="9"/>
        <v>Isabelle McCann</v>
      </c>
      <c r="I23" s="1198" t="str">
        <f t="shared" si="9"/>
        <v xml:space="preserve">
Maliyka lewis</v>
      </c>
      <c r="J23" s="1198" t="str">
        <f t="shared" si="9"/>
        <v>Poppy West</v>
      </c>
      <c r="K23" s="1198" t="str">
        <f t="shared" si="9"/>
        <v>Marlei Bignot</v>
      </c>
      <c r="L23" s="1198" t="str">
        <f t="shared" si="9"/>
        <v>Rosie Groves</v>
      </c>
      <c r="M23" s="1188"/>
      <c r="N23" s="1188"/>
      <c r="O23" s="1188"/>
      <c r="P23" s="1188"/>
      <c r="Q23" s="1188"/>
      <c r="R23" s="1188"/>
      <c r="S23" s="1188"/>
      <c r="T23" s="1188"/>
      <c r="U23" s="1188"/>
      <c r="W23" s="32">
        <v>7</v>
      </c>
      <c r="Y23" s="419" t="str">
        <f t="shared" ref="Y23:AF23" si="10">VLOOKUP($A21,IF($X22="F",TeamSheetFemale,TeamSheetMale),Y$20,FALSE)</f>
        <v xml:space="preserve">
Maliyka lewis</v>
      </c>
      <c r="Z23" s="419" t="str">
        <f t="shared" si="10"/>
        <v>Isabelle McCann</v>
      </c>
      <c r="AA23" s="419" t="str">
        <f t="shared" si="10"/>
        <v>Emilia Dudley</v>
      </c>
      <c r="AB23" s="419" t="str">
        <f t="shared" si="10"/>
        <v>Mollie Diplock</v>
      </c>
      <c r="AC23" s="419">
        <f t="shared" si="10"/>
        <v>0</v>
      </c>
      <c r="AD23" s="419" t="str">
        <f t="shared" si="10"/>
        <v>Poppy West</v>
      </c>
      <c r="AE23" s="419" t="str">
        <f t="shared" si="10"/>
        <v>Marlei Bignot</v>
      </c>
      <c r="AF23" s="419" t="str">
        <f t="shared" si="10"/>
        <v>Rosie Groves</v>
      </c>
    </row>
    <row r="24" spans="1:32" ht="15" customHeight="1" x14ac:dyDescent="0.3">
      <c r="A24" s="1255">
        <v>3</v>
      </c>
      <c r="B24" s="1185">
        <f>IF($A24&gt;0,VLOOKUP($A24,EventsOrder,2,FALSE)," ")</f>
        <v>11.1</v>
      </c>
      <c r="C24" s="1186" t="str">
        <f>IF($A24&gt;0,VLOOKUP($A24,EventsOrder,6,FALSE)," ")</f>
        <v xml:space="preserve">1500m </v>
      </c>
      <c r="D24" s="1186" t="str">
        <f>IF($A24&gt;0,VLOOKUP($A24,EventsOrder,4,FALSE)," ")</f>
        <v>U16 Female</v>
      </c>
      <c r="E24" s="1187" t="str">
        <f t="shared" ref="E24:E182" si="11">IF(M24=0,"",VLOOKUP(M24,LaneDraw,5,FALSE))</f>
        <v>U - K&amp;S</v>
      </c>
      <c r="F24" s="1187" t="str">
        <f t="shared" ref="F24:F182" si="12">IF(N24=0,"",VLOOKUP(N24,LaneDraw,5,FALSE))</f>
        <v>S - BRAT</v>
      </c>
      <c r="G24" s="1187" t="str">
        <f t="shared" ref="G24:G182" si="13">IF(O24=0,"",VLOOKUP(O24,LaneDraw,5,FALSE))</f>
        <v>F - Tam</v>
      </c>
      <c r="H24" s="1187" t="str">
        <f t="shared" ref="H24:H182" si="14">IF(P24=0,"",VLOOKUP(P24,LaneDraw,5,FALSE))</f>
        <v>Y - Worc</v>
      </c>
      <c r="I24" s="1187" t="str">
        <f t="shared" ref="I24:I182" si="15">IF(Q24=0,"",VLOOKUP(Q24,LaneDraw,5,FALSE))</f>
        <v>R - Rugby</v>
      </c>
      <c r="J24" s="1187" t="str">
        <f t="shared" ref="J24:J182" si="16">IF(R24=0,"",VLOOKUP(R24,LaneDraw,5,FALSE))</f>
        <v>G - Royal</v>
      </c>
      <c r="K24" s="1187" t="str">
        <f t="shared" ref="K24:K182" si="17">IF(S24=0,"",VLOOKUP(S24,LaneDraw,5,FALSE))</f>
        <v>D - Strat</v>
      </c>
      <c r="L24" s="1187" t="str">
        <f t="shared" ref="L24:L182" si="18">IF(T24=0,"",VLOOKUP(T24,LaneDraw,5,FALSE))</f>
        <v>M - Sol</v>
      </c>
      <c r="M24" s="1188">
        <f>$H$14</f>
        <v>2</v>
      </c>
      <c r="N24" s="1188">
        <v>1</v>
      </c>
      <c r="O24" s="1188">
        <f>$K$14</f>
        <v>7</v>
      </c>
      <c r="P24" s="1188">
        <f>$L$14</f>
        <v>8</v>
      </c>
      <c r="Q24" s="1188">
        <f>$G$14</f>
        <v>4</v>
      </c>
      <c r="R24" s="1188">
        <f>$E$14</f>
        <v>3</v>
      </c>
      <c r="S24" s="1188">
        <v>6</v>
      </c>
      <c r="T24" s="1188">
        <f>$F$14</f>
        <v>5</v>
      </c>
      <c r="U24" s="1188">
        <f t="shared" si="6"/>
        <v>36</v>
      </c>
      <c r="W24" s="32">
        <v>8</v>
      </c>
    </row>
    <row r="25" spans="1:32" ht="15" customHeight="1" x14ac:dyDescent="0.3">
      <c r="A25" s="1189"/>
      <c r="B25" s="1190" t="s">
        <v>149</v>
      </c>
      <c r="C25" s="1191" t="s">
        <v>167</v>
      </c>
      <c r="D25" s="1192">
        <f>COUNTIF(E25:L25,"*")</f>
        <v>6</v>
      </c>
      <c r="E25" s="1193" t="str">
        <f t="shared" ref="E25:L25" si="19">HLOOKUP(LEFT(E24,1),$Y$17:$AF$181,$W25,FALSE)</f>
        <v>Nicole Bevan</v>
      </c>
      <c r="F25" s="1193" t="str">
        <f t="shared" si="19"/>
        <v>Orla Woodman</v>
      </c>
      <c r="G25" s="1193" t="str">
        <f t="shared" si="19"/>
        <v>Freya Armitage</v>
      </c>
      <c r="H25" s="1193">
        <f t="shared" si="19"/>
        <v>0</v>
      </c>
      <c r="I25" s="1193" t="str">
        <f t="shared" si="19"/>
        <v>Amelia Lee</v>
      </c>
      <c r="J25" s="1193">
        <f t="shared" si="19"/>
        <v>0</v>
      </c>
      <c r="K25" s="1193" t="str">
        <f t="shared" si="19"/>
        <v xml:space="preserve">Rachel Sparrow </v>
      </c>
      <c r="L25" s="1193" t="str">
        <f t="shared" si="19"/>
        <v>Ella Howe</v>
      </c>
      <c r="M25" s="1188"/>
      <c r="N25" s="1188"/>
      <c r="O25" s="1188"/>
      <c r="P25" s="1188"/>
      <c r="Q25" s="1188"/>
      <c r="R25" s="1188"/>
      <c r="S25" s="1188"/>
      <c r="T25" s="1188"/>
      <c r="U25" s="1188"/>
      <c r="W25" s="32">
        <v>9</v>
      </c>
      <c r="X25" t="str">
        <f>MID(D24,5,1)</f>
        <v>F</v>
      </c>
      <c r="Y25" t="str">
        <f t="shared" ref="Y25:AF25" si="20">VLOOKUP($A24,IF($X25="F",TeamSheetFemale,TeamSheetMale),Y$19,FALSE)</f>
        <v>Orla Woodman</v>
      </c>
      <c r="Z25" t="str">
        <f t="shared" si="20"/>
        <v>Nicole Bevan</v>
      </c>
      <c r="AA25">
        <f t="shared" si="20"/>
        <v>0</v>
      </c>
      <c r="AB25" t="str">
        <f t="shared" si="20"/>
        <v>Amelia Lee</v>
      </c>
      <c r="AC25" t="str">
        <f t="shared" si="20"/>
        <v>Ella Howe</v>
      </c>
      <c r="AD25" t="str">
        <f t="shared" si="20"/>
        <v xml:space="preserve">Rachel Sparrow </v>
      </c>
      <c r="AE25" t="str">
        <f t="shared" si="20"/>
        <v>Freya Armitage</v>
      </c>
      <c r="AF25">
        <f t="shared" si="20"/>
        <v>0</v>
      </c>
    </row>
    <row r="26" spans="1:32" ht="15" customHeight="1" thickBot="1" x14ac:dyDescent="0.35">
      <c r="A26" s="1189"/>
      <c r="B26" s="1195" t="s">
        <v>94</v>
      </c>
      <c r="C26" s="1196" t="s">
        <v>167</v>
      </c>
      <c r="D26" s="1197">
        <f>COUNTIF(E26:L26,"*")</f>
        <v>4</v>
      </c>
      <c r="E26" s="1198">
        <f t="shared" ref="E26:L26" si="21">HLOOKUP(LEFT(E24,1),$Y$17:$AF$181,$W26,FALSE)</f>
        <v>0</v>
      </c>
      <c r="F26" s="1198" t="str">
        <f t="shared" si="21"/>
        <v>Lacey-May larkin</v>
      </c>
      <c r="G26" s="1198">
        <f t="shared" si="21"/>
        <v>0</v>
      </c>
      <c r="H26" s="1198">
        <f t="shared" si="21"/>
        <v>0</v>
      </c>
      <c r="I26" s="1198" t="str">
        <f t="shared" si="21"/>
        <v>Eva Bond</v>
      </c>
      <c r="J26" s="1198">
        <f t="shared" si="21"/>
        <v>0</v>
      </c>
      <c r="K26" s="1198" t="str">
        <f t="shared" si="21"/>
        <v>Jasmine Mothershaw</v>
      </c>
      <c r="L26" s="1198" t="str">
        <f t="shared" si="21"/>
        <v>Olivia Hawke</v>
      </c>
      <c r="M26" s="1188"/>
      <c r="N26" s="1188"/>
      <c r="O26" s="1188"/>
      <c r="P26" s="1188"/>
      <c r="Q26" s="1188"/>
      <c r="R26" s="1188"/>
      <c r="S26" s="1188"/>
      <c r="T26" s="1188"/>
      <c r="U26" s="1188"/>
      <c r="W26" s="32">
        <v>10</v>
      </c>
      <c r="Y26" t="str">
        <f t="shared" ref="Y26:AF26" si="22">VLOOKUP($A24,IF($X25="F",TeamSheetFemale,TeamSheetMale),Y$20,FALSE)</f>
        <v>Lacey-May larkin</v>
      </c>
      <c r="Z26">
        <f t="shared" si="22"/>
        <v>0</v>
      </c>
      <c r="AA26">
        <f t="shared" si="22"/>
        <v>0</v>
      </c>
      <c r="AB26" t="str">
        <f t="shared" si="22"/>
        <v>Eva Bond</v>
      </c>
      <c r="AC26" t="str">
        <f t="shared" si="22"/>
        <v>Olivia Hawke</v>
      </c>
      <c r="AD26" t="str">
        <f t="shared" si="22"/>
        <v>Jasmine Mothershaw</v>
      </c>
      <c r="AE26">
        <f t="shared" si="22"/>
        <v>0</v>
      </c>
      <c r="AF26">
        <f t="shared" si="22"/>
        <v>0</v>
      </c>
    </row>
    <row r="27" spans="1:32" ht="15" customHeight="1" x14ac:dyDescent="0.3">
      <c r="A27" s="1255">
        <v>4</v>
      </c>
      <c r="B27" s="1185">
        <f>IF($A27&gt;0,VLOOKUP($A27,EventsOrder,2,FALSE)," ")</f>
        <v>11.2</v>
      </c>
      <c r="C27" s="1186" t="str">
        <f>IF($A27&gt;0,VLOOKUP($A27,EventsOrder,6,FALSE)," ")</f>
        <v xml:space="preserve">1500m (U18/U20) </v>
      </c>
      <c r="D27" s="1186" t="str">
        <f>IF($A27&gt;0,VLOOKUP($A27,EventsOrder,4,FALSE)," ")</f>
        <v>U18 Female</v>
      </c>
      <c r="E27" s="1187" t="str">
        <f t="shared" si="11"/>
        <v>R - Rugby</v>
      </c>
      <c r="F27" s="1187" t="str">
        <f t="shared" si="12"/>
        <v>Y - Worc</v>
      </c>
      <c r="G27" s="1187" t="str">
        <f t="shared" si="13"/>
        <v>G - Royal</v>
      </c>
      <c r="H27" s="1187" t="str">
        <f t="shared" si="14"/>
        <v>S - BRAT</v>
      </c>
      <c r="I27" s="1187" t="str">
        <f t="shared" si="15"/>
        <v>D - Strat</v>
      </c>
      <c r="J27" s="1187" t="str">
        <f t="shared" si="16"/>
        <v>F - Tam</v>
      </c>
      <c r="K27" s="1187" t="str">
        <f t="shared" si="17"/>
        <v>M - Sol</v>
      </c>
      <c r="L27" s="1187" t="str">
        <f t="shared" si="18"/>
        <v>U - K&amp;S</v>
      </c>
      <c r="M27" s="1188">
        <f>$G$14</f>
        <v>4</v>
      </c>
      <c r="N27" s="1188">
        <f>$L$14</f>
        <v>8</v>
      </c>
      <c r="O27" s="1188">
        <f>$E$14</f>
        <v>3</v>
      </c>
      <c r="P27" s="1188">
        <f>$I$14</f>
        <v>1</v>
      </c>
      <c r="Q27" s="1188">
        <v>6</v>
      </c>
      <c r="R27" s="1188">
        <f>$K$14</f>
        <v>7</v>
      </c>
      <c r="S27" s="1188">
        <f>$F$14</f>
        <v>5</v>
      </c>
      <c r="T27" s="1188">
        <v>2</v>
      </c>
      <c r="U27" s="1188">
        <f t="shared" si="6"/>
        <v>36</v>
      </c>
      <c r="W27" s="32">
        <v>11</v>
      </c>
    </row>
    <row r="28" spans="1:32" ht="15" customHeight="1" x14ac:dyDescent="0.3">
      <c r="A28" s="1189"/>
      <c r="B28" s="1190" t="s">
        <v>149</v>
      </c>
      <c r="C28" s="1191" t="s">
        <v>167</v>
      </c>
      <c r="D28" s="1192">
        <f>COUNTIF(E28:L28,"*")</f>
        <v>3</v>
      </c>
      <c r="E28" s="1193">
        <f t="shared" ref="E28:L28" si="23">HLOOKUP(LEFT(E27,1),$Y$17:$AF$181,$W28,FALSE)</f>
        <v>0</v>
      </c>
      <c r="F28" s="1193">
        <f t="shared" si="23"/>
        <v>0</v>
      </c>
      <c r="G28" s="1193" t="str">
        <f t="shared" si="23"/>
        <v>Katie Straw</v>
      </c>
      <c r="H28" s="1193" t="str">
        <f t="shared" si="23"/>
        <v>Alba Smith-Pena</v>
      </c>
      <c r="I28" s="1193" t="str">
        <f t="shared" si="23"/>
        <v>Marijke Tear-Verweij</v>
      </c>
      <c r="J28" s="1193">
        <f t="shared" si="23"/>
        <v>0</v>
      </c>
      <c r="K28" s="1193">
        <f t="shared" si="23"/>
        <v>0</v>
      </c>
      <c r="L28" s="1193">
        <f t="shared" si="23"/>
        <v>0</v>
      </c>
      <c r="M28" s="1188"/>
      <c r="N28" s="1188"/>
      <c r="O28" s="1188"/>
      <c r="P28" s="1188"/>
      <c r="Q28" s="1188"/>
      <c r="R28" s="1188"/>
      <c r="S28" s="1188"/>
      <c r="T28" s="1188"/>
      <c r="U28" s="1188"/>
      <c r="W28" s="32">
        <v>12</v>
      </c>
      <c r="X28" t="str">
        <f>MID(D27,5,1)</f>
        <v>F</v>
      </c>
      <c r="Y28" t="str">
        <f t="shared" ref="Y28:AF28" si="24">VLOOKUP($A27,IF($X28="F",TeamSheetFemale,TeamSheetMale),Y$19,FALSE)</f>
        <v>Alba Smith-Pena</v>
      </c>
      <c r="Z28">
        <f t="shared" si="24"/>
        <v>0</v>
      </c>
      <c r="AA28" t="str">
        <f t="shared" si="24"/>
        <v>Katie Straw</v>
      </c>
      <c r="AB28">
        <f t="shared" si="24"/>
        <v>0</v>
      </c>
      <c r="AC28">
        <f t="shared" si="24"/>
        <v>0</v>
      </c>
      <c r="AD28" t="str">
        <f t="shared" si="24"/>
        <v>Marijke Tear-Verweij</v>
      </c>
      <c r="AE28">
        <f t="shared" si="24"/>
        <v>0</v>
      </c>
      <c r="AF28">
        <f t="shared" si="24"/>
        <v>0</v>
      </c>
    </row>
    <row r="29" spans="1:32" ht="15" customHeight="1" thickBot="1" x14ac:dyDescent="0.35">
      <c r="A29" s="1189"/>
      <c r="B29" s="1195" t="s">
        <v>94</v>
      </c>
      <c r="C29" s="1196" t="s">
        <v>167</v>
      </c>
      <c r="D29" s="1197">
        <f>COUNTIF(E29:L29,"*")</f>
        <v>0</v>
      </c>
      <c r="E29" s="1198">
        <f t="shared" ref="E29:L29" si="25">HLOOKUP(LEFT(E27,1),$Y$17:$AF$181,$W29,FALSE)</f>
        <v>0</v>
      </c>
      <c r="F29" s="1198">
        <f t="shared" si="25"/>
        <v>0</v>
      </c>
      <c r="G29" s="1198">
        <f t="shared" si="25"/>
        <v>0</v>
      </c>
      <c r="H29" s="1198">
        <f t="shared" si="25"/>
        <v>0</v>
      </c>
      <c r="I29" s="1198">
        <f t="shared" si="25"/>
        <v>0</v>
      </c>
      <c r="J29" s="1198">
        <f t="shared" si="25"/>
        <v>0</v>
      </c>
      <c r="K29" s="1198">
        <f t="shared" si="25"/>
        <v>0</v>
      </c>
      <c r="L29" s="1198">
        <f t="shared" si="25"/>
        <v>0</v>
      </c>
      <c r="M29" s="1188"/>
      <c r="N29" s="1188"/>
      <c r="O29" s="1188"/>
      <c r="P29" s="1188"/>
      <c r="Q29" s="1188"/>
      <c r="R29" s="1188"/>
      <c r="S29" s="1188"/>
      <c r="T29" s="1188"/>
      <c r="U29" s="1188"/>
      <c r="W29" s="32">
        <v>13</v>
      </c>
      <c r="Y29">
        <f t="shared" ref="Y29:AF29" si="26">VLOOKUP($A27,IF($X28="F",TeamSheetFemale,TeamSheetMale),Y$20,FALSE)</f>
        <v>0</v>
      </c>
      <c r="Z29">
        <f t="shared" si="26"/>
        <v>0</v>
      </c>
      <c r="AA29">
        <f t="shared" si="26"/>
        <v>0</v>
      </c>
      <c r="AB29">
        <f t="shared" si="26"/>
        <v>0</v>
      </c>
      <c r="AC29">
        <f t="shared" si="26"/>
        <v>0</v>
      </c>
      <c r="AD29">
        <f t="shared" si="26"/>
        <v>0</v>
      </c>
      <c r="AE29">
        <f t="shared" si="26"/>
        <v>0</v>
      </c>
      <c r="AF29">
        <f t="shared" si="26"/>
        <v>0</v>
      </c>
    </row>
    <row r="30" spans="1:32" ht="15" customHeight="1" x14ac:dyDescent="0.3">
      <c r="A30" s="1255">
        <v>8</v>
      </c>
      <c r="B30" s="1185">
        <f>IF($A30&gt;0,VLOOKUP($A30,EventsOrder,2,FALSE)," ")</f>
        <v>11.3</v>
      </c>
      <c r="C30" s="1186" t="str">
        <f>IF($A30&gt;0,VLOOKUP($A30,EventsOrder,6,FALSE)," ")</f>
        <v xml:space="preserve">75m hurdles </v>
      </c>
      <c r="D30" s="1186" t="str">
        <f>IF($A30&gt;0,VLOOKUP($A30,EventsOrder,4,FALSE)," ")</f>
        <v>U14 Female</v>
      </c>
      <c r="E30" s="1187" t="str">
        <f t="shared" si="11"/>
        <v>D - Strat</v>
      </c>
      <c r="F30" s="1187" t="str">
        <f t="shared" si="12"/>
        <v>S - BRAT</v>
      </c>
      <c r="G30" s="1187" t="str">
        <f t="shared" si="13"/>
        <v>R - Rugby</v>
      </c>
      <c r="H30" s="1187" t="str">
        <f t="shared" si="14"/>
        <v>G - Royal</v>
      </c>
      <c r="I30" s="1187" t="str">
        <f t="shared" si="15"/>
        <v>U - K&amp;S</v>
      </c>
      <c r="J30" s="1187" t="str">
        <f t="shared" si="16"/>
        <v>Y - Worc</v>
      </c>
      <c r="K30" s="1187" t="str">
        <f t="shared" si="17"/>
        <v>F - Tam</v>
      </c>
      <c r="L30" s="1187" t="str">
        <f t="shared" si="18"/>
        <v>M - Sol</v>
      </c>
      <c r="M30" s="1188">
        <v>6</v>
      </c>
      <c r="N30" s="1188">
        <v>1</v>
      </c>
      <c r="O30" s="1188">
        <v>4</v>
      </c>
      <c r="P30" s="1188">
        <f>$E$14</f>
        <v>3</v>
      </c>
      <c r="Q30" s="1188">
        <v>2</v>
      </c>
      <c r="R30" s="1188">
        <f>$L$14</f>
        <v>8</v>
      </c>
      <c r="S30" s="1188">
        <f>$K$14</f>
        <v>7</v>
      </c>
      <c r="T30" s="1188">
        <f>$F$14</f>
        <v>5</v>
      </c>
      <c r="U30" s="1188">
        <f>SUM(M30:T30)</f>
        <v>36</v>
      </c>
      <c r="W30" s="32">
        <v>14</v>
      </c>
    </row>
    <row r="31" spans="1:32" ht="15" customHeight="1" x14ac:dyDescent="0.3">
      <c r="A31" s="1189"/>
      <c r="B31" s="1190" t="s">
        <v>149</v>
      </c>
      <c r="C31" s="1191" t="s">
        <v>167</v>
      </c>
      <c r="D31" s="1192">
        <f>COUNTIF(E31:L31,"*")</f>
        <v>8</v>
      </c>
      <c r="E31" s="1193" t="str">
        <f t="shared" ref="E31:L31" si="27">HLOOKUP(LEFT(E30,1),$Y$17:$AF$181,$W31,FALSE)</f>
        <v>Sara Clewer</v>
      </c>
      <c r="F31" s="1193" t="str">
        <f t="shared" si="27"/>
        <v>Darcy mcdaid</v>
      </c>
      <c r="G31" s="1193" t="str">
        <f t="shared" si="27"/>
        <v>Taya Young</v>
      </c>
      <c r="H31" s="1193" t="str">
        <f t="shared" si="27"/>
        <v>Mabel Edgerton</v>
      </c>
      <c r="I31" s="1193" t="str">
        <f t="shared" si="27"/>
        <v>Matilda Kiernan</v>
      </c>
      <c r="J31" s="1193" t="str">
        <f t="shared" si="27"/>
        <v>Isla Porter</v>
      </c>
      <c r="K31" s="1193" t="str">
        <f t="shared" si="27"/>
        <v>Alice Smith</v>
      </c>
      <c r="L31" s="1193" t="str">
        <f t="shared" si="27"/>
        <v>Betsy Gilmore</v>
      </c>
      <c r="M31" s="1188"/>
      <c r="N31" s="1188"/>
      <c r="O31" s="1188"/>
      <c r="P31" s="1188"/>
      <c r="Q31" s="1188"/>
      <c r="R31" s="1188"/>
      <c r="S31" s="1188"/>
      <c r="T31" s="1188"/>
      <c r="U31" s="1188"/>
      <c r="W31" s="32">
        <v>15</v>
      </c>
      <c r="X31" t="str">
        <f>MID(D30,5,1)</f>
        <v>F</v>
      </c>
      <c r="Y31" t="str">
        <f t="shared" ref="Y31:AF31" si="28">VLOOKUP($A30,IF($X31="F",TeamSheetFemale,TeamSheetMale),Y$19,FALSE)</f>
        <v>Darcy mcdaid</v>
      </c>
      <c r="Z31" t="str">
        <f t="shared" si="28"/>
        <v>Matilda Kiernan</v>
      </c>
      <c r="AA31" t="str">
        <f t="shared" si="28"/>
        <v>Mabel Edgerton</v>
      </c>
      <c r="AB31" t="str">
        <f t="shared" si="28"/>
        <v>Taya Young</v>
      </c>
      <c r="AC31" t="str">
        <f t="shared" si="28"/>
        <v>Betsy Gilmore</v>
      </c>
      <c r="AD31" t="str">
        <f t="shared" si="28"/>
        <v>Sara Clewer</v>
      </c>
      <c r="AE31" t="str">
        <f t="shared" si="28"/>
        <v>Alice Smith</v>
      </c>
      <c r="AF31" t="str">
        <f t="shared" si="28"/>
        <v>Isla Porter</v>
      </c>
    </row>
    <row r="32" spans="1:32" ht="15" customHeight="1" thickBot="1" x14ac:dyDescent="0.35">
      <c r="A32" s="1189"/>
      <c r="B32" s="1195" t="s">
        <v>94</v>
      </c>
      <c r="C32" s="1196" t="s">
        <v>167</v>
      </c>
      <c r="D32" s="1197">
        <f>COUNTIF(E32:L32,"*")</f>
        <v>6</v>
      </c>
      <c r="E32" s="1198" t="str">
        <f t="shared" ref="E32:L32" si="29">HLOOKUP(LEFT(E30,1),$Y$17:$AF$181,$W32,FALSE)</f>
        <v>Lara Ryan-Gill</v>
      </c>
      <c r="F32" s="1198" t="str">
        <f t="shared" si="29"/>
        <v>Agnes thomson</v>
      </c>
      <c r="G32" s="1198" t="str">
        <f t="shared" si="29"/>
        <v>Betsy Houltby</v>
      </c>
      <c r="H32" s="1198">
        <f t="shared" si="29"/>
        <v>0</v>
      </c>
      <c r="I32" s="1198" t="str">
        <f t="shared" si="29"/>
        <v>Isabelle McCann</v>
      </c>
      <c r="J32" s="1198" t="str">
        <f t="shared" si="29"/>
        <v>Esme Dyer</v>
      </c>
      <c r="K32" s="1198" t="str">
        <f t="shared" si="29"/>
        <v>Jessica Husselbee</v>
      </c>
      <c r="L32" s="1198">
        <f t="shared" si="29"/>
        <v>0</v>
      </c>
      <c r="M32" s="1188"/>
      <c r="N32" s="1188"/>
      <c r="O32" s="1188"/>
      <c r="P32" s="1188"/>
      <c r="Q32" s="1188"/>
      <c r="R32" s="1188"/>
      <c r="S32" s="1188"/>
      <c r="T32" s="1188"/>
      <c r="U32" s="1188"/>
      <c r="W32" s="32">
        <v>16</v>
      </c>
      <c r="Y32" t="str">
        <f t="shared" ref="Y32:AF32" si="30">VLOOKUP($A30,IF($X31="F",TeamSheetFemale,TeamSheetMale),Y$20,FALSE)</f>
        <v>Agnes thomson</v>
      </c>
      <c r="Z32" t="str">
        <f t="shared" si="30"/>
        <v>Isabelle McCann</v>
      </c>
      <c r="AA32">
        <f t="shared" si="30"/>
        <v>0</v>
      </c>
      <c r="AB32" t="str">
        <f t="shared" si="30"/>
        <v>Betsy Houltby</v>
      </c>
      <c r="AC32">
        <f t="shared" si="30"/>
        <v>0</v>
      </c>
      <c r="AD32" t="str">
        <f t="shared" si="30"/>
        <v>Lara Ryan-Gill</v>
      </c>
      <c r="AE32" t="str">
        <f t="shared" si="30"/>
        <v>Jessica Husselbee</v>
      </c>
      <c r="AF32" t="str">
        <f t="shared" si="30"/>
        <v>Esme Dyer</v>
      </c>
    </row>
    <row r="33" spans="1:32" ht="15" customHeight="1" x14ac:dyDescent="0.3">
      <c r="A33" s="1255">
        <v>9</v>
      </c>
      <c r="B33" s="1185">
        <f>IF($A33&gt;0,VLOOKUP($A33,EventsOrder,2,FALSE)," ")</f>
        <v>11.4</v>
      </c>
      <c r="C33" s="1186" t="str">
        <f>IF($A33&gt;0,VLOOKUP($A33,EventsOrder,6,FALSE)," ")</f>
        <v xml:space="preserve">800m </v>
      </c>
      <c r="D33" s="1186" t="str">
        <f>IF($A33&gt;0,VLOOKUP($A33,EventsOrder,4,FALSE)," ")</f>
        <v>U14 Male</v>
      </c>
      <c r="E33" s="1187" t="str">
        <f t="shared" si="11"/>
        <v>F - Tam</v>
      </c>
      <c r="F33" s="1187" t="str">
        <f t="shared" si="12"/>
        <v>G - Royal</v>
      </c>
      <c r="G33" s="1187" t="str">
        <f t="shared" si="13"/>
        <v>M - Sol</v>
      </c>
      <c r="H33" s="1187" t="str">
        <f t="shared" si="14"/>
        <v>R - Rugby</v>
      </c>
      <c r="I33" s="1187" t="str">
        <f t="shared" si="15"/>
        <v>Y - Worc</v>
      </c>
      <c r="J33" s="1187" t="str">
        <f t="shared" si="16"/>
        <v>S - BRAT</v>
      </c>
      <c r="K33" s="1187" t="str">
        <f t="shared" si="17"/>
        <v>D - Strat</v>
      </c>
      <c r="L33" s="1187" t="str">
        <f t="shared" si="18"/>
        <v>U - K&amp;S</v>
      </c>
      <c r="M33" s="1188">
        <f>$K$14</f>
        <v>7</v>
      </c>
      <c r="N33" s="1188">
        <f>$E$14</f>
        <v>3</v>
      </c>
      <c r="O33" s="1188">
        <f>$F$14</f>
        <v>5</v>
      </c>
      <c r="P33" s="1188">
        <f>$G$14</f>
        <v>4</v>
      </c>
      <c r="Q33" s="1188">
        <f>$L$14</f>
        <v>8</v>
      </c>
      <c r="R33" s="1188">
        <f>$I$14</f>
        <v>1</v>
      </c>
      <c r="S33" s="1188">
        <f>$J$14</f>
        <v>6</v>
      </c>
      <c r="T33" s="1188">
        <f>$H$14</f>
        <v>2</v>
      </c>
      <c r="U33" s="1188">
        <f t="shared" si="6"/>
        <v>36</v>
      </c>
      <c r="W33" s="32">
        <v>17</v>
      </c>
    </row>
    <row r="34" spans="1:32" ht="15" customHeight="1" x14ac:dyDescent="0.3">
      <c r="A34" s="1189"/>
      <c r="B34" s="1190" t="s">
        <v>149</v>
      </c>
      <c r="C34" s="1191" t="s">
        <v>167</v>
      </c>
      <c r="D34" s="1192">
        <f>COUNTIF(E34:L34,"*")</f>
        <v>8</v>
      </c>
      <c r="E34" s="1193" t="str">
        <f t="shared" ref="E34:L34" si="31">HLOOKUP(LEFT(E33,1),$Y$17:$AF$181,$W34,FALSE)</f>
        <v>Felix Hickman</v>
      </c>
      <c r="F34" s="1193" t="str">
        <f t="shared" si="31"/>
        <v>Sebastian Lees</v>
      </c>
      <c r="G34" s="1193" t="str">
        <f t="shared" si="31"/>
        <v>Joshua Baylis</v>
      </c>
      <c r="H34" s="1193" t="str">
        <f t="shared" si="31"/>
        <v>Lenny Harris</v>
      </c>
      <c r="I34" s="1193" t="str">
        <f t="shared" si="31"/>
        <v>Rayan Faci</v>
      </c>
      <c r="J34" s="1193" t="str">
        <f t="shared" si="31"/>
        <v>Sebastien Emerey</v>
      </c>
      <c r="K34" s="1193" t="str">
        <f t="shared" si="31"/>
        <v>Albert Moore</v>
      </c>
      <c r="L34" s="1193" t="str">
        <f t="shared" si="31"/>
        <v>Alexander Bird</v>
      </c>
      <c r="M34" s="1188"/>
      <c r="N34" s="1188"/>
      <c r="O34" s="1188"/>
      <c r="P34" s="1188"/>
      <c r="Q34" s="1188"/>
      <c r="R34" s="1188"/>
      <c r="S34" s="1188"/>
      <c r="T34" s="1188"/>
      <c r="U34" s="1188"/>
      <c r="W34" s="32">
        <v>18</v>
      </c>
      <c r="X34" t="str">
        <f>MID(D33,5,1)</f>
        <v>M</v>
      </c>
      <c r="Y34" t="str">
        <f t="shared" ref="Y34:AF34" si="32">VLOOKUP($A33,IF($X34="F",TeamSheetFemale,TeamSheetMale),Y$19,FALSE)</f>
        <v>Sebastien Emerey</v>
      </c>
      <c r="Z34" t="str">
        <f t="shared" si="32"/>
        <v>Alexander Bird</v>
      </c>
      <c r="AA34" t="str">
        <f t="shared" si="32"/>
        <v>Sebastian Lees</v>
      </c>
      <c r="AB34" t="str">
        <f t="shared" si="32"/>
        <v>Lenny Harris</v>
      </c>
      <c r="AC34" t="str">
        <f t="shared" si="32"/>
        <v>Joshua Baylis</v>
      </c>
      <c r="AD34" t="str">
        <f t="shared" si="32"/>
        <v>Albert Moore</v>
      </c>
      <c r="AE34" t="str">
        <f t="shared" si="32"/>
        <v>Felix Hickman</v>
      </c>
      <c r="AF34" t="str">
        <f t="shared" si="32"/>
        <v>Rayan Faci</v>
      </c>
    </row>
    <row r="35" spans="1:32" ht="15" customHeight="1" thickBot="1" x14ac:dyDescent="0.35">
      <c r="A35" s="1189"/>
      <c r="B35" s="1195" t="s">
        <v>94</v>
      </c>
      <c r="C35" s="1196" t="s">
        <v>167</v>
      </c>
      <c r="D35" s="1197">
        <f>COUNTIF(E35:L35,"*")</f>
        <v>5</v>
      </c>
      <c r="E35" s="1198">
        <f t="shared" ref="E35:L35" si="33">HLOOKUP(LEFT(E33,1),$Y$17:$AF$181,$W35,FALSE)</f>
        <v>0</v>
      </c>
      <c r="F35" s="1198" t="str">
        <f t="shared" si="33"/>
        <v>Micah Hakata</v>
      </c>
      <c r="G35" s="1198" t="str">
        <f t="shared" si="33"/>
        <v>Andre Albarel</v>
      </c>
      <c r="H35" s="1198" t="str">
        <f t="shared" si="33"/>
        <v>Rohan Tummala</v>
      </c>
      <c r="I35" s="1198">
        <f t="shared" si="33"/>
        <v>0</v>
      </c>
      <c r="J35" s="1198" t="str">
        <f t="shared" si="33"/>
        <v>Jacob Fung</v>
      </c>
      <c r="K35" s="1198" t="str">
        <f t="shared" si="33"/>
        <v xml:space="preserve">Henry Stacey Harper </v>
      </c>
      <c r="L35" s="1198">
        <f t="shared" si="33"/>
        <v>0</v>
      </c>
      <c r="M35" s="1188"/>
      <c r="N35" s="1188"/>
      <c r="O35" s="1188"/>
      <c r="P35" s="1188"/>
      <c r="Q35" s="1188"/>
      <c r="R35" s="1188"/>
      <c r="S35" s="1188"/>
      <c r="T35" s="1188"/>
      <c r="U35" s="1188"/>
      <c r="W35" s="32">
        <v>19</v>
      </c>
      <c r="Y35" t="str">
        <f t="shared" ref="Y35:AF35" si="34">VLOOKUP($A33,IF($X34="F",TeamSheetFemale,TeamSheetMale),Y$20,FALSE)</f>
        <v>Jacob Fung</v>
      </c>
      <c r="Z35">
        <f t="shared" si="34"/>
        <v>0</v>
      </c>
      <c r="AA35" t="str">
        <f t="shared" si="34"/>
        <v>Micah Hakata</v>
      </c>
      <c r="AB35" t="str">
        <f t="shared" si="34"/>
        <v>Rohan Tummala</v>
      </c>
      <c r="AC35" t="str">
        <f t="shared" si="34"/>
        <v>Andre Albarel</v>
      </c>
      <c r="AD35" t="str">
        <f t="shared" si="34"/>
        <v xml:space="preserve">Henry Stacey Harper </v>
      </c>
      <c r="AE35">
        <f t="shared" si="34"/>
        <v>0</v>
      </c>
      <c r="AF35">
        <f t="shared" si="34"/>
        <v>0</v>
      </c>
    </row>
    <row r="36" spans="1:32" ht="15" customHeight="1" x14ac:dyDescent="0.3">
      <c r="A36" s="1255">
        <v>10</v>
      </c>
      <c r="B36" s="1185">
        <f>IF($A36&gt;0,VLOOKUP($A36,EventsOrder,2,FALSE)," ")</f>
        <v>11.5</v>
      </c>
      <c r="C36" s="1186" t="str">
        <f>IF($A36&gt;0,VLOOKUP($A36,EventsOrder,6,FALSE)," ")</f>
        <v xml:space="preserve">80m hurdles </v>
      </c>
      <c r="D36" s="1186" t="str">
        <f>IF($A36&gt;0,VLOOKUP($A36,EventsOrder,4,FALSE)," ")</f>
        <v>U16 Female</v>
      </c>
      <c r="E36" s="1187" t="str">
        <f t="shared" si="11"/>
        <v>M - Sol</v>
      </c>
      <c r="F36" s="1187" t="str">
        <f t="shared" si="12"/>
        <v>F - Tam</v>
      </c>
      <c r="G36" s="1187" t="str">
        <f t="shared" si="13"/>
        <v>S - BRAT</v>
      </c>
      <c r="H36" s="1187" t="str">
        <f t="shared" si="14"/>
        <v>Y - Worc</v>
      </c>
      <c r="I36" s="1187" t="str">
        <f t="shared" si="15"/>
        <v>D - Strat</v>
      </c>
      <c r="J36" s="1187" t="str">
        <f t="shared" si="16"/>
        <v>G - Royal</v>
      </c>
      <c r="K36" s="1187" t="str">
        <f t="shared" si="17"/>
        <v>U - K&amp;S</v>
      </c>
      <c r="L36" s="1187" t="str">
        <f t="shared" si="18"/>
        <v>R - Rugby</v>
      </c>
      <c r="M36" s="1188">
        <f>$F$14</f>
        <v>5</v>
      </c>
      <c r="N36" s="1188">
        <f>$K$14</f>
        <v>7</v>
      </c>
      <c r="O36" s="1188">
        <f>$I$14</f>
        <v>1</v>
      </c>
      <c r="P36" s="1188">
        <f>$L$14</f>
        <v>8</v>
      </c>
      <c r="Q36" s="1188">
        <f>$J$14</f>
        <v>6</v>
      </c>
      <c r="R36" s="1188">
        <f>$E$14</f>
        <v>3</v>
      </c>
      <c r="S36" s="1188">
        <f>$H$14</f>
        <v>2</v>
      </c>
      <c r="T36" s="1188">
        <f>$G$14</f>
        <v>4</v>
      </c>
      <c r="U36" s="1188">
        <f t="shared" si="6"/>
        <v>36</v>
      </c>
      <c r="W36" s="32">
        <v>20</v>
      </c>
    </row>
    <row r="37" spans="1:32" ht="15" customHeight="1" x14ac:dyDescent="0.3">
      <c r="A37" s="1189"/>
      <c r="B37" s="1190" t="s">
        <v>149</v>
      </c>
      <c r="C37" s="1191" t="s">
        <v>167</v>
      </c>
      <c r="D37" s="1192">
        <f>COUNTIF(E37:L37,"*")</f>
        <v>8</v>
      </c>
      <c r="E37" s="1193" t="str">
        <f t="shared" ref="E37:L37" si="35">HLOOKUP(LEFT(E36,1),$Y$17:$AF$181,$W37,FALSE)</f>
        <v>Ava Thompson</v>
      </c>
      <c r="F37" s="1193" t="str">
        <f t="shared" si="35"/>
        <v>Matilda Husselbee</v>
      </c>
      <c r="G37" s="1193" t="str">
        <f t="shared" si="35"/>
        <v>Alisia Scarlett-Thomas</v>
      </c>
      <c r="H37" s="1193" t="str">
        <f t="shared" si="35"/>
        <v>Harriett Carey</v>
      </c>
      <c r="I37" s="1193" t="str">
        <f t="shared" si="35"/>
        <v>Isabella Marriot</v>
      </c>
      <c r="J37" s="1193" t="str">
        <f t="shared" si="35"/>
        <v>Aiza Ulhaq</v>
      </c>
      <c r="K37" s="1193" t="str">
        <f t="shared" si="35"/>
        <v>Sophia Llewellyn</v>
      </c>
      <c r="L37" s="1193" t="str">
        <f t="shared" si="35"/>
        <v>Emelia Butler</v>
      </c>
      <c r="M37" s="1188"/>
      <c r="N37" s="1188"/>
      <c r="O37" s="1188"/>
      <c r="P37" s="1188"/>
      <c r="Q37" s="1188"/>
      <c r="R37" s="1188"/>
      <c r="S37" s="1188"/>
      <c r="T37" s="1188"/>
      <c r="U37" s="1188"/>
      <c r="W37" s="32">
        <v>21</v>
      </c>
      <c r="X37" t="str">
        <f>MID(D36,5,1)</f>
        <v>F</v>
      </c>
      <c r="Y37" t="str">
        <f t="shared" ref="Y37:AF37" si="36">VLOOKUP($A36,IF($X37="F",TeamSheetFemale,TeamSheetMale),Y$19,FALSE)</f>
        <v>Alisia Scarlett-Thomas</v>
      </c>
      <c r="Z37" t="str">
        <f t="shared" si="36"/>
        <v>Sophia Llewellyn</v>
      </c>
      <c r="AA37" t="str">
        <f t="shared" si="36"/>
        <v>Aiza Ulhaq</v>
      </c>
      <c r="AB37" t="str">
        <f t="shared" si="36"/>
        <v>Emelia Butler</v>
      </c>
      <c r="AC37" t="str">
        <f t="shared" si="36"/>
        <v>Ava Thompson</v>
      </c>
      <c r="AD37" t="str">
        <f t="shared" si="36"/>
        <v>Isabella Marriot</v>
      </c>
      <c r="AE37" t="str">
        <f t="shared" si="36"/>
        <v>Matilda Husselbee</v>
      </c>
      <c r="AF37" t="str">
        <f t="shared" si="36"/>
        <v>Harriett Carey</v>
      </c>
    </row>
    <row r="38" spans="1:32" ht="15" customHeight="1" thickBot="1" x14ac:dyDescent="0.35">
      <c r="A38" s="1189"/>
      <c r="B38" s="1195" t="s">
        <v>94</v>
      </c>
      <c r="C38" s="1196" t="s">
        <v>167</v>
      </c>
      <c r="D38" s="1197">
        <f>COUNTIF(E38:L38,"*")</f>
        <v>4</v>
      </c>
      <c r="E38" s="1198">
        <f t="shared" ref="E38:L38" si="37">HLOOKUP(LEFT(E36,1),$Y$17:$AF$181,$W38,FALSE)</f>
        <v>0</v>
      </c>
      <c r="F38" s="1198">
        <f t="shared" si="37"/>
        <v>0</v>
      </c>
      <c r="G38" s="1198" t="str">
        <f t="shared" si="37"/>
        <v>Amber Stevens</v>
      </c>
      <c r="H38" s="1198">
        <f t="shared" si="37"/>
        <v>0</v>
      </c>
      <c r="I38" s="1198" t="str">
        <f t="shared" si="37"/>
        <v>Emily White</v>
      </c>
      <c r="J38" s="1198" t="str">
        <f t="shared" si="37"/>
        <v>Gracie Young</v>
      </c>
      <c r="K38" s="1198">
        <f t="shared" si="37"/>
        <v>0</v>
      </c>
      <c r="L38" s="1198" t="str">
        <f t="shared" si="37"/>
        <v>Anya Haresign</v>
      </c>
      <c r="M38" s="1188"/>
      <c r="N38" s="1188"/>
      <c r="O38" s="1188"/>
      <c r="P38" s="1188"/>
      <c r="Q38" s="1188"/>
      <c r="R38" s="1188"/>
      <c r="S38" s="1188"/>
      <c r="T38" s="1188"/>
      <c r="U38" s="1188"/>
      <c r="W38" s="32">
        <v>22</v>
      </c>
      <c r="Y38" t="str">
        <f t="shared" ref="Y38:AF38" si="38">VLOOKUP($A36,IF($X37="F",TeamSheetFemale,TeamSheetMale),Y$20,FALSE)</f>
        <v>Amber Stevens</v>
      </c>
      <c r="Z38">
        <f t="shared" si="38"/>
        <v>0</v>
      </c>
      <c r="AA38" t="str">
        <f t="shared" si="38"/>
        <v>Gracie Young</v>
      </c>
      <c r="AB38" t="str">
        <f t="shared" si="38"/>
        <v>Anya Haresign</v>
      </c>
      <c r="AC38">
        <f t="shared" si="38"/>
        <v>0</v>
      </c>
      <c r="AD38" t="str">
        <f t="shared" si="38"/>
        <v>Emily White</v>
      </c>
      <c r="AE38">
        <f t="shared" si="38"/>
        <v>0</v>
      </c>
      <c r="AF38">
        <f t="shared" si="38"/>
        <v>0</v>
      </c>
    </row>
    <row r="39" spans="1:32" ht="15" customHeight="1" x14ac:dyDescent="0.3">
      <c r="A39" s="1255">
        <v>14</v>
      </c>
      <c r="B39" s="1185">
        <f>IF($A39&gt;0,VLOOKUP($A39,EventsOrder,2,FALSE)," ")</f>
        <v>12</v>
      </c>
      <c r="C39" s="1186" t="str">
        <f>IF($A39&gt;0,VLOOKUP($A39,EventsOrder,6,FALSE)," ")</f>
        <v xml:space="preserve">80m hurdles </v>
      </c>
      <c r="D39" s="1186" t="str">
        <f>IF($A39&gt;0,VLOOKUP($A39,EventsOrder,4,FALSE)," ")</f>
        <v>U14 Male</v>
      </c>
      <c r="E39" s="1187" t="str">
        <f t="shared" si="11"/>
        <v>D - Strat</v>
      </c>
      <c r="F39" s="1187" t="str">
        <f t="shared" si="12"/>
        <v>R - Rugby</v>
      </c>
      <c r="G39" s="1187" t="str">
        <f t="shared" si="13"/>
        <v>Y - Worc</v>
      </c>
      <c r="H39" s="1187" t="str">
        <f t="shared" si="14"/>
        <v>F - Tam</v>
      </c>
      <c r="I39" s="1187" t="str">
        <f t="shared" si="15"/>
        <v>M - Sol</v>
      </c>
      <c r="J39" s="1187" t="str">
        <f t="shared" si="16"/>
        <v>U - K&amp;S</v>
      </c>
      <c r="K39" s="1187" t="str">
        <f t="shared" si="17"/>
        <v>G - Royal</v>
      </c>
      <c r="L39" s="1187" t="str">
        <f t="shared" si="18"/>
        <v>S - BRAT</v>
      </c>
      <c r="M39" s="1188">
        <f>$J$14</f>
        <v>6</v>
      </c>
      <c r="N39" s="1188">
        <f>$G$14</f>
        <v>4</v>
      </c>
      <c r="O39" s="1188">
        <f>$L$14</f>
        <v>8</v>
      </c>
      <c r="P39" s="1188">
        <f>$K$14</f>
        <v>7</v>
      </c>
      <c r="Q39" s="1188">
        <f>$F$14</f>
        <v>5</v>
      </c>
      <c r="R39" s="1188">
        <f>$H$14</f>
        <v>2</v>
      </c>
      <c r="S39" s="1188">
        <f>$E$14</f>
        <v>3</v>
      </c>
      <c r="T39" s="1188">
        <f>$I$14</f>
        <v>1</v>
      </c>
      <c r="U39" s="1188">
        <f t="shared" si="6"/>
        <v>36</v>
      </c>
      <c r="W39" s="32">
        <v>23</v>
      </c>
    </row>
    <row r="40" spans="1:32" ht="15" customHeight="1" x14ac:dyDescent="0.3">
      <c r="A40" s="1189"/>
      <c r="B40" s="1190" t="s">
        <v>149</v>
      </c>
      <c r="C40" s="1191" t="s">
        <v>167</v>
      </c>
      <c r="D40" s="1192">
        <f>COUNTIF(E40:L40,"*")</f>
        <v>8</v>
      </c>
      <c r="E40" s="1193" t="str">
        <f t="shared" ref="E40:L40" si="39">HLOOKUP(LEFT(E39,1),$Y$17:$AF$181,$W40,FALSE)</f>
        <v>Fynn Allen</v>
      </c>
      <c r="F40" s="1193" t="str">
        <f t="shared" si="39"/>
        <v>Robert Copeland</v>
      </c>
      <c r="G40" s="1193" t="str">
        <f t="shared" si="39"/>
        <v>Zachary Hope</v>
      </c>
      <c r="H40" s="1193" t="str">
        <f t="shared" si="39"/>
        <v>Alfie Kemp</v>
      </c>
      <c r="I40" s="1193" t="str">
        <f t="shared" si="39"/>
        <v>Ethan Miles</v>
      </c>
      <c r="J40" s="1193" t="str">
        <f t="shared" si="39"/>
        <v>Will Freeman</v>
      </c>
      <c r="K40" s="1193" t="str">
        <f t="shared" si="39"/>
        <v>Lewis Deffley</v>
      </c>
      <c r="L40" s="1193" t="str">
        <f t="shared" si="39"/>
        <v xml:space="preserve">William Tse </v>
      </c>
      <c r="M40" s="1188"/>
      <c r="N40" s="1188"/>
      <c r="O40" s="1188"/>
      <c r="P40" s="1188"/>
      <c r="Q40" s="1188"/>
      <c r="R40" s="1188"/>
      <c r="S40" s="1188"/>
      <c r="T40" s="1188"/>
      <c r="U40" s="1188"/>
      <c r="W40" s="32">
        <v>24</v>
      </c>
      <c r="X40" t="str">
        <f>MID(D39,5,1)</f>
        <v>M</v>
      </c>
      <c r="Y40" t="str">
        <f t="shared" ref="Y40:AF40" si="40">VLOOKUP($A39,IF($X40="F",TeamSheetFemale,TeamSheetMale),Y$19,FALSE)</f>
        <v xml:space="preserve">William Tse </v>
      </c>
      <c r="Z40" t="str">
        <f t="shared" si="40"/>
        <v>Will Freeman</v>
      </c>
      <c r="AA40" t="str">
        <f t="shared" si="40"/>
        <v>Lewis Deffley</v>
      </c>
      <c r="AB40" t="str">
        <f t="shared" si="40"/>
        <v>Robert Copeland</v>
      </c>
      <c r="AC40" t="str">
        <f t="shared" si="40"/>
        <v>Ethan Miles</v>
      </c>
      <c r="AD40" t="str">
        <f t="shared" si="40"/>
        <v>Fynn Allen</v>
      </c>
      <c r="AE40" t="str">
        <f t="shared" si="40"/>
        <v>Alfie Kemp</v>
      </c>
      <c r="AF40" t="str">
        <f t="shared" si="40"/>
        <v>Zachary Hope</v>
      </c>
    </row>
    <row r="41" spans="1:32" ht="15" customHeight="1" thickBot="1" x14ac:dyDescent="0.35">
      <c r="A41" s="1189"/>
      <c r="B41" s="1195" t="s">
        <v>94</v>
      </c>
      <c r="C41" s="1196" t="s">
        <v>167</v>
      </c>
      <c r="D41" s="1197">
        <f>COUNTIF(E41:L41,"*")</f>
        <v>4</v>
      </c>
      <c r="E41" s="1198" t="str">
        <f t="shared" ref="E41:L41" si="41">HLOOKUP(LEFT(E39,1),$Y$17:$AF$181,$W41,FALSE)</f>
        <v>Otis Lesatele</v>
      </c>
      <c r="F41" s="1198" t="str">
        <f t="shared" si="41"/>
        <v>Bruno Houltby</v>
      </c>
      <c r="G41" s="1198">
        <f t="shared" si="41"/>
        <v>0</v>
      </c>
      <c r="H41" s="1198">
        <f t="shared" si="41"/>
        <v>0</v>
      </c>
      <c r="I41" s="1198">
        <f t="shared" si="41"/>
        <v>0</v>
      </c>
      <c r="J41" s="1198">
        <f t="shared" si="41"/>
        <v>0</v>
      </c>
      <c r="K41" s="1198" t="str">
        <f t="shared" si="41"/>
        <v>Finley Aldridge-Cox</v>
      </c>
      <c r="L41" s="1198" t="str">
        <f t="shared" si="41"/>
        <v xml:space="preserve">Harvey Harris </v>
      </c>
      <c r="M41" s="1188"/>
      <c r="N41" s="1188"/>
      <c r="O41" s="1188"/>
      <c r="P41" s="1188"/>
      <c r="Q41" s="1188"/>
      <c r="R41" s="1188"/>
      <c r="S41" s="1188"/>
      <c r="T41" s="1188"/>
      <c r="U41" s="1188"/>
      <c r="W41" s="32">
        <v>25</v>
      </c>
      <c r="Y41" t="str">
        <f t="shared" ref="Y41:AF41" si="42">VLOOKUP($A39,IF($X40="F",TeamSheetFemale,TeamSheetMale),Y$20,FALSE)</f>
        <v xml:space="preserve">Harvey Harris </v>
      </c>
      <c r="Z41">
        <f t="shared" si="42"/>
        <v>0</v>
      </c>
      <c r="AA41" t="str">
        <f t="shared" si="42"/>
        <v>Finley Aldridge-Cox</v>
      </c>
      <c r="AB41" t="str">
        <f t="shared" si="42"/>
        <v>Bruno Houltby</v>
      </c>
      <c r="AC41">
        <f t="shared" si="42"/>
        <v>0</v>
      </c>
      <c r="AD41" t="str">
        <f t="shared" si="42"/>
        <v>Otis Lesatele</v>
      </c>
      <c r="AE41">
        <f t="shared" si="42"/>
        <v>0</v>
      </c>
      <c r="AF41">
        <f t="shared" si="42"/>
        <v>0</v>
      </c>
    </row>
    <row r="42" spans="1:32" ht="15" customHeight="1" x14ac:dyDescent="0.3">
      <c r="A42" s="1255">
        <v>15</v>
      </c>
      <c r="B42" s="1185">
        <f>IF($A42&gt;0,VLOOKUP($A42,EventsOrder,2,FALSE)," ")</f>
        <v>12.1</v>
      </c>
      <c r="C42" s="1186" t="str">
        <f>IF($A42&gt;0,VLOOKUP($A42,EventsOrder,6,FALSE)," ")</f>
        <v xml:space="preserve">800m </v>
      </c>
      <c r="D42" s="1186" t="str">
        <f>IF($A42&gt;0,VLOOKUP($A42,EventsOrder,4,FALSE)," ")</f>
        <v>U16 Male</v>
      </c>
      <c r="E42" s="1187" t="str">
        <f t="shared" si="11"/>
        <v>Y - Worc</v>
      </c>
      <c r="F42" s="1187" t="str">
        <f t="shared" si="12"/>
        <v>G - Royal</v>
      </c>
      <c r="G42" s="1187" t="str">
        <f t="shared" si="13"/>
        <v>U - K&amp;S</v>
      </c>
      <c r="H42" s="1187" t="str">
        <f t="shared" si="14"/>
        <v>D - Strat</v>
      </c>
      <c r="I42" s="1187" t="str">
        <f t="shared" si="15"/>
        <v>F - Tam</v>
      </c>
      <c r="J42" s="1187" t="str">
        <f t="shared" si="16"/>
        <v>S - BRAT</v>
      </c>
      <c r="K42" s="1187" t="str">
        <f t="shared" si="17"/>
        <v>R - Rugby</v>
      </c>
      <c r="L42" s="1187" t="str">
        <f t="shared" si="18"/>
        <v>M - Sol</v>
      </c>
      <c r="M42" s="1188">
        <f>$L$14</f>
        <v>8</v>
      </c>
      <c r="N42" s="1188">
        <f>$E$14</f>
        <v>3</v>
      </c>
      <c r="O42" s="1188">
        <f>$H$14</f>
        <v>2</v>
      </c>
      <c r="P42" s="1188">
        <f>$J$14</f>
        <v>6</v>
      </c>
      <c r="Q42" s="1188">
        <f>$K$14</f>
        <v>7</v>
      </c>
      <c r="R42" s="1188">
        <f>$I$14</f>
        <v>1</v>
      </c>
      <c r="S42" s="1188">
        <f>$G$14</f>
        <v>4</v>
      </c>
      <c r="T42" s="1188">
        <f>$F$14</f>
        <v>5</v>
      </c>
      <c r="U42" s="1188">
        <f t="shared" si="6"/>
        <v>36</v>
      </c>
      <c r="W42" s="32">
        <v>26</v>
      </c>
    </row>
    <row r="43" spans="1:32" ht="15" customHeight="1" x14ac:dyDescent="0.3">
      <c r="A43" s="1189"/>
      <c r="B43" s="1190" t="s">
        <v>149</v>
      </c>
      <c r="C43" s="1191" t="s">
        <v>167</v>
      </c>
      <c r="D43" s="1192">
        <f t="shared" ref="D43:D44" si="43">COUNTIF(E43:L43,"*")</f>
        <v>7</v>
      </c>
      <c r="E43" s="1193" t="str">
        <f t="shared" ref="E43:L43" si="44">HLOOKUP(LEFT(E42,1),$Y$17:$AF$181,$W43,FALSE)</f>
        <v>Huw Mabey</v>
      </c>
      <c r="F43" s="1193" t="str">
        <f t="shared" si="44"/>
        <v>Yuvan Sidhu</v>
      </c>
      <c r="G43" s="1193">
        <f t="shared" si="44"/>
        <v>0</v>
      </c>
      <c r="H43" s="1193" t="str">
        <f t="shared" si="44"/>
        <v xml:space="preserve">Carter McKenzie </v>
      </c>
      <c r="I43" s="1193" t="str">
        <f t="shared" si="44"/>
        <v>Alex Haywood</v>
      </c>
      <c r="J43" s="1193" t="str">
        <f t="shared" si="44"/>
        <v>Noah Gordon</v>
      </c>
      <c r="K43" s="1193" t="str">
        <f t="shared" si="44"/>
        <v>Toby Read</v>
      </c>
      <c r="L43" s="1193" t="str">
        <f t="shared" si="44"/>
        <v>Zakariya Rush</v>
      </c>
      <c r="M43" s="1188"/>
      <c r="N43" s="1188"/>
      <c r="O43" s="1188"/>
      <c r="P43" s="1188"/>
      <c r="Q43" s="1188"/>
      <c r="R43" s="1188"/>
      <c r="S43" s="1188"/>
      <c r="T43" s="1188"/>
      <c r="U43" s="1188"/>
      <c r="W43" s="32">
        <v>27</v>
      </c>
      <c r="X43" t="str">
        <f>MID(D42,5,1)</f>
        <v>M</v>
      </c>
      <c r="Y43" t="str">
        <f t="shared" ref="Y43:AF43" si="45">VLOOKUP($A42,IF($X43="F",TeamSheetFemale,TeamSheetMale),Y$19,FALSE)</f>
        <v>Noah Gordon</v>
      </c>
      <c r="Z43">
        <f t="shared" si="45"/>
        <v>0</v>
      </c>
      <c r="AA43" t="str">
        <f t="shared" si="45"/>
        <v>Yuvan Sidhu</v>
      </c>
      <c r="AB43" t="str">
        <f t="shared" si="45"/>
        <v>Toby Read</v>
      </c>
      <c r="AC43" t="str">
        <f t="shared" si="45"/>
        <v>Zakariya Rush</v>
      </c>
      <c r="AD43" t="str">
        <f t="shared" si="45"/>
        <v xml:space="preserve">Carter McKenzie </v>
      </c>
      <c r="AE43" t="str">
        <f t="shared" si="45"/>
        <v>Alex Haywood</v>
      </c>
      <c r="AF43" t="str">
        <f t="shared" si="45"/>
        <v>Huw Mabey</v>
      </c>
    </row>
    <row r="44" spans="1:32" ht="15" customHeight="1" thickBot="1" x14ac:dyDescent="0.35">
      <c r="A44" s="1189"/>
      <c r="B44" s="1195" t="s">
        <v>94</v>
      </c>
      <c r="C44" s="1196" t="s">
        <v>167</v>
      </c>
      <c r="D44" s="1197">
        <f t="shared" si="43"/>
        <v>5</v>
      </c>
      <c r="E44" s="1198">
        <f t="shared" ref="E44:L44" si="46">HLOOKUP(LEFT(E42,1),$Y$17:$AF$181,$W44,FALSE)</f>
        <v>0</v>
      </c>
      <c r="F44" s="1198">
        <f t="shared" si="46"/>
        <v>0</v>
      </c>
      <c r="G44" s="1198">
        <f t="shared" si="46"/>
        <v>0</v>
      </c>
      <c r="H44" s="1198" t="str">
        <f t="shared" si="46"/>
        <v>Morgan Nabney</v>
      </c>
      <c r="I44" s="1198" t="str">
        <f t="shared" si="46"/>
        <v>Alex Hall</v>
      </c>
      <c r="J44" s="1198" t="str">
        <f t="shared" si="46"/>
        <v>Mustopha Bailey</v>
      </c>
      <c r="K44" s="1198" t="str">
        <f t="shared" si="46"/>
        <v>Isaac Brierley York</v>
      </c>
      <c r="L44" s="1198" t="str">
        <f t="shared" si="46"/>
        <v>Luca Woodley</v>
      </c>
      <c r="M44" s="1188"/>
      <c r="N44" s="1188"/>
      <c r="O44" s="1188"/>
      <c r="P44" s="1188"/>
      <c r="Q44" s="1188"/>
      <c r="R44" s="1188"/>
      <c r="S44" s="1188"/>
      <c r="T44" s="1188"/>
      <c r="U44" s="1188"/>
      <c r="W44" s="32">
        <v>28</v>
      </c>
      <c r="Y44" t="str">
        <f t="shared" ref="Y44:AF44" si="47">VLOOKUP($A42,IF($X43="F",TeamSheetFemale,TeamSheetMale),Y$20,FALSE)</f>
        <v>Mustopha Bailey</v>
      </c>
      <c r="Z44">
        <f t="shared" si="47"/>
        <v>0</v>
      </c>
      <c r="AA44">
        <f t="shared" si="47"/>
        <v>0</v>
      </c>
      <c r="AB44" t="str">
        <f t="shared" si="47"/>
        <v>Isaac Brierley York</v>
      </c>
      <c r="AC44" t="str">
        <f t="shared" si="47"/>
        <v>Luca Woodley</v>
      </c>
      <c r="AD44" t="str">
        <f t="shared" si="47"/>
        <v>Morgan Nabney</v>
      </c>
      <c r="AE44" t="str">
        <f t="shared" si="47"/>
        <v>Alex Hall</v>
      </c>
      <c r="AF44">
        <f t="shared" si="47"/>
        <v>0</v>
      </c>
    </row>
    <row r="45" spans="1:32" ht="15" customHeight="1" x14ac:dyDescent="0.3">
      <c r="A45" s="1255">
        <v>18</v>
      </c>
      <c r="B45" s="1185">
        <f>IF($A45&gt;0,VLOOKUP($A45,EventsOrder,2,FALSE)," ")</f>
        <v>12.2</v>
      </c>
      <c r="C45" s="1186" t="str">
        <f>IF($A45&gt;0,VLOOKUP($A45,EventsOrder,6,FALSE)," ")</f>
        <v xml:space="preserve">800m (U18/U20) </v>
      </c>
      <c r="D45" s="1186" t="str">
        <f>IF($A45&gt;0,VLOOKUP($A45,EventsOrder,4,FALSE)," ")</f>
        <v>U18 Men</v>
      </c>
      <c r="E45" s="1187" t="str">
        <f t="shared" si="11"/>
        <v>S - BRAT</v>
      </c>
      <c r="F45" s="1187" t="str">
        <f t="shared" si="12"/>
        <v>Y - Worc</v>
      </c>
      <c r="G45" s="1187" t="str">
        <f t="shared" si="13"/>
        <v>M - Sol</v>
      </c>
      <c r="H45" s="1187" t="str">
        <f t="shared" si="14"/>
        <v>F - Tam</v>
      </c>
      <c r="I45" s="1187" t="str">
        <f t="shared" si="15"/>
        <v>R - Rugby</v>
      </c>
      <c r="J45" s="1187" t="str">
        <f t="shared" si="16"/>
        <v>G - Royal</v>
      </c>
      <c r="K45" s="1187" t="str">
        <f t="shared" si="17"/>
        <v>U - K&amp;S</v>
      </c>
      <c r="L45" s="1187" t="str">
        <f t="shared" si="18"/>
        <v>D - Strat</v>
      </c>
      <c r="M45" s="1188">
        <f>$I$14</f>
        <v>1</v>
      </c>
      <c r="N45" s="1188">
        <f>$L$14</f>
        <v>8</v>
      </c>
      <c r="O45" s="1188">
        <f>$F$14</f>
        <v>5</v>
      </c>
      <c r="P45" s="1188">
        <f>$K$14</f>
        <v>7</v>
      </c>
      <c r="Q45" s="1188">
        <f>$G$14</f>
        <v>4</v>
      </c>
      <c r="R45" s="1188">
        <f>$E$14</f>
        <v>3</v>
      </c>
      <c r="S45" s="1188">
        <f>$H$14</f>
        <v>2</v>
      </c>
      <c r="T45" s="1188">
        <f>$J$14</f>
        <v>6</v>
      </c>
      <c r="U45" s="1188">
        <f t="shared" si="6"/>
        <v>36</v>
      </c>
      <c r="W45" s="32">
        <v>29</v>
      </c>
    </row>
    <row r="46" spans="1:32" ht="15" customHeight="1" x14ac:dyDescent="0.3">
      <c r="A46" s="1189"/>
      <c r="B46" s="1190" t="s">
        <v>149</v>
      </c>
      <c r="C46" s="1191" t="s">
        <v>167</v>
      </c>
      <c r="D46" s="1192">
        <f t="shared" ref="D46:D47" si="48">COUNTIF(E46:L46,"*")</f>
        <v>4</v>
      </c>
      <c r="E46" s="1193" t="str">
        <f t="shared" ref="E46:L46" si="49">HLOOKUP(LEFT(E45,1),$Y$17:$AF$181,$W46,FALSE)</f>
        <v>Christian Middleton</v>
      </c>
      <c r="F46" s="1193">
        <f t="shared" si="49"/>
        <v>0</v>
      </c>
      <c r="G46" s="1193">
        <f t="shared" si="49"/>
        <v>0</v>
      </c>
      <c r="H46" s="1193" t="str">
        <f t="shared" si="49"/>
        <v>Anthony Tolley</v>
      </c>
      <c r="I46" s="1193" t="str">
        <f t="shared" si="49"/>
        <v>Joel Benton</v>
      </c>
      <c r="J46" s="1193">
        <f t="shared" si="49"/>
        <v>0</v>
      </c>
      <c r="K46" s="1193">
        <f t="shared" si="49"/>
        <v>0</v>
      </c>
      <c r="L46" s="1193" t="str">
        <f t="shared" si="49"/>
        <v>Will Hovell</v>
      </c>
      <c r="M46" s="1188"/>
      <c r="N46" s="1188"/>
      <c r="O46" s="1188"/>
      <c r="P46" s="1188"/>
      <c r="Q46" s="1188"/>
      <c r="R46" s="1188"/>
      <c r="S46" s="1188"/>
      <c r="T46" s="1188"/>
      <c r="U46" s="1188"/>
      <c r="W46" s="32">
        <v>30</v>
      </c>
      <c r="X46" t="str">
        <f>MID(D45,5,1)</f>
        <v>M</v>
      </c>
      <c r="Y46" t="str">
        <f t="shared" ref="Y46:AF46" si="50">VLOOKUP($A45,IF($X46="F",TeamSheetFemale,TeamSheetMale),Y$19,FALSE)</f>
        <v>Christian Middleton</v>
      </c>
      <c r="Z46">
        <f t="shared" si="50"/>
        <v>0</v>
      </c>
      <c r="AA46">
        <f t="shared" si="50"/>
        <v>0</v>
      </c>
      <c r="AB46" t="str">
        <f t="shared" si="50"/>
        <v>Joel Benton</v>
      </c>
      <c r="AC46">
        <f t="shared" si="50"/>
        <v>0</v>
      </c>
      <c r="AD46" t="str">
        <f t="shared" si="50"/>
        <v>Will Hovell</v>
      </c>
      <c r="AE46" t="str">
        <f t="shared" si="50"/>
        <v>Anthony Tolley</v>
      </c>
      <c r="AF46">
        <f t="shared" si="50"/>
        <v>0</v>
      </c>
    </row>
    <row r="47" spans="1:32" ht="15" customHeight="1" thickBot="1" x14ac:dyDescent="0.35">
      <c r="A47" s="1189"/>
      <c r="B47" s="1195" t="s">
        <v>94</v>
      </c>
      <c r="C47" s="1196" t="s">
        <v>167</v>
      </c>
      <c r="D47" s="1197">
        <f t="shared" si="48"/>
        <v>1</v>
      </c>
      <c r="E47" s="1198">
        <f t="shared" ref="E47:L47" si="51">HLOOKUP(LEFT(E45,1),$Y$17:$AF$181,$W47,FALSE)</f>
        <v>0</v>
      </c>
      <c r="F47" s="1198">
        <f t="shared" si="51"/>
        <v>0</v>
      </c>
      <c r="G47" s="1198">
        <f t="shared" si="51"/>
        <v>0</v>
      </c>
      <c r="H47" s="1198">
        <f t="shared" si="51"/>
        <v>0</v>
      </c>
      <c r="I47" s="1198">
        <f t="shared" si="51"/>
        <v>0</v>
      </c>
      <c r="J47" s="1198">
        <f t="shared" si="51"/>
        <v>0</v>
      </c>
      <c r="K47" s="1198">
        <f t="shared" si="51"/>
        <v>0</v>
      </c>
      <c r="L47" s="1198" t="str">
        <f t="shared" si="51"/>
        <v>Joel Ledgard</v>
      </c>
      <c r="M47" s="1188"/>
      <c r="N47" s="1188"/>
      <c r="O47" s="1188"/>
      <c r="P47" s="1188"/>
      <c r="Q47" s="1188"/>
      <c r="R47" s="1188"/>
      <c r="S47" s="1188"/>
      <c r="T47" s="1188"/>
      <c r="U47" s="1188"/>
      <c r="W47" s="32">
        <v>31</v>
      </c>
      <c r="Y47">
        <f t="shared" ref="Y47:AF47" si="52">VLOOKUP($A45,IF($X46="F",TeamSheetFemale,TeamSheetMale),Y$20,FALSE)</f>
        <v>0</v>
      </c>
      <c r="Z47">
        <f t="shared" si="52"/>
        <v>0</v>
      </c>
      <c r="AA47">
        <f t="shared" si="52"/>
        <v>0</v>
      </c>
      <c r="AB47">
        <f t="shared" si="52"/>
        <v>0</v>
      </c>
      <c r="AC47">
        <f t="shared" si="52"/>
        <v>0</v>
      </c>
      <c r="AD47" t="str">
        <f t="shared" si="52"/>
        <v>Joel Ledgard</v>
      </c>
      <c r="AE47">
        <f t="shared" si="52"/>
        <v>0</v>
      </c>
      <c r="AF47">
        <f t="shared" si="52"/>
        <v>0</v>
      </c>
    </row>
    <row r="48" spans="1:32" ht="15" customHeight="1" x14ac:dyDescent="0.3">
      <c r="A48" s="1255">
        <v>19</v>
      </c>
      <c r="B48" s="1185">
        <f>IF($A48&gt;0,VLOOKUP($A48,EventsOrder,2,FALSE)," ")</f>
        <v>12.3</v>
      </c>
      <c r="C48" s="1186" t="str">
        <f>IF($A48&gt;0,VLOOKUP($A48,EventsOrder,6,FALSE)," ")</f>
        <v xml:space="preserve">100m hurdles (U18) </v>
      </c>
      <c r="D48" s="1186" t="str">
        <f>IF($A48&gt;0,VLOOKUP($A48,EventsOrder,4,FALSE)," ")</f>
        <v>U18 Female</v>
      </c>
      <c r="E48" s="1187" t="str">
        <f t="shared" si="11"/>
        <v>G - Royal</v>
      </c>
      <c r="F48" s="1187" t="str">
        <f t="shared" si="12"/>
        <v>M - Sol</v>
      </c>
      <c r="G48" s="1187" t="str">
        <f t="shared" si="13"/>
        <v>D - Strat</v>
      </c>
      <c r="H48" s="1187" t="str">
        <f t="shared" si="14"/>
        <v>S - BRAT</v>
      </c>
      <c r="I48" s="1187" t="str">
        <f t="shared" si="15"/>
        <v>U - K&amp;S</v>
      </c>
      <c r="J48" s="1187" t="str">
        <f t="shared" si="16"/>
        <v>F - Tam</v>
      </c>
      <c r="K48" s="1187" t="str">
        <f t="shared" si="17"/>
        <v>R - Rugby</v>
      </c>
      <c r="L48" s="1187" t="str">
        <f t="shared" si="18"/>
        <v>Y - Worc</v>
      </c>
      <c r="M48" s="1188">
        <v>3</v>
      </c>
      <c r="N48" s="1188">
        <f>$F$14</f>
        <v>5</v>
      </c>
      <c r="O48" s="1188">
        <f>$J$14</f>
        <v>6</v>
      </c>
      <c r="P48" s="1188">
        <f>$I$14</f>
        <v>1</v>
      </c>
      <c r="Q48" s="1188">
        <f>$H$14</f>
        <v>2</v>
      </c>
      <c r="R48" s="1188">
        <f>$K$14</f>
        <v>7</v>
      </c>
      <c r="S48" s="1188">
        <v>4</v>
      </c>
      <c r="T48" s="1188">
        <f>$L$14</f>
        <v>8</v>
      </c>
      <c r="U48" s="1188">
        <f t="shared" si="6"/>
        <v>36</v>
      </c>
      <c r="W48" s="32">
        <v>32</v>
      </c>
    </row>
    <row r="49" spans="1:32" ht="15" customHeight="1" x14ac:dyDescent="0.3">
      <c r="A49" s="1189"/>
      <c r="B49" s="1190" t="s">
        <v>149</v>
      </c>
      <c r="C49" s="1191" t="s">
        <v>167</v>
      </c>
      <c r="D49" s="1192">
        <f t="shared" ref="D49:D50" si="53">COUNTIF(E49:L49,"*")</f>
        <v>4</v>
      </c>
      <c r="E49" s="1193">
        <f t="shared" ref="E49:L49" si="54">HLOOKUP(LEFT(E48,1),$Y$17:$AF$181,$W49,FALSE)</f>
        <v>0</v>
      </c>
      <c r="F49" s="1193">
        <f t="shared" si="54"/>
        <v>0</v>
      </c>
      <c r="G49" s="1193" t="str">
        <f t="shared" si="54"/>
        <v>Darcie Nicholls</v>
      </c>
      <c r="H49" s="1193">
        <f t="shared" si="54"/>
        <v>0</v>
      </c>
      <c r="I49" s="1193" t="str">
        <f t="shared" si="54"/>
        <v>Emma Ross</v>
      </c>
      <c r="J49" s="1193" t="str">
        <f t="shared" si="54"/>
        <v>Sophie Godber</v>
      </c>
      <c r="K49" s="1193" t="str">
        <f t="shared" si="54"/>
        <v>Olivia Clarke</v>
      </c>
      <c r="L49" s="1193">
        <f t="shared" si="54"/>
        <v>0</v>
      </c>
      <c r="M49" s="1188"/>
      <c r="N49" s="1188"/>
      <c r="O49" s="1188"/>
      <c r="P49" s="1188"/>
      <c r="Q49" s="1188"/>
      <c r="R49" s="1188"/>
      <c r="S49" s="1188"/>
      <c r="T49" s="1188"/>
      <c r="U49" s="1188"/>
      <c r="W49" s="32">
        <v>33</v>
      </c>
      <c r="X49" t="str">
        <f>MID(D48,5,1)</f>
        <v>F</v>
      </c>
      <c r="Y49">
        <f t="shared" ref="Y49:AF49" si="55">VLOOKUP($A48,IF($X49="F",TeamSheetFemale,TeamSheetMale),Y$19,FALSE)</f>
        <v>0</v>
      </c>
      <c r="Z49" t="str">
        <f t="shared" si="55"/>
        <v>Emma Ross</v>
      </c>
      <c r="AA49">
        <f t="shared" si="55"/>
        <v>0</v>
      </c>
      <c r="AB49" t="str">
        <f t="shared" si="55"/>
        <v>Olivia Clarke</v>
      </c>
      <c r="AC49">
        <f t="shared" si="55"/>
        <v>0</v>
      </c>
      <c r="AD49" t="str">
        <f t="shared" si="55"/>
        <v>Darcie Nicholls</v>
      </c>
      <c r="AE49" t="str">
        <f t="shared" si="55"/>
        <v>Sophie Godber</v>
      </c>
      <c r="AF49">
        <f t="shared" si="55"/>
        <v>0</v>
      </c>
    </row>
    <row r="50" spans="1:32" ht="15" customHeight="1" thickBot="1" x14ac:dyDescent="0.35">
      <c r="A50" s="1189"/>
      <c r="B50" s="1195" t="s">
        <v>94</v>
      </c>
      <c r="C50" s="1196" t="s">
        <v>167</v>
      </c>
      <c r="D50" s="1197">
        <f t="shared" si="53"/>
        <v>1</v>
      </c>
      <c r="E50" s="1198">
        <f t="shared" ref="E50:L50" si="56">HLOOKUP(LEFT(E48,1),$Y$17:$AF$181,$W50,FALSE)</f>
        <v>0</v>
      </c>
      <c r="F50" s="1198">
        <f t="shared" si="56"/>
        <v>0</v>
      </c>
      <c r="G50" s="1198" t="str">
        <f t="shared" si="56"/>
        <v>Ava Sheppard</v>
      </c>
      <c r="H50" s="1198">
        <f t="shared" si="56"/>
        <v>0</v>
      </c>
      <c r="I50" s="1198">
        <f t="shared" si="56"/>
        <v>0</v>
      </c>
      <c r="J50" s="1198">
        <f t="shared" si="56"/>
        <v>0</v>
      </c>
      <c r="K50" s="1198">
        <f t="shared" si="56"/>
        <v>0</v>
      </c>
      <c r="L50" s="1198">
        <f t="shared" si="56"/>
        <v>0</v>
      </c>
      <c r="M50" s="1188"/>
      <c r="N50" s="1188"/>
      <c r="O50" s="1188"/>
      <c r="P50" s="1188"/>
      <c r="Q50" s="1188"/>
      <c r="R50" s="1188"/>
      <c r="S50" s="1188"/>
      <c r="T50" s="1188"/>
      <c r="U50" s="1188"/>
      <c r="W50" s="32">
        <v>34</v>
      </c>
      <c r="Y50">
        <f t="shared" ref="Y50:AF50" si="57">VLOOKUP($A48,IF($X49="F",TeamSheetFemale,TeamSheetMale),Y$20,FALSE)</f>
        <v>0</v>
      </c>
      <c r="Z50">
        <f t="shared" si="57"/>
        <v>0</v>
      </c>
      <c r="AA50">
        <f t="shared" si="57"/>
        <v>0</v>
      </c>
      <c r="AB50">
        <f t="shared" si="57"/>
        <v>0</v>
      </c>
      <c r="AC50">
        <f t="shared" si="57"/>
        <v>0</v>
      </c>
      <c r="AD50" t="str">
        <f t="shared" si="57"/>
        <v>Ava Sheppard</v>
      </c>
      <c r="AE50">
        <f t="shared" si="57"/>
        <v>0</v>
      </c>
      <c r="AF50">
        <f t="shared" si="57"/>
        <v>0</v>
      </c>
    </row>
    <row r="51" spans="1:32" ht="15" customHeight="1" x14ac:dyDescent="0.3">
      <c r="A51" s="1255">
        <v>25</v>
      </c>
      <c r="B51" s="1185">
        <f>IF($A51&gt;0,VLOOKUP($A51,EventsOrder,2,FALSE)," ")</f>
        <v>12.4</v>
      </c>
      <c r="C51" s="1186" t="str">
        <f>IF($A51&gt;0,VLOOKUP($A51,EventsOrder,6,FALSE)," ")</f>
        <v xml:space="preserve">800m </v>
      </c>
      <c r="D51" s="1186" t="str">
        <f>IF($A51&gt;0,VLOOKUP($A51,EventsOrder,4,FALSE)," ")</f>
        <v>U14 Female</v>
      </c>
      <c r="E51" s="1187" t="str">
        <f t="shared" si="11"/>
        <v>U - K&amp;S</v>
      </c>
      <c r="F51" s="1187" t="str">
        <f t="shared" si="12"/>
        <v>D - Strat</v>
      </c>
      <c r="G51" s="1187" t="str">
        <f t="shared" si="13"/>
        <v>Y - Worc</v>
      </c>
      <c r="H51" s="1187" t="str">
        <f t="shared" si="14"/>
        <v>M - Sol</v>
      </c>
      <c r="I51" s="1187" t="str">
        <f t="shared" si="15"/>
        <v>R - Rugby</v>
      </c>
      <c r="J51" s="1187" t="str">
        <f t="shared" si="16"/>
        <v>G - Royal</v>
      </c>
      <c r="K51" s="1187" t="str">
        <f t="shared" si="17"/>
        <v>S - BRAT</v>
      </c>
      <c r="L51" s="1187" t="str">
        <f t="shared" si="18"/>
        <v>F - Tam</v>
      </c>
      <c r="M51" s="1188">
        <f>$H$14</f>
        <v>2</v>
      </c>
      <c r="N51" s="1188">
        <f>$J$14</f>
        <v>6</v>
      </c>
      <c r="O51" s="1188">
        <f>$L$14</f>
        <v>8</v>
      </c>
      <c r="P51" s="1188">
        <f>$F$14</f>
        <v>5</v>
      </c>
      <c r="Q51" s="1188">
        <v>4</v>
      </c>
      <c r="R51" s="1188">
        <v>3</v>
      </c>
      <c r="S51" s="1188">
        <f>$I$14</f>
        <v>1</v>
      </c>
      <c r="T51" s="1188">
        <f>$K$14</f>
        <v>7</v>
      </c>
      <c r="U51" s="1188">
        <f t="shared" si="6"/>
        <v>36</v>
      </c>
      <c r="W51" s="32">
        <v>35</v>
      </c>
    </row>
    <row r="52" spans="1:32" ht="15" customHeight="1" x14ac:dyDescent="0.3">
      <c r="A52" s="1189"/>
      <c r="B52" s="1190" t="s">
        <v>149</v>
      </c>
      <c r="C52" s="1191" t="s">
        <v>167</v>
      </c>
      <c r="D52" s="1192">
        <f t="shared" ref="D52:D53" si="58">COUNTIF(E52:L52,"*")</f>
        <v>8</v>
      </c>
      <c r="E52" s="1193" t="str">
        <f t="shared" ref="E52:L52" si="59">HLOOKUP(LEFT(E51,1),$Y$17:$AF$181,$W52,FALSE)</f>
        <v>Amelie Davis-Beard</v>
      </c>
      <c r="F52" s="1193" t="str">
        <f t="shared" si="59"/>
        <v>Elsie Pipitone</v>
      </c>
      <c r="G52" s="1193" t="str">
        <f t="shared" si="59"/>
        <v>Edie Worth</v>
      </c>
      <c r="H52" s="1193" t="str">
        <f t="shared" si="59"/>
        <v>Sophia Wood</v>
      </c>
      <c r="I52" s="1193" t="str">
        <f t="shared" si="59"/>
        <v>Violet French</v>
      </c>
      <c r="J52" s="1193" t="str">
        <f t="shared" si="59"/>
        <v>Scarlett Edgar</v>
      </c>
      <c r="K52" s="1193" t="str">
        <f t="shared" si="59"/>
        <v xml:space="preserve">
Eliana Dawit</v>
      </c>
      <c r="L52" s="1193" t="str">
        <f t="shared" si="59"/>
        <v>Charlotte Brian</v>
      </c>
      <c r="M52" s="1188"/>
      <c r="N52" s="1188"/>
      <c r="O52" s="1188"/>
      <c r="P52" s="1188"/>
      <c r="Q52" s="1188"/>
      <c r="R52" s="1188"/>
      <c r="S52" s="1188"/>
      <c r="T52" s="1188"/>
      <c r="U52" s="1188"/>
      <c r="W52" s="32">
        <v>36</v>
      </c>
      <c r="X52" s="1194" t="str">
        <f>MID(D51,5,1)</f>
        <v>F</v>
      </c>
      <c r="Y52" s="419" t="str">
        <f t="shared" ref="Y52:AF52" si="60">VLOOKUP($A51,IF($X52="F",TeamSheetFemale,TeamSheetMale),Y$19,FALSE)</f>
        <v xml:space="preserve">
Eliana Dawit</v>
      </c>
      <c r="Z52" s="419" t="str">
        <f t="shared" si="60"/>
        <v>Amelie Davis-Beard</v>
      </c>
      <c r="AA52" s="419" t="str">
        <f t="shared" si="60"/>
        <v>Scarlett Edgar</v>
      </c>
      <c r="AB52" s="419" t="str">
        <f t="shared" si="60"/>
        <v>Violet French</v>
      </c>
      <c r="AC52" s="419" t="str">
        <f t="shared" si="60"/>
        <v>Sophia Wood</v>
      </c>
      <c r="AD52" s="419" t="str">
        <f t="shared" si="60"/>
        <v>Elsie Pipitone</v>
      </c>
      <c r="AE52" s="419" t="str">
        <f t="shared" si="60"/>
        <v>Charlotte Brian</v>
      </c>
      <c r="AF52" s="419" t="str">
        <f t="shared" si="60"/>
        <v>Edie Worth</v>
      </c>
    </row>
    <row r="53" spans="1:32" ht="15" customHeight="1" thickBot="1" x14ac:dyDescent="0.35">
      <c r="A53" s="1189"/>
      <c r="B53" s="1195" t="s">
        <v>94</v>
      </c>
      <c r="C53" s="1196" t="s">
        <v>167</v>
      </c>
      <c r="D53" s="1197">
        <f t="shared" si="58"/>
        <v>8</v>
      </c>
      <c r="E53" s="1198" t="str">
        <f t="shared" ref="E53:L53" si="61">HLOOKUP(LEFT(E51,1),$Y$17:$AF$181,$W53,FALSE)</f>
        <v>Imogen McCann</v>
      </c>
      <c r="F53" s="1198" t="str">
        <f t="shared" si="61"/>
        <v>Millie Lowden</v>
      </c>
      <c r="G53" s="1198" t="str">
        <f t="shared" si="61"/>
        <v>Anastasia Constantinou</v>
      </c>
      <c r="H53" s="1198" t="str">
        <f t="shared" si="61"/>
        <v>Emily Ross</v>
      </c>
      <c r="I53" s="1198" t="str">
        <f t="shared" si="61"/>
        <v>Caitlin Bosworth</v>
      </c>
      <c r="J53" s="1198" t="str">
        <f t="shared" si="61"/>
        <v>Caitlin Hobday</v>
      </c>
      <c r="K53" s="1198" t="str">
        <f t="shared" si="61"/>
        <v>Joanna O'Connor Delgado</v>
      </c>
      <c r="L53" s="1198" t="str">
        <f t="shared" si="61"/>
        <v>Jessica Husselbee</v>
      </c>
      <c r="M53" s="1188"/>
      <c r="N53" s="1188"/>
      <c r="O53" s="1188"/>
      <c r="P53" s="1188"/>
      <c r="Q53" s="1188"/>
      <c r="R53" s="1188"/>
      <c r="S53" s="1188"/>
      <c r="T53" s="1188"/>
      <c r="U53" s="1188"/>
      <c r="W53" s="32">
        <v>37</v>
      </c>
      <c r="Y53" s="419" t="str">
        <f t="shared" ref="Y53:AF53" si="62">VLOOKUP($A51,IF($X52="F",TeamSheetFemale,TeamSheetMale),Y$20,FALSE)</f>
        <v>Joanna O'Connor Delgado</v>
      </c>
      <c r="Z53" s="419" t="str">
        <f t="shared" si="62"/>
        <v>Imogen McCann</v>
      </c>
      <c r="AA53" s="419" t="str">
        <f t="shared" si="62"/>
        <v>Caitlin Hobday</v>
      </c>
      <c r="AB53" s="419" t="str">
        <f t="shared" si="62"/>
        <v>Caitlin Bosworth</v>
      </c>
      <c r="AC53" s="419" t="str">
        <f t="shared" si="62"/>
        <v>Emily Ross</v>
      </c>
      <c r="AD53" s="419" t="str">
        <f t="shared" si="62"/>
        <v>Millie Lowden</v>
      </c>
      <c r="AE53" s="419" t="str">
        <f t="shared" si="62"/>
        <v>Jessica Husselbee</v>
      </c>
      <c r="AF53" s="419" t="str">
        <f t="shared" si="62"/>
        <v>Anastasia Constantinou</v>
      </c>
    </row>
    <row r="54" spans="1:32" ht="15" customHeight="1" x14ac:dyDescent="0.3">
      <c r="A54" s="1255">
        <v>20</v>
      </c>
      <c r="B54" s="1185">
        <f>IF($A54&gt;0,VLOOKUP($A54,EventsOrder,2,FALSE)," ")</f>
        <v>12.5</v>
      </c>
      <c r="C54" s="1186" t="str">
        <f>IF($A54&gt;0,VLOOKUP($A54,EventsOrder,6,FALSE)," ")</f>
        <v xml:space="preserve">100m hurdles </v>
      </c>
      <c r="D54" s="1186" t="str">
        <f>IF($A54&gt;0,VLOOKUP($A54,EventsOrder,4,FALSE)," ")</f>
        <v>U16 Male</v>
      </c>
      <c r="E54" s="1187" t="str">
        <f t="shared" si="11"/>
        <v>G - Royal</v>
      </c>
      <c r="F54" s="1187" t="str">
        <f t="shared" si="12"/>
        <v>F - Tam</v>
      </c>
      <c r="G54" s="1187" t="str">
        <f t="shared" si="13"/>
        <v>Y - Worc</v>
      </c>
      <c r="H54" s="1187" t="str">
        <f t="shared" si="14"/>
        <v>R - Rugby</v>
      </c>
      <c r="I54" s="1187" t="str">
        <f t="shared" si="15"/>
        <v>D - Strat</v>
      </c>
      <c r="J54" s="1187" t="str">
        <f t="shared" si="16"/>
        <v>S - BRAT</v>
      </c>
      <c r="K54" s="1187" t="str">
        <f t="shared" si="17"/>
        <v>M - Sol</v>
      </c>
      <c r="L54" s="1187" t="str">
        <f t="shared" si="18"/>
        <v>U - K&amp;S</v>
      </c>
      <c r="M54" s="1188">
        <f>$E$14</f>
        <v>3</v>
      </c>
      <c r="N54" s="1188">
        <f>$K$14</f>
        <v>7</v>
      </c>
      <c r="O54" s="1188">
        <f>$L$14</f>
        <v>8</v>
      </c>
      <c r="P54" s="1188">
        <f>$G$14</f>
        <v>4</v>
      </c>
      <c r="Q54" s="1188">
        <f>$J$14</f>
        <v>6</v>
      </c>
      <c r="R54" s="1188">
        <f>$I$14</f>
        <v>1</v>
      </c>
      <c r="S54" s="1188">
        <f>$F$14</f>
        <v>5</v>
      </c>
      <c r="T54" s="1188">
        <f>$H$14</f>
        <v>2</v>
      </c>
      <c r="U54" s="1188">
        <f t="shared" si="6"/>
        <v>36</v>
      </c>
      <c r="W54" s="32">
        <v>38</v>
      </c>
    </row>
    <row r="55" spans="1:32" ht="15" customHeight="1" x14ac:dyDescent="0.3">
      <c r="A55" s="1189"/>
      <c r="B55" s="1190" t="s">
        <v>149</v>
      </c>
      <c r="C55" s="1191" t="s">
        <v>167</v>
      </c>
      <c r="D55" s="1192">
        <f>COUNTIF(E55:L55,"*")</f>
        <v>6</v>
      </c>
      <c r="E55" s="1193">
        <f t="shared" ref="E55:L55" si="63">HLOOKUP(LEFT(E54,1),$Y$17:$AF$181,$W55,FALSE)</f>
        <v>0</v>
      </c>
      <c r="F55" s="1193">
        <f t="shared" si="63"/>
        <v>0</v>
      </c>
      <c r="G55" s="1193" t="str">
        <f t="shared" si="63"/>
        <v>Hayden Helme</v>
      </c>
      <c r="H55" s="1193" t="str">
        <f t="shared" si="63"/>
        <v>Sammy Chang</v>
      </c>
      <c r="I55" s="1193" t="str">
        <f t="shared" si="63"/>
        <v>Finn Jackson</v>
      </c>
      <c r="J55" s="1193" t="str">
        <f t="shared" si="63"/>
        <v>Bertie Albatov</v>
      </c>
      <c r="K55" s="1193" t="str">
        <f t="shared" si="63"/>
        <v>Luke Ager</v>
      </c>
      <c r="L55" s="1193" t="str">
        <f t="shared" si="63"/>
        <v>Harry Morton</v>
      </c>
      <c r="M55" s="1188"/>
      <c r="N55" s="1188"/>
      <c r="O55" s="1188"/>
      <c r="P55" s="1188"/>
      <c r="Q55" s="1188"/>
      <c r="R55" s="1188"/>
      <c r="S55" s="1188"/>
      <c r="T55" s="1188"/>
      <c r="U55" s="1188"/>
      <c r="W55" s="32">
        <v>39</v>
      </c>
      <c r="X55" s="1194" t="str">
        <f>MID(D54,5,1)</f>
        <v>M</v>
      </c>
      <c r="Y55" s="419" t="str">
        <f t="shared" ref="Y55:AF55" si="64">VLOOKUP($A54,IF($X55="F",TeamSheetFemale,TeamSheetMale),Y$19,FALSE)</f>
        <v>Bertie Albatov</v>
      </c>
      <c r="Z55" s="419" t="str">
        <f t="shared" si="64"/>
        <v>Harry Morton</v>
      </c>
      <c r="AA55" s="419">
        <f t="shared" si="64"/>
        <v>0</v>
      </c>
      <c r="AB55" s="419" t="str">
        <f t="shared" si="64"/>
        <v>Sammy Chang</v>
      </c>
      <c r="AC55" s="419" t="str">
        <f t="shared" si="64"/>
        <v>Luke Ager</v>
      </c>
      <c r="AD55" s="419" t="str">
        <f t="shared" si="64"/>
        <v>Finn Jackson</v>
      </c>
      <c r="AE55" s="419">
        <f t="shared" si="64"/>
        <v>0</v>
      </c>
      <c r="AF55" s="419" t="str">
        <f t="shared" si="64"/>
        <v>Hayden Helme</v>
      </c>
    </row>
    <row r="56" spans="1:32" ht="15" customHeight="1" thickBot="1" x14ac:dyDescent="0.35">
      <c r="A56" s="1189"/>
      <c r="B56" s="1195" t="s">
        <v>94</v>
      </c>
      <c r="C56" s="1196" t="s">
        <v>167</v>
      </c>
      <c r="D56" s="1197">
        <f>COUNTIF(E56:L56,"*")</f>
        <v>3</v>
      </c>
      <c r="E56" s="1198">
        <f t="shared" ref="E56:L56" si="65">HLOOKUP(LEFT(E54,1),$Y$17:$AF$181,$W56,FALSE)</f>
        <v>0</v>
      </c>
      <c r="F56" s="1198">
        <f t="shared" si="65"/>
        <v>0</v>
      </c>
      <c r="G56" s="1198">
        <f t="shared" si="65"/>
        <v>0</v>
      </c>
      <c r="H56" s="1198" t="str">
        <f t="shared" si="65"/>
        <v>Joe White</v>
      </c>
      <c r="I56" s="1198" t="str">
        <f t="shared" si="65"/>
        <v>Toby Hughes Webb</v>
      </c>
      <c r="J56" s="1198" t="str">
        <f t="shared" si="65"/>
        <v>Eben Ashton</v>
      </c>
      <c r="K56" s="1198">
        <f t="shared" si="65"/>
        <v>0</v>
      </c>
      <c r="L56" s="1198">
        <f t="shared" si="65"/>
        <v>0</v>
      </c>
      <c r="M56" s="1188"/>
      <c r="N56" s="1188"/>
      <c r="O56" s="1188"/>
      <c r="P56" s="1188"/>
      <c r="Q56" s="1188"/>
      <c r="R56" s="1188"/>
      <c r="S56" s="1188"/>
      <c r="T56" s="1188"/>
      <c r="U56" s="1188"/>
      <c r="W56" s="32">
        <v>40</v>
      </c>
      <c r="Y56" s="419" t="str">
        <f t="shared" ref="Y56:AF56" si="66">VLOOKUP($A54,IF($X55="F",TeamSheetFemale,TeamSheetMale),Y$20,FALSE)</f>
        <v>Eben Ashton</v>
      </c>
      <c r="Z56" s="419">
        <f t="shared" si="66"/>
        <v>0</v>
      </c>
      <c r="AA56" s="419">
        <f t="shared" si="66"/>
        <v>0</v>
      </c>
      <c r="AB56" s="419" t="str">
        <f t="shared" si="66"/>
        <v>Joe White</v>
      </c>
      <c r="AC56" s="419">
        <f t="shared" si="66"/>
        <v>0</v>
      </c>
      <c r="AD56" s="419" t="str">
        <f t="shared" si="66"/>
        <v>Toby Hughes Webb</v>
      </c>
      <c r="AE56" s="419">
        <f t="shared" si="66"/>
        <v>0</v>
      </c>
      <c r="AF56" s="419">
        <f t="shared" si="66"/>
        <v>0</v>
      </c>
    </row>
    <row r="57" spans="1:32" ht="15" customHeight="1" x14ac:dyDescent="0.3">
      <c r="A57" s="1255">
        <v>26</v>
      </c>
      <c r="B57" s="1185">
        <f>IF($A57&gt;0,VLOOKUP($A57,EventsOrder,2,FALSE)," ")</f>
        <v>1</v>
      </c>
      <c r="C57" s="1186" t="str">
        <f>IF($A57&gt;0,VLOOKUP($A57,EventsOrder,6,FALSE)," ")</f>
        <v xml:space="preserve">800m </v>
      </c>
      <c r="D57" s="1186" t="str">
        <f>IF($A57&gt;0,VLOOKUP($A57,EventsOrder,4,FALSE)," ")</f>
        <v>U16 Female</v>
      </c>
      <c r="E57" s="1187" t="str">
        <f t="shared" si="11"/>
        <v>Y - Worc</v>
      </c>
      <c r="F57" s="1187" t="str">
        <f t="shared" si="12"/>
        <v>U - K&amp;S</v>
      </c>
      <c r="G57" s="1187" t="str">
        <f t="shared" si="13"/>
        <v>G - Royal</v>
      </c>
      <c r="H57" s="1187" t="str">
        <f t="shared" si="14"/>
        <v>D - Strat</v>
      </c>
      <c r="I57" s="1187" t="str">
        <f t="shared" si="15"/>
        <v>M - Sol</v>
      </c>
      <c r="J57" s="1187" t="str">
        <f t="shared" si="16"/>
        <v>F - Tam</v>
      </c>
      <c r="K57" s="1187" t="str">
        <f t="shared" si="17"/>
        <v>R - Rugby</v>
      </c>
      <c r="L57" s="1187" t="str">
        <f t="shared" si="18"/>
        <v>S - BRAT</v>
      </c>
      <c r="M57" s="1188">
        <f>$L$14</f>
        <v>8</v>
      </c>
      <c r="N57" s="1188">
        <f>$H$14</f>
        <v>2</v>
      </c>
      <c r="O57" s="1188">
        <f>$E$14</f>
        <v>3</v>
      </c>
      <c r="P57" s="1188">
        <f>$J$14</f>
        <v>6</v>
      </c>
      <c r="Q57" s="1188">
        <f>$F$14</f>
        <v>5</v>
      </c>
      <c r="R57" s="1188">
        <f>$K$14</f>
        <v>7</v>
      </c>
      <c r="S57" s="1188">
        <f>$G$14</f>
        <v>4</v>
      </c>
      <c r="T57" s="1188">
        <f>$I$14</f>
        <v>1</v>
      </c>
      <c r="U57" s="1188">
        <f t="shared" si="6"/>
        <v>36</v>
      </c>
      <c r="W57" s="32">
        <v>41</v>
      </c>
    </row>
    <row r="58" spans="1:32" ht="15" customHeight="1" x14ac:dyDescent="0.3">
      <c r="A58" s="1189"/>
      <c r="B58" s="1190" t="s">
        <v>149</v>
      </c>
      <c r="C58" s="1191" t="s">
        <v>167</v>
      </c>
      <c r="D58" s="1192">
        <f>COUNTIF(E58:L58,"*")</f>
        <v>7</v>
      </c>
      <c r="E58" s="1193" t="str">
        <f t="shared" ref="E58:L58" si="67">HLOOKUP(LEFT(E57,1),$Y$17:$AF$181,$W58,FALSE)</f>
        <v>Lucy Collins</v>
      </c>
      <c r="F58" s="1193">
        <f t="shared" si="67"/>
        <v>0</v>
      </c>
      <c r="G58" s="1193" t="str">
        <f t="shared" si="67"/>
        <v>Freya Rankin</v>
      </c>
      <c r="H58" s="1193" t="str">
        <f t="shared" si="67"/>
        <v>Annabel Stacey</v>
      </c>
      <c r="I58" s="1193" t="str">
        <f t="shared" si="67"/>
        <v>Orlagh Murphy</v>
      </c>
      <c r="J58" s="1193" t="str">
        <f t="shared" si="67"/>
        <v>Robyn Edwards</v>
      </c>
      <c r="K58" s="1193" t="str">
        <f t="shared" si="67"/>
        <v>Jemima Spiller</v>
      </c>
      <c r="L58" s="1193" t="str">
        <f t="shared" si="67"/>
        <v xml:space="preserve">
Maiara Dalmedo</v>
      </c>
      <c r="M58" s="1188"/>
      <c r="N58" s="1188"/>
      <c r="O58" s="1188"/>
      <c r="P58" s="1188"/>
      <c r="Q58" s="1188"/>
      <c r="R58" s="1188"/>
      <c r="S58" s="1188"/>
      <c r="T58" s="1188"/>
      <c r="U58" s="1188"/>
      <c r="W58" s="32">
        <v>42</v>
      </c>
      <c r="X58" s="1194" t="str">
        <f>MID(D57,5,1)</f>
        <v>F</v>
      </c>
      <c r="Y58" s="419" t="str">
        <f t="shared" ref="Y58:AF58" si="68">VLOOKUP($A57,IF($X58="F",TeamSheetFemale,TeamSheetMale),Y$19,FALSE)</f>
        <v xml:space="preserve">
Maiara Dalmedo</v>
      </c>
      <c r="Z58" s="419">
        <f t="shared" si="68"/>
        <v>0</v>
      </c>
      <c r="AA58" s="419" t="str">
        <f t="shared" si="68"/>
        <v>Freya Rankin</v>
      </c>
      <c r="AB58" s="419" t="str">
        <f t="shared" si="68"/>
        <v>Jemima Spiller</v>
      </c>
      <c r="AC58" s="419" t="str">
        <f t="shared" si="68"/>
        <v>Orlagh Murphy</v>
      </c>
      <c r="AD58" s="419" t="str">
        <f t="shared" si="68"/>
        <v>Annabel Stacey</v>
      </c>
      <c r="AE58" s="419" t="str">
        <f t="shared" si="68"/>
        <v>Robyn Edwards</v>
      </c>
      <c r="AF58" s="419" t="str">
        <f t="shared" si="68"/>
        <v>Lucy Collins</v>
      </c>
    </row>
    <row r="59" spans="1:32" ht="15" customHeight="1" thickBot="1" x14ac:dyDescent="0.35">
      <c r="A59" s="1189"/>
      <c r="B59" s="1195" t="s">
        <v>94</v>
      </c>
      <c r="C59" s="1196" t="s">
        <v>167</v>
      </c>
      <c r="D59" s="1197">
        <f>COUNTIF(E59:L59,"*")</f>
        <v>5</v>
      </c>
      <c r="E59" s="1198">
        <f t="shared" ref="E59:L59" si="69">HLOOKUP(LEFT(E57,1),$Y$17:$AF$181,$W59,FALSE)</f>
        <v>0</v>
      </c>
      <c r="F59" s="1198">
        <f t="shared" si="69"/>
        <v>0</v>
      </c>
      <c r="G59" s="1198">
        <f t="shared" si="69"/>
        <v>0</v>
      </c>
      <c r="H59" s="1198" t="str">
        <f t="shared" si="69"/>
        <v>Lucia Ogilvie-Putt</v>
      </c>
      <c r="I59" s="1198" t="str">
        <f t="shared" si="69"/>
        <v>Lola Fitter</v>
      </c>
      <c r="J59" s="1198" t="str">
        <f t="shared" si="69"/>
        <v>Evie Edmead</v>
      </c>
      <c r="K59" s="1198" t="str">
        <f t="shared" si="69"/>
        <v>Florence Lambert</v>
      </c>
      <c r="L59" s="1198" t="str">
        <f t="shared" si="69"/>
        <v>Isabel Pickering</v>
      </c>
      <c r="M59" s="1188"/>
      <c r="N59" s="1188"/>
      <c r="O59" s="1188"/>
      <c r="P59" s="1188"/>
      <c r="Q59" s="1188"/>
      <c r="R59" s="1188"/>
      <c r="S59" s="1188"/>
      <c r="T59" s="1188"/>
      <c r="U59" s="1188"/>
      <c r="W59" s="32">
        <v>43</v>
      </c>
      <c r="Y59" s="419" t="str">
        <f t="shared" ref="Y59:AF59" si="70">VLOOKUP($A57,IF($X58="F",TeamSheetFemale,TeamSheetMale),Y$20,FALSE)</f>
        <v>Isabel Pickering</v>
      </c>
      <c r="Z59" s="419">
        <f t="shared" si="70"/>
        <v>0</v>
      </c>
      <c r="AA59" s="419">
        <f t="shared" si="70"/>
        <v>0</v>
      </c>
      <c r="AB59" s="419" t="str">
        <f t="shared" si="70"/>
        <v>Florence Lambert</v>
      </c>
      <c r="AC59" s="419" t="str">
        <f t="shared" si="70"/>
        <v>Lola Fitter</v>
      </c>
      <c r="AD59" s="419" t="str">
        <f t="shared" si="70"/>
        <v>Lucia Ogilvie-Putt</v>
      </c>
      <c r="AE59" s="419" t="str">
        <f t="shared" si="70"/>
        <v>Evie Edmead</v>
      </c>
      <c r="AF59" s="419">
        <f t="shared" si="70"/>
        <v>0</v>
      </c>
    </row>
    <row r="60" spans="1:32" ht="15" customHeight="1" x14ac:dyDescent="0.3">
      <c r="A60" s="1255">
        <v>27</v>
      </c>
      <c r="B60" s="1185">
        <f>IF($A60&gt;0,VLOOKUP($A60,EventsOrder,2,FALSE)," ")</f>
        <v>1.1000000000000001</v>
      </c>
      <c r="C60" s="1186" t="str">
        <f>IF($A60&gt;0,VLOOKUP($A60,EventsOrder,6,FALSE)," ")</f>
        <v xml:space="preserve">110m hurdles (U18) </v>
      </c>
      <c r="D60" s="1186" t="str">
        <f>IF($A60&gt;0,VLOOKUP($A60,EventsOrder,4,FALSE)," ")</f>
        <v>U18 Men</v>
      </c>
      <c r="E60" s="1187" t="str">
        <f t="shared" si="11"/>
        <v>D - Strat</v>
      </c>
      <c r="F60" s="1187" t="str">
        <f t="shared" si="12"/>
        <v>R - Rugby</v>
      </c>
      <c r="G60" s="1187" t="str">
        <f t="shared" si="13"/>
        <v>F - Tam</v>
      </c>
      <c r="H60" s="1187" t="str">
        <f t="shared" si="14"/>
        <v>U - K&amp;S</v>
      </c>
      <c r="I60" s="1187" t="str">
        <f t="shared" si="15"/>
        <v>S - BRAT</v>
      </c>
      <c r="J60" s="1187" t="str">
        <f t="shared" si="16"/>
        <v>M - Sol</v>
      </c>
      <c r="K60" s="1187" t="str">
        <f t="shared" si="17"/>
        <v>Y - Worc</v>
      </c>
      <c r="L60" s="1187" t="str">
        <f t="shared" si="18"/>
        <v>G - Royal</v>
      </c>
      <c r="M60" s="1188">
        <f>$J$14</f>
        <v>6</v>
      </c>
      <c r="N60" s="1188">
        <f>$G$14</f>
        <v>4</v>
      </c>
      <c r="O60" s="1188">
        <f>$K$14</f>
        <v>7</v>
      </c>
      <c r="P60" s="1188">
        <f>$H$14</f>
        <v>2</v>
      </c>
      <c r="Q60" s="1188">
        <f>$I$14</f>
        <v>1</v>
      </c>
      <c r="R60" s="1188">
        <f>$F$14</f>
        <v>5</v>
      </c>
      <c r="S60" s="1188">
        <f>$L$14</f>
        <v>8</v>
      </c>
      <c r="T60" s="1188">
        <f>$E$14</f>
        <v>3</v>
      </c>
      <c r="U60" s="1188">
        <f t="shared" si="6"/>
        <v>36</v>
      </c>
      <c r="W60" s="32">
        <v>44</v>
      </c>
    </row>
    <row r="61" spans="1:32" ht="15" customHeight="1" x14ac:dyDescent="0.3">
      <c r="A61" s="1189"/>
      <c r="B61" s="1190" t="s">
        <v>149</v>
      </c>
      <c r="C61" s="1191" t="s">
        <v>167</v>
      </c>
      <c r="D61" s="1192">
        <f>COUNTIF(E61:L61,"*")</f>
        <v>2</v>
      </c>
      <c r="E61" s="1193" t="str">
        <f t="shared" ref="E61:L61" si="71">HLOOKUP(LEFT(E60,1),$Y$17:$AF$181,$W61,FALSE)</f>
        <v>Toby Thomas</v>
      </c>
      <c r="F61" s="1193">
        <f t="shared" si="71"/>
        <v>0</v>
      </c>
      <c r="G61" s="1193">
        <f t="shared" si="71"/>
        <v>0</v>
      </c>
      <c r="H61" s="1193">
        <f t="shared" si="71"/>
        <v>0</v>
      </c>
      <c r="I61" s="1193">
        <f t="shared" si="71"/>
        <v>0</v>
      </c>
      <c r="J61" s="1193" t="str">
        <f t="shared" si="71"/>
        <v>Ben Hilton</v>
      </c>
      <c r="K61" s="1193">
        <f t="shared" si="71"/>
        <v>0</v>
      </c>
      <c r="L61" s="1193">
        <f t="shared" si="71"/>
        <v>0</v>
      </c>
      <c r="M61" s="1188"/>
      <c r="N61" s="1188"/>
      <c r="O61" s="1188"/>
      <c r="P61" s="1188"/>
      <c r="Q61" s="1188"/>
      <c r="R61" s="1188"/>
      <c r="S61" s="1188"/>
      <c r="T61" s="1188"/>
      <c r="U61" s="1188"/>
      <c r="W61" s="32">
        <v>45</v>
      </c>
      <c r="X61" s="1194" t="str">
        <f>MID(D60,5,1)</f>
        <v>M</v>
      </c>
      <c r="Y61" s="419">
        <f t="shared" ref="Y61:AF61" si="72">VLOOKUP($A60,IF($X61="F",TeamSheetFemale,TeamSheetMale),Y$19,FALSE)</f>
        <v>0</v>
      </c>
      <c r="Z61" s="419">
        <f t="shared" si="72"/>
        <v>0</v>
      </c>
      <c r="AA61" s="419">
        <f t="shared" si="72"/>
        <v>0</v>
      </c>
      <c r="AB61" s="419">
        <f t="shared" si="72"/>
        <v>0</v>
      </c>
      <c r="AC61" s="419" t="str">
        <f t="shared" si="72"/>
        <v>Ben Hilton</v>
      </c>
      <c r="AD61" s="419" t="str">
        <f t="shared" si="72"/>
        <v>Toby Thomas</v>
      </c>
      <c r="AE61" s="419">
        <f t="shared" si="72"/>
        <v>0</v>
      </c>
      <c r="AF61" s="419">
        <f t="shared" si="72"/>
        <v>0</v>
      </c>
    </row>
    <row r="62" spans="1:32" ht="15" customHeight="1" thickBot="1" x14ac:dyDescent="0.35">
      <c r="A62" s="1189"/>
      <c r="B62" s="1195" t="s">
        <v>94</v>
      </c>
      <c r="C62" s="1196" t="s">
        <v>167</v>
      </c>
      <c r="D62" s="1197">
        <f>COUNTIF(E62:L62,"*")</f>
        <v>1</v>
      </c>
      <c r="E62" s="1198" t="str">
        <f t="shared" ref="E62:L62" si="73">HLOOKUP(LEFT(E60,1),$Y$17:$AF$181,$W62,FALSE)</f>
        <v>Will Hovell</v>
      </c>
      <c r="F62" s="1198">
        <f t="shared" si="73"/>
        <v>0</v>
      </c>
      <c r="G62" s="1198">
        <f t="shared" si="73"/>
        <v>0</v>
      </c>
      <c r="H62" s="1198">
        <f t="shared" si="73"/>
        <v>0</v>
      </c>
      <c r="I62" s="1198">
        <f t="shared" si="73"/>
        <v>0</v>
      </c>
      <c r="J62" s="1198">
        <f t="shared" si="73"/>
        <v>0</v>
      </c>
      <c r="K62" s="1198">
        <f t="shared" si="73"/>
        <v>0</v>
      </c>
      <c r="L62" s="1198">
        <f t="shared" si="73"/>
        <v>0</v>
      </c>
      <c r="M62" s="1188"/>
      <c r="N62" s="1188"/>
      <c r="O62" s="1188"/>
      <c r="P62" s="1188"/>
      <c r="Q62" s="1188"/>
      <c r="R62" s="1188"/>
      <c r="S62" s="1188"/>
      <c r="T62" s="1188"/>
      <c r="U62" s="1188"/>
      <c r="W62" s="32">
        <v>46</v>
      </c>
      <c r="Y62" s="419">
        <f t="shared" ref="Y62:AF62" si="74">VLOOKUP($A60,IF($X61="F",TeamSheetFemale,TeamSheetMale),Y$20,FALSE)</f>
        <v>0</v>
      </c>
      <c r="Z62" s="419">
        <f t="shared" si="74"/>
        <v>0</v>
      </c>
      <c r="AA62" s="419">
        <f t="shared" si="74"/>
        <v>0</v>
      </c>
      <c r="AB62" s="419">
        <f t="shared" si="74"/>
        <v>0</v>
      </c>
      <c r="AC62" s="419">
        <f t="shared" si="74"/>
        <v>0</v>
      </c>
      <c r="AD62" s="419" t="str">
        <f t="shared" si="74"/>
        <v>Will Hovell</v>
      </c>
      <c r="AE62" s="419">
        <f t="shared" si="74"/>
        <v>0</v>
      </c>
      <c r="AF62" s="419">
        <f t="shared" si="74"/>
        <v>0</v>
      </c>
    </row>
    <row r="63" spans="1:32" ht="15" customHeight="1" x14ac:dyDescent="0.3">
      <c r="A63" s="1255">
        <v>28</v>
      </c>
      <c r="B63" s="1185">
        <f>IF($A63&gt;0,VLOOKUP($A63,EventsOrder,2,FALSE)," ")</f>
        <v>1.2</v>
      </c>
      <c r="C63" s="1186" t="str">
        <f>IF($A63&gt;0,VLOOKUP($A63,EventsOrder,6,FALSE)," ")</f>
        <v xml:space="preserve">800m (U18/U20) </v>
      </c>
      <c r="D63" s="1186" t="str">
        <f>IF($A63&gt;0,VLOOKUP($A63,EventsOrder,4,FALSE)," ")</f>
        <v>U18 Female</v>
      </c>
      <c r="E63" s="1187" t="str">
        <f t="shared" si="11"/>
        <v>M - Sol</v>
      </c>
      <c r="F63" s="1187" t="str">
        <f t="shared" si="12"/>
        <v>F - Tam</v>
      </c>
      <c r="G63" s="1187" t="str">
        <f t="shared" si="13"/>
        <v>R - Rugby</v>
      </c>
      <c r="H63" s="1187" t="str">
        <f t="shared" si="14"/>
        <v>G - Royal</v>
      </c>
      <c r="I63" s="1187" t="str">
        <f t="shared" si="15"/>
        <v>Y - Worc</v>
      </c>
      <c r="J63" s="1187" t="str">
        <f t="shared" si="16"/>
        <v>D - Strat</v>
      </c>
      <c r="K63" s="1187" t="str">
        <f t="shared" si="17"/>
        <v>S - BRAT</v>
      </c>
      <c r="L63" s="1187" t="str">
        <f t="shared" si="18"/>
        <v>U - K&amp;S</v>
      </c>
      <c r="M63" s="1188">
        <f>$F$14</f>
        <v>5</v>
      </c>
      <c r="N63" s="1188">
        <v>7</v>
      </c>
      <c r="O63" s="1188">
        <f>$G$14</f>
        <v>4</v>
      </c>
      <c r="P63" s="1188">
        <f>$E$14</f>
        <v>3</v>
      </c>
      <c r="Q63" s="1188">
        <f>$L$14</f>
        <v>8</v>
      </c>
      <c r="R63" s="1188">
        <f>$J$14</f>
        <v>6</v>
      </c>
      <c r="S63" s="1188">
        <v>1</v>
      </c>
      <c r="T63" s="1188">
        <f>$H$14</f>
        <v>2</v>
      </c>
      <c r="U63" s="1188">
        <f t="shared" si="6"/>
        <v>36</v>
      </c>
      <c r="W63" s="32">
        <v>47</v>
      </c>
    </row>
    <row r="64" spans="1:32" ht="15" customHeight="1" x14ac:dyDescent="0.3">
      <c r="A64" s="1189"/>
      <c r="B64" s="1190" t="s">
        <v>149</v>
      </c>
      <c r="C64" s="1191" t="s">
        <v>167</v>
      </c>
      <c r="D64" s="1192">
        <f>COUNTIF(E64:L64,"*")</f>
        <v>2</v>
      </c>
      <c r="E64" s="1193">
        <f t="shared" ref="E64:L64" si="75">HLOOKUP(LEFT(E63,1),$Y$17:$AF$181,$W64,FALSE)</f>
        <v>0</v>
      </c>
      <c r="F64" s="1193">
        <f t="shared" si="75"/>
        <v>0</v>
      </c>
      <c r="G64" s="1193">
        <f t="shared" si="75"/>
        <v>0</v>
      </c>
      <c r="H64" s="1193">
        <f t="shared" si="75"/>
        <v>0</v>
      </c>
      <c r="I64" s="1193" t="str">
        <f t="shared" si="75"/>
        <v>Ella Purves</v>
      </c>
      <c r="J64" s="1193">
        <f t="shared" si="75"/>
        <v>0</v>
      </c>
      <c r="K64" s="1193" t="str">
        <f t="shared" si="75"/>
        <v>Arriella Dalmedo</v>
      </c>
      <c r="L64" s="1193">
        <f t="shared" si="75"/>
        <v>0</v>
      </c>
      <c r="M64" s="1188"/>
      <c r="N64" s="1188"/>
      <c r="O64" s="1188"/>
      <c r="P64" s="1188"/>
      <c r="Q64" s="1188"/>
      <c r="R64" s="1188"/>
      <c r="S64" s="1188"/>
      <c r="T64" s="1188"/>
      <c r="U64" s="1188"/>
      <c r="W64" s="32">
        <v>48</v>
      </c>
      <c r="X64" s="1194" t="str">
        <f>MID(D63,5,1)</f>
        <v>F</v>
      </c>
      <c r="Y64" s="419" t="str">
        <f t="shared" ref="Y64:AF64" si="76">VLOOKUP($A63,IF($X64="F",TeamSheetFemale,TeamSheetMale),Y$19,FALSE)</f>
        <v>Arriella Dalmedo</v>
      </c>
      <c r="Z64" s="419">
        <f t="shared" si="76"/>
        <v>0</v>
      </c>
      <c r="AA64" s="419">
        <f t="shared" si="76"/>
        <v>0</v>
      </c>
      <c r="AB64" s="419">
        <f t="shared" si="76"/>
        <v>0</v>
      </c>
      <c r="AC64" s="419">
        <f t="shared" si="76"/>
        <v>0</v>
      </c>
      <c r="AD64" s="419">
        <f t="shared" si="76"/>
        <v>0</v>
      </c>
      <c r="AE64" s="419">
        <f t="shared" si="76"/>
        <v>0</v>
      </c>
      <c r="AF64" s="419" t="str">
        <f t="shared" si="76"/>
        <v>Ella Purves</v>
      </c>
    </row>
    <row r="65" spans="1:32" ht="15" customHeight="1" thickBot="1" x14ac:dyDescent="0.35">
      <c r="A65" s="1189"/>
      <c r="B65" s="1195" t="s">
        <v>94</v>
      </c>
      <c r="C65" s="1196" t="s">
        <v>167</v>
      </c>
      <c r="D65" s="1197">
        <f>COUNTIF(E65:L65,"*")</f>
        <v>0</v>
      </c>
      <c r="E65" s="1198">
        <f t="shared" ref="E65:L65" si="77">HLOOKUP(LEFT(E63,1),$Y$17:$AF$181,$W65,FALSE)</f>
        <v>0</v>
      </c>
      <c r="F65" s="1198">
        <f t="shared" si="77"/>
        <v>0</v>
      </c>
      <c r="G65" s="1198">
        <f t="shared" si="77"/>
        <v>0</v>
      </c>
      <c r="H65" s="1198">
        <f t="shared" si="77"/>
        <v>0</v>
      </c>
      <c r="I65" s="1198">
        <f t="shared" si="77"/>
        <v>0</v>
      </c>
      <c r="J65" s="1198">
        <f t="shared" si="77"/>
        <v>0</v>
      </c>
      <c r="K65" s="1198">
        <f t="shared" si="77"/>
        <v>0</v>
      </c>
      <c r="L65" s="1198">
        <f t="shared" si="77"/>
        <v>0</v>
      </c>
      <c r="M65" s="1188"/>
      <c r="N65" s="1188"/>
      <c r="O65" s="1188"/>
      <c r="P65" s="1188"/>
      <c r="Q65" s="1188"/>
      <c r="R65" s="1188"/>
      <c r="S65" s="1188"/>
      <c r="T65" s="1188"/>
      <c r="U65" s="1188"/>
      <c r="W65" s="32">
        <v>49</v>
      </c>
      <c r="Y65" s="419">
        <f t="shared" ref="Y65:AF65" si="78">VLOOKUP($A63,IF($X64="F",TeamSheetFemale,TeamSheetMale),Y$20,FALSE)</f>
        <v>0</v>
      </c>
      <c r="Z65" s="419">
        <f t="shared" si="78"/>
        <v>0</v>
      </c>
      <c r="AA65" s="419">
        <f t="shared" si="78"/>
        <v>0</v>
      </c>
      <c r="AB65" s="419">
        <f t="shared" si="78"/>
        <v>0</v>
      </c>
      <c r="AC65" s="419">
        <f t="shared" si="78"/>
        <v>0</v>
      </c>
      <c r="AD65" s="419">
        <f t="shared" si="78"/>
        <v>0</v>
      </c>
      <c r="AE65" s="419">
        <f t="shared" si="78"/>
        <v>0</v>
      </c>
      <c r="AF65" s="419">
        <f t="shared" si="78"/>
        <v>0</v>
      </c>
    </row>
    <row r="66" spans="1:32" ht="15" customHeight="1" x14ac:dyDescent="0.3">
      <c r="A66" s="1255">
        <v>33</v>
      </c>
      <c r="B66" s="1185">
        <f>IF($A66&gt;0,VLOOKUP($A66,EventsOrder,2,FALSE)," ")</f>
        <v>1.3</v>
      </c>
      <c r="C66" s="1186" t="str">
        <f>IF($A66&gt;0,VLOOKUP($A66,EventsOrder,6,FALSE)," ")</f>
        <v xml:space="preserve">400m (U18/U20) </v>
      </c>
      <c r="D66" s="1186" t="str">
        <f>IF($A66&gt;0,VLOOKUP($A66,EventsOrder,4,FALSE)," ")</f>
        <v>U18 Female</v>
      </c>
      <c r="E66" s="1187" t="str">
        <f t="shared" si="11"/>
        <v>F - Tam</v>
      </c>
      <c r="F66" s="1187" t="str">
        <f t="shared" si="12"/>
        <v>G - Royal</v>
      </c>
      <c r="G66" s="1187" t="str">
        <f t="shared" si="13"/>
        <v>S - BRAT</v>
      </c>
      <c r="H66" s="1187" t="str">
        <f t="shared" si="14"/>
        <v>R - Rugby</v>
      </c>
      <c r="I66" s="1187" t="str">
        <f t="shared" si="15"/>
        <v>U - K&amp;S</v>
      </c>
      <c r="J66" s="1187" t="str">
        <f t="shared" si="16"/>
        <v>Y - Worc</v>
      </c>
      <c r="K66" s="1187" t="str">
        <f t="shared" si="17"/>
        <v>D - Strat</v>
      </c>
      <c r="L66" s="1187" t="str">
        <f t="shared" si="18"/>
        <v>M - Sol</v>
      </c>
      <c r="M66" s="1188">
        <f>$K$14</f>
        <v>7</v>
      </c>
      <c r="N66" s="1188">
        <f>$E$14</f>
        <v>3</v>
      </c>
      <c r="O66" s="1188">
        <f>$I$14</f>
        <v>1</v>
      </c>
      <c r="P66" s="1188">
        <f>$G$14</f>
        <v>4</v>
      </c>
      <c r="Q66" s="1188">
        <f>$H$14</f>
        <v>2</v>
      </c>
      <c r="R66" s="1188">
        <f>$L$14</f>
        <v>8</v>
      </c>
      <c r="S66" s="1188">
        <f>$J$14</f>
        <v>6</v>
      </c>
      <c r="T66" s="1188">
        <f>$F$14</f>
        <v>5</v>
      </c>
      <c r="U66" s="1188">
        <f>SUM(M66:T66)</f>
        <v>36</v>
      </c>
      <c r="W66" s="32">
        <v>50</v>
      </c>
    </row>
    <row r="67" spans="1:32" ht="15" customHeight="1" x14ac:dyDescent="0.3">
      <c r="A67" s="1189"/>
      <c r="B67" s="1190" t="s">
        <v>149</v>
      </c>
      <c r="C67" s="1191" t="s">
        <v>167</v>
      </c>
      <c r="D67" s="1192">
        <f>COUNTIF(E67:L67,"*")</f>
        <v>3</v>
      </c>
      <c r="E67" s="1193">
        <f t="shared" ref="E67:L67" si="79">HLOOKUP(LEFT(E66,1),$Y$17:$AF$181,$W67,FALSE)</f>
        <v>0</v>
      </c>
      <c r="F67" s="1193" t="str">
        <f t="shared" si="79"/>
        <v>Lennie Covey</v>
      </c>
      <c r="G67" s="1193" t="str">
        <f t="shared" si="79"/>
        <v>Arriella Dalmedo</v>
      </c>
      <c r="H67" s="1193">
        <f t="shared" si="79"/>
        <v>0</v>
      </c>
      <c r="I67" s="1193">
        <f t="shared" si="79"/>
        <v>0</v>
      </c>
      <c r="J67" s="1193">
        <f t="shared" si="79"/>
        <v>0</v>
      </c>
      <c r="K67" s="1193" t="str">
        <f t="shared" si="79"/>
        <v>Ella Smith</v>
      </c>
      <c r="L67" s="1193">
        <f t="shared" si="79"/>
        <v>0</v>
      </c>
      <c r="M67" s="1188"/>
      <c r="N67" s="1188"/>
      <c r="O67" s="1188"/>
      <c r="P67" s="1188"/>
      <c r="Q67" s="1188"/>
      <c r="R67" s="1188"/>
      <c r="S67" s="1188"/>
      <c r="T67" s="1188"/>
      <c r="U67" s="1188"/>
      <c r="W67" s="32">
        <v>51</v>
      </c>
      <c r="X67" s="1194" t="str">
        <f>MID(D66,5,1)</f>
        <v>F</v>
      </c>
      <c r="Y67" s="419" t="str">
        <f t="shared" ref="Y67:AF67" si="80">VLOOKUP($A66,IF($X67="F",TeamSheetFemale,TeamSheetMale),Y$19,FALSE)</f>
        <v>Arriella Dalmedo</v>
      </c>
      <c r="Z67" s="419">
        <f t="shared" si="80"/>
        <v>0</v>
      </c>
      <c r="AA67" s="419" t="str">
        <f t="shared" si="80"/>
        <v>Lennie Covey</v>
      </c>
      <c r="AB67" s="419">
        <f t="shared" si="80"/>
        <v>0</v>
      </c>
      <c r="AC67" s="419">
        <f t="shared" si="80"/>
        <v>0</v>
      </c>
      <c r="AD67" s="419" t="str">
        <f t="shared" si="80"/>
        <v>Ella Smith</v>
      </c>
      <c r="AE67" s="419">
        <f t="shared" si="80"/>
        <v>0</v>
      </c>
      <c r="AF67" s="419">
        <f t="shared" si="80"/>
        <v>0</v>
      </c>
    </row>
    <row r="68" spans="1:32" ht="15" customHeight="1" thickBot="1" x14ac:dyDescent="0.35">
      <c r="A68" s="1189"/>
      <c r="B68" s="1195" t="s">
        <v>94</v>
      </c>
      <c r="C68" s="1196" t="s">
        <v>167</v>
      </c>
      <c r="D68" s="1197">
        <f>COUNTIF(E68:L68,"*")</f>
        <v>0</v>
      </c>
      <c r="E68" s="1198">
        <f t="shared" ref="E68:L68" si="81">HLOOKUP(LEFT(E66,1),$Y$17:$AF$181,$W68,FALSE)</f>
        <v>0</v>
      </c>
      <c r="F68" s="1198">
        <f t="shared" si="81"/>
        <v>0</v>
      </c>
      <c r="G68" s="1198">
        <f t="shared" si="81"/>
        <v>0</v>
      </c>
      <c r="H68" s="1198">
        <f t="shared" si="81"/>
        <v>0</v>
      </c>
      <c r="I68" s="1198">
        <f t="shared" si="81"/>
        <v>0</v>
      </c>
      <c r="J68" s="1198">
        <f t="shared" si="81"/>
        <v>0</v>
      </c>
      <c r="K68" s="1198">
        <f t="shared" si="81"/>
        <v>0</v>
      </c>
      <c r="L68" s="1198">
        <f t="shared" si="81"/>
        <v>0</v>
      </c>
      <c r="M68" s="1188"/>
      <c r="N68" s="1188"/>
      <c r="O68" s="1188"/>
      <c r="P68" s="1188"/>
      <c r="Q68" s="1188"/>
      <c r="R68" s="1188"/>
      <c r="S68" s="1188"/>
      <c r="T68" s="1188"/>
      <c r="U68" s="1188"/>
      <c r="W68" s="32">
        <v>52</v>
      </c>
      <c r="Y68" s="419">
        <f t="shared" ref="Y68:AF68" si="82">VLOOKUP($A66,IF($X67="F",TeamSheetFemale,TeamSheetMale),Y$20,FALSE)</f>
        <v>0</v>
      </c>
      <c r="Z68" s="419">
        <f t="shared" si="82"/>
        <v>0</v>
      </c>
      <c r="AA68" s="419">
        <f t="shared" si="82"/>
        <v>0</v>
      </c>
      <c r="AB68" s="419">
        <f t="shared" si="82"/>
        <v>0</v>
      </c>
      <c r="AC68" s="419">
        <f t="shared" si="82"/>
        <v>0</v>
      </c>
      <c r="AD68" s="419">
        <f t="shared" si="82"/>
        <v>0</v>
      </c>
      <c r="AE68" s="419">
        <f t="shared" si="82"/>
        <v>0</v>
      </c>
      <c r="AF68" s="419">
        <f t="shared" si="82"/>
        <v>0</v>
      </c>
    </row>
    <row r="69" spans="1:32" ht="15" customHeight="1" x14ac:dyDescent="0.3">
      <c r="A69" s="1255">
        <v>31</v>
      </c>
      <c r="B69" s="1185">
        <f>IF($A69&gt;0,VLOOKUP($A69,EventsOrder,2,FALSE)," ")</f>
        <v>1.35</v>
      </c>
      <c r="C69" s="1186" t="str">
        <f>IF($A69&gt;0,VLOOKUP($A69,EventsOrder,6,FALSE)," ")</f>
        <v xml:space="preserve">400m (U18/U20) </v>
      </c>
      <c r="D69" s="1186" t="str">
        <f>IF($A69&gt;0,VLOOKUP($A69,EventsOrder,4,FALSE)," ")</f>
        <v>U18 Men</v>
      </c>
      <c r="E69" s="1187" t="str">
        <f t="shared" si="11"/>
        <v>S - BRAT</v>
      </c>
      <c r="F69" s="1187" t="str">
        <f t="shared" si="12"/>
        <v>G - Royal</v>
      </c>
      <c r="G69" s="1187" t="str">
        <f t="shared" si="13"/>
        <v>D - Strat</v>
      </c>
      <c r="H69" s="1187" t="str">
        <f t="shared" si="14"/>
        <v>Y - Worc</v>
      </c>
      <c r="I69" s="1187" t="str">
        <f t="shared" si="15"/>
        <v>F - Tam</v>
      </c>
      <c r="J69" s="1187" t="str">
        <f t="shared" si="16"/>
        <v>R - Rugby</v>
      </c>
      <c r="K69" s="1187" t="str">
        <f t="shared" si="17"/>
        <v>U - K&amp;S</v>
      </c>
      <c r="L69" s="1187" t="str">
        <f t="shared" si="18"/>
        <v>M - Sol</v>
      </c>
      <c r="M69" s="1188">
        <f>$I$14</f>
        <v>1</v>
      </c>
      <c r="N69" s="1188">
        <f>$E$14</f>
        <v>3</v>
      </c>
      <c r="O69" s="1188">
        <f>$J$14</f>
        <v>6</v>
      </c>
      <c r="P69" s="1188">
        <f>$L$14</f>
        <v>8</v>
      </c>
      <c r="Q69" s="1188">
        <f>$K$14</f>
        <v>7</v>
      </c>
      <c r="R69" s="1188">
        <f>$G$14</f>
        <v>4</v>
      </c>
      <c r="S69" s="1188">
        <f>$H$14</f>
        <v>2</v>
      </c>
      <c r="T69" s="1188">
        <v>5</v>
      </c>
      <c r="U69" s="1188">
        <f t="shared" si="6"/>
        <v>36</v>
      </c>
      <c r="W69" s="32">
        <v>53</v>
      </c>
    </row>
    <row r="70" spans="1:32" ht="15" customHeight="1" x14ac:dyDescent="0.3">
      <c r="A70" s="1189"/>
      <c r="B70" s="1190" t="s">
        <v>149</v>
      </c>
      <c r="C70" s="1191" t="s">
        <v>167</v>
      </c>
      <c r="D70" s="1192">
        <f>COUNTIF(E70:L70,"*")</f>
        <v>3</v>
      </c>
      <c r="E70" s="1193">
        <f t="shared" ref="E70:L70" si="83">HLOOKUP(LEFT(E69,1),$Y$17:$AF$181,$W70,FALSE)</f>
        <v>0</v>
      </c>
      <c r="F70" s="1193">
        <f t="shared" si="83"/>
        <v>0</v>
      </c>
      <c r="G70" s="1193" t="str">
        <f t="shared" si="83"/>
        <v>Tom Stanton</v>
      </c>
      <c r="H70" s="1193" t="str">
        <f t="shared" si="83"/>
        <v>Santiago Tomayo</v>
      </c>
      <c r="I70" s="1193">
        <f t="shared" si="83"/>
        <v>0</v>
      </c>
      <c r="J70" s="1193">
        <f t="shared" si="83"/>
        <v>0</v>
      </c>
      <c r="K70" s="1193" t="str">
        <f t="shared" si="83"/>
        <v>Alex Payne</v>
      </c>
      <c r="L70" s="1193">
        <f t="shared" si="83"/>
        <v>0</v>
      </c>
      <c r="M70" s="1188"/>
      <c r="N70" s="1188"/>
      <c r="O70" s="1188"/>
      <c r="P70" s="1188"/>
      <c r="Q70" s="1188"/>
      <c r="R70" s="1188"/>
      <c r="S70" s="1188"/>
      <c r="T70" s="1188"/>
      <c r="U70" s="1188"/>
      <c r="W70" s="32">
        <v>54</v>
      </c>
      <c r="X70" s="1194" t="str">
        <f>MID(D69,5,1)</f>
        <v>M</v>
      </c>
      <c r="Y70" s="419">
        <f t="shared" ref="Y70:AF70" si="84">VLOOKUP($A69,IF($X70="F",TeamSheetFemale,TeamSheetMale),Y$19,FALSE)</f>
        <v>0</v>
      </c>
      <c r="Z70" s="419" t="str">
        <f t="shared" si="84"/>
        <v>Alex Payne</v>
      </c>
      <c r="AA70" s="419">
        <f t="shared" si="84"/>
        <v>0</v>
      </c>
      <c r="AB70" s="419">
        <f t="shared" si="84"/>
        <v>0</v>
      </c>
      <c r="AC70" s="419">
        <f t="shared" si="84"/>
        <v>0</v>
      </c>
      <c r="AD70" s="419" t="str">
        <f t="shared" si="84"/>
        <v>Tom Stanton</v>
      </c>
      <c r="AE70" s="419">
        <f t="shared" si="84"/>
        <v>0</v>
      </c>
      <c r="AF70" s="419" t="str">
        <f t="shared" si="84"/>
        <v>Santiago Tomayo</v>
      </c>
    </row>
    <row r="71" spans="1:32" ht="15" customHeight="1" thickBot="1" x14ac:dyDescent="0.35">
      <c r="A71" s="1189"/>
      <c r="B71" s="1195" t="s">
        <v>94</v>
      </c>
      <c r="C71" s="1196" t="s">
        <v>167</v>
      </c>
      <c r="D71" s="1197">
        <f>COUNTIF(E71:L71,"*")</f>
        <v>1</v>
      </c>
      <c r="E71" s="1198">
        <f t="shared" ref="E71:L71" si="85">HLOOKUP(LEFT(E69,1),$Y$17:$AF$181,$W71,FALSE)</f>
        <v>0</v>
      </c>
      <c r="F71" s="1198">
        <f t="shared" si="85"/>
        <v>0</v>
      </c>
      <c r="G71" s="1198" t="str">
        <f t="shared" si="85"/>
        <v>Toby Thomas</v>
      </c>
      <c r="H71" s="1198">
        <f t="shared" si="85"/>
        <v>0</v>
      </c>
      <c r="I71" s="1198">
        <f t="shared" si="85"/>
        <v>0</v>
      </c>
      <c r="J71" s="1198">
        <f t="shared" si="85"/>
        <v>0</v>
      </c>
      <c r="K71" s="1198">
        <f t="shared" si="85"/>
        <v>0</v>
      </c>
      <c r="L71" s="1198">
        <f t="shared" si="85"/>
        <v>0</v>
      </c>
      <c r="M71" s="1188"/>
      <c r="N71" s="1188"/>
      <c r="O71" s="1188"/>
      <c r="P71" s="1188"/>
      <c r="Q71" s="1188"/>
      <c r="R71" s="1188"/>
      <c r="S71" s="1188"/>
      <c r="T71" s="1188"/>
      <c r="U71" s="1188"/>
      <c r="W71" s="32">
        <v>55</v>
      </c>
      <c r="Y71" s="419">
        <f t="shared" ref="Y71:AF71" si="86">VLOOKUP($A69,IF($X70="F",TeamSheetFemale,TeamSheetMale),Y$20,FALSE)</f>
        <v>0</v>
      </c>
      <c r="Z71" s="419">
        <f t="shared" si="86"/>
        <v>0</v>
      </c>
      <c r="AA71" s="419">
        <f t="shared" si="86"/>
        <v>0</v>
      </c>
      <c r="AB71" s="419">
        <f t="shared" si="86"/>
        <v>0</v>
      </c>
      <c r="AC71" s="419">
        <f t="shared" si="86"/>
        <v>0</v>
      </c>
      <c r="AD71" s="419" t="str">
        <f t="shared" si="86"/>
        <v>Toby Thomas</v>
      </c>
      <c r="AE71" s="419">
        <f t="shared" si="86"/>
        <v>0</v>
      </c>
      <c r="AF71" s="419">
        <f t="shared" si="86"/>
        <v>0</v>
      </c>
    </row>
    <row r="72" spans="1:32" ht="15" customHeight="1" x14ac:dyDescent="0.3">
      <c r="A72" s="1255">
        <v>63</v>
      </c>
      <c r="B72" s="1185">
        <f>IF($A72&gt;0,VLOOKUP($A72,EventsOrder,2,FALSE)," ")</f>
        <v>1.4</v>
      </c>
      <c r="C72" s="1186" t="str">
        <f>IF($A72&gt;0,VLOOKUP($A72,EventsOrder,6,FALSE)," ")</f>
        <v xml:space="preserve">300m </v>
      </c>
      <c r="D72" s="1186" t="str">
        <f>IF($A72&gt;0,VLOOKUP($A72,EventsOrder,4,FALSE)," ")</f>
        <v>U16 Female</v>
      </c>
      <c r="E72" s="1187" t="str">
        <f t="shared" si="11"/>
        <v>S - BRAT</v>
      </c>
      <c r="F72" s="1187" t="str">
        <f t="shared" si="12"/>
        <v>U - K&amp;S</v>
      </c>
      <c r="G72" s="1187" t="str">
        <f t="shared" si="13"/>
        <v>M - Sol</v>
      </c>
      <c r="H72" s="1187" t="str">
        <f t="shared" si="14"/>
        <v>D - Strat</v>
      </c>
      <c r="I72" s="1187" t="str">
        <f t="shared" si="15"/>
        <v>G - Royal</v>
      </c>
      <c r="J72" s="1187" t="str">
        <f t="shared" si="16"/>
        <v>F - Tam</v>
      </c>
      <c r="K72" s="1187" t="str">
        <f t="shared" si="17"/>
        <v>R - Rugby</v>
      </c>
      <c r="L72" s="1187" t="str">
        <f t="shared" si="18"/>
        <v>Y - Worc</v>
      </c>
      <c r="M72" s="1188">
        <v>1</v>
      </c>
      <c r="N72" s="1188">
        <f>$H$14</f>
        <v>2</v>
      </c>
      <c r="O72" s="1188">
        <f>$F$14</f>
        <v>5</v>
      </c>
      <c r="P72" s="1188">
        <f>$J$14</f>
        <v>6</v>
      </c>
      <c r="Q72" s="1188">
        <v>3</v>
      </c>
      <c r="R72" s="1188">
        <f>$K$14</f>
        <v>7</v>
      </c>
      <c r="S72" s="1188">
        <v>4</v>
      </c>
      <c r="T72" s="1188">
        <f>$L$14</f>
        <v>8</v>
      </c>
      <c r="U72" s="1188">
        <f t="shared" si="6"/>
        <v>36</v>
      </c>
      <c r="W72" s="32">
        <v>56</v>
      </c>
    </row>
    <row r="73" spans="1:32" ht="15" customHeight="1" x14ac:dyDescent="0.3">
      <c r="A73" s="1189"/>
      <c r="B73" s="1190" t="s">
        <v>149</v>
      </c>
      <c r="C73" s="1191" t="s">
        <v>167</v>
      </c>
      <c r="D73" s="1192">
        <f>COUNTIF(E73:L73,"*")</f>
        <v>8</v>
      </c>
      <c r="E73" s="1193" t="str">
        <f t="shared" ref="E73:L73" si="87">HLOOKUP(LEFT(E72,1),$Y$17:$AF$181,$W73,FALSE)</f>
        <v>Jessika Cox</v>
      </c>
      <c r="F73" s="1193" t="str">
        <f t="shared" si="87"/>
        <v>Georgia Kiernan</v>
      </c>
      <c r="G73" s="1193" t="str">
        <f t="shared" si="87"/>
        <v>Orlagh Murphy</v>
      </c>
      <c r="H73" s="1193" t="str">
        <f t="shared" si="87"/>
        <v>Lolita Newby Vincent</v>
      </c>
      <c r="I73" s="1193" t="str">
        <f t="shared" si="87"/>
        <v>Jessica Spiby</v>
      </c>
      <c r="J73" s="1193" t="str">
        <f t="shared" si="87"/>
        <v>Rosa Farmer</v>
      </c>
      <c r="K73" s="1193" t="str">
        <f t="shared" si="87"/>
        <v>Chloe Pallett</v>
      </c>
      <c r="L73" s="1193" t="str">
        <f t="shared" si="87"/>
        <v>Felicity Moore</v>
      </c>
      <c r="M73" s="1188"/>
      <c r="N73" s="1188"/>
      <c r="O73" s="1188"/>
      <c r="P73" s="1188"/>
      <c r="Q73" s="1188"/>
      <c r="R73" s="1188"/>
      <c r="S73" s="1188"/>
      <c r="T73" s="1188"/>
      <c r="U73" s="1188"/>
      <c r="W73" s="32">
        <v>57</v>
      </c>
      <c r="X73" s="1194" t="str">
        <f>MID(D72,5,1)</f>
        <v>F</v>
      </c>
      <c r="Y73" s="419" t="str">
        <f t="shared" ref="Y73:AF73" si="88">VLOOKUP($A72,IF($X73="F",TeamSheetFemale,TeamSheetMale),Y$19,FALSE)</f>
        <v>Jessika Cox</v>
      </c>
      <c r="Z73" s="419" t="str">
        <f t="shared" si="88"/>
        <v>Georgia Kiernan</v>
      </c>
      <c r="AA73" s="419" t="str">
        <f t="shared" si="88"/>
        <v>Jessica Spiby</v>
      </c>
      <c r="AB73" s="419" t="str">
        <f t="shared" si="88"/>
        <v>Chloe Pallett</v>
      </c>
      <c r="AC73" s="419" t="str">
        <f t="shared" si="88"/>
        <v>Orlagh Murphy</v>
      </c>
      <c r="AD73" s="419" t="str">
        <f t="shared" si="88"/>
        <v>Lolita Newby Vincent</v>
      </c>
      <c r="AE73" s="419" t="str">
        <f t="shared" si="88"/>
        <v>Rosa Farmer</v>
      </c>
      <c r="AF73" s="419" t="str">
        <f t="shared" si="88"/>
        <v>Felicity Moore</v>
      </c>
    </row>
    <row r="74" spans="1:32" ht="15" customHeight="1" thickBot="1" x14ac:dyDescent="0.35">
      <c r="A74" s="1189"/>
      <c r="B74" s="1195" t="s">
        <v>94</v>
      </c>
      <c r="C74" s="1196" t="s">
        <v>167</v>
      </c>
      <c r="D74" s="1197">
        <f>COUNTIF(E74:L74,"*")</f>
        <v>8</v>
      </c>
      <c r="E74" s="1198" t="str">
        <f t="shared" ref="E74:L74" si="89">HLOOKUP(LEFT(E72,1),$Y$17:$AF$181,$W74,FALSE)</f>
        <v>Josephine Colclough</v>
      </c>
      <c r="F74" s="1198" t="str">
        <f t="shared" si="89"/>
        <v>Nicole Bevan</v>
      </c>
      <c r="G74" s="1198" t="str">
        <f t="shared" si="89"/>
        <v>Ava Thompson</v>
      </c>
      <c r="H74" s="1198" t="str">
        <f t="shared" si="89"/>
        <v>Lottie Willis</v>
      </c>
      <c r="I74" s="1198" t="str">
        <f t="shared" si="89"/>
        <v>Zareen Ulhaq</v>
      </c>
      <c r="J74" s="1198" t="str">
        <f t="shared" si="89"/>
        <v>Tilly Farmer</v>
      </c>
      <c r="K74" s="1198" t="str">
        <f t="shared" si="89"/>
        <v>Orla Gibson</v>
      </c>
      <c r="L74" s="1198" t="str">
        <f t="shared" si="89"/>
        <v>Lucy Collins</v>
      </c>
      <c r="M74" s="1188"/>
      <c r="N74" s="1188"/>
      <c r="O74" s="1188"/>
      <c r="P74" s="1188"/>
      <c r="Q74" s="1188"/>
      <c r="R74" s="1188"/>
      <c r="S74" s="1188"/>
      <c r="T74" s="1188"/>
      <c r="U74" s="1188"/>
      <c r="W74" s="32">
        <v>58</v>
      </c>
      <c r="Y74" s="419" t="str">
        <f t="shared" ref="Y74:AF74" si="90">VLOOKUP($A72,IF($X73="F",TeamSheetFemale,TeamSheetMale),Y$20,FALSE)</f>
        <v>Josephine Colclough</v>
      </c>
      <c r="Z74" s="419" t="str">
        <f t="shared" si="90"/>
        <v>Nicole Bevan</v>
      </c>
      <c r="AA74" s="419" t="str">
        <f t="shared" si="90"/>
        <v>Zareen Ulhaq</v>
      </c>
      <c r="AB74" s="419" t="str">
        <f t="shared" si="90"/>
        <v>Orla Gibson</v>
      </c>
      <c r="AC74" s="419" t="str">
        <f t="shared" si="90"/>
        <v>Ava Thompson</v>
      </c>
      <c r="AD74" s="419" t="str">
        <f t="shared" si="90"/>
        <v>Lottie Willis</v>
      </c>
      <c r="AE74" s="419" t="str">
        <f t="shared" si="90"/>
        <v>Tilly Farmer</v>
      </c>
      <c r="AF74" s="419" t="str">
        <f t="shared" si="90"/>
        <v>Lucy Collins</v>
      </c>
    </row>
    <row r="75" spans="1:32" ht="15" customHeight="1" x14ac:dyDescent="0.3">
      <c r="A75" s="1255">
        <v>64</v>
      </c>
      <c r="B75" s="1185">
        <f>IF($A75&gt;0,VLOOKUP($A75,EventsOrder,2,FALSE)," ")</f>
        <v>1.45</v>
      </c>
      <c r="C75" s="1186" t="str">
        <f>IF($A75&gt;0,VLOOKUP($A75,EventsOrder,6,FALSE)," ")</f>
        <v xml:space="preserve">300m  </v>
      </c>
      <c r="D75" s="1186" t="str">
        <f>IF($A75&gt;0,VLOOKUP($A75,EventsOrder,4,FALSE)," ")</f>
        <v>U16 Male</v>
      </c>
      <c r="E75" s="1187" t="str">
        <f t="shared" si="11"/>
        <v>U - K&amp;S</v>
      </c>
      <c r="F75" s="1187" t="str">
        <f t="shared" si="12"/>
        <v>R - Rugby</v>
      </c>
      <c r="G75" s="1187" t="str">
        <f t="shared" si="13"/>
        <v>D - Strat</v>
      </c>
      <c r="H75" s="1187" t="str">
        <f t="shared" si="14"/>
        <v>Y - Worc</v>
      </c>
      <c r="I75" s="1187" t="str">
        <f t="shared" si="15"/>
        <v>M - Sol</v>
      </c>
      <c r="J75" s="1187" t="str">
        <f t="shared" si="16"/>
        <v>G - Royal</v>
      </c>
      <c r="K75" s="1187" t="str">
        <f t="shared" si="17"/>
        <v>S - BRAT</v>
      </c>
      <c r="L75" s="1187" t="str">
        <f t="shared" si="18"/>
        <v>F - Tam</v>
      </c>
      <c r="M75" s="1188">
        <f>$H$14</f>
        <v>2</v>
      </c>
      <c r="N75" s="1188">
        <f>$G$14</f>
        <v>4</v>
      </c>
      <c r="O75" s="1188">
        <f>$J$14</f>
        <v>6</v>
      </c>
      <c r="P75" s="1188">
        <f>$L$14</f>
        <v>8</v>
      </c>
      <c r="Q75" s="1188">
        <f>$F$14</f>
        <v>5</v>
      </c>
      <c r="R75" s="1188">
        <f>$E$14</f>
        <v>3</v>
      </c>
      <c r="S75" s="1188">
        <f>$I$14</f>
        <v>1</v>
      </c>
      <c r="T75" s="1188">
        <f>$K$14</f>
        <v>7</v>
      </c>
      <c r="U75" s="1188">
        <f t="shared" si="6"/>
        <v>36</v>
      </c>
      <c r="W75" s="32">
        <v>59</v>
      </c>
    </row>
    <row r="76" spans="1:32" ht="15" customHeight="1" x14ac:dyDescent="0.3">
      <c r="A76" s="1189"/>
      <c r="B76" s="1190" t="s">
        <v>149</v>
      </c>
      <c r="C76" s="1191" t="s">
        <v>167</v>
      </c>
      <c r="D76" s="1192">
        <f>COUNTIF(E76:L76,"*")</f>
        <v>7</v>
      </c>
      <c r="E76" s="1193">
        <f t="shared" ref="E76:L76" si="91">HLOOKUP(LEFT(E75,1),$Y$17:$AF$181,$W76,FALSE)</f>
        <v>0</v>
      </c>
      <c r="F76" s="1193" t="str">
        <f t="shared" si="91"/>
        <v>Oliver Thomas</v>
      </c>
      <c r="G76" s="1193" t="str">
        <f t="shared" si="91"/>
        <v>Finn Jackson</v>
      </c>
      <c r="H76" s="1193" t="str">
        <f t="shared" si="91"/>
        <v>Oscar Farmer</v>
      </c>
      <c r="I76" s="1193" t="str">
        <f t="shared" si="91"/>
        <v>Zakariya Rush</v>
      </c>
      <c r="J76" s="1193" t="str">
        <f t="shared" si="91"/>
        <v>Louis Matthews</v>
      </c>
      <c r="K76" s="1193" t="str">
        <f t="shared" si="91"/>
        <v>Muayyad Mohamed</v>
      </c>
      <c r="L76" s="1193" t="str">
        <f t="shared" si="91"/>
        <v>Lucas Lee</v>
      </c>
      <c r="M76" s="1188"/>
      <c r="N76" s="1188"/>
      <c r="O76" s="1188"/>
      <c r="P76" s="1188"/>
      <c r="Q76" s="1188"/>
      <c r="R76" s="1188"/>
      <c r="S76" s="1188"/>
      <c r="T76" s="1188"/>
      <c r="U76" s="1188"/>
      <c r="W76" s="32">
        <v>60</v>
      </c>
      <c r="X76" s="1194" t="str">
        <f>MID(D75,5,1)</f>
        <v>M</v>
      </c>
      <c r="Y76" s="419" t="str">
        <f t="shared" ref="Y76:AF76" si="92">VLOOKUP($A75,IF($X76="F",TeamSheetFemale,TeamSheetMale),Y$19,FALSE)</f>
        <v>Muayyad Mohamed</v>
      </c>
      <c r="Z76" s="419">
        <f t="shared" si="92"/>
        <v>0</v>
      </c>
      <c r="AA76" s="419" t="str">
        <f t="shared" si="92"/>
        <v>Louis Matthews</v>
      </c>
      <c r="AB76" s="419" t="str">
        <f t="shared" si="92"/>
        <v>Oliver Thomas</v>
      </c>
      <c r="AC76" s="419" t="str">
        <f t="shared" si="92"/>
        <v>Zakariya Rush</v>
      </c>
      <c r="AD76" s="419" t="str">
        <f t="shared" si="92"/>
        <v>Finn Jackson</v>
      </c>
      <c r="AE76" s="419" t="str">
        <f t="shared" si="92"/>
        <v>Lucas Lee</v>
      </c>
      <c r="AF76" s="419" t="str">
        <f t="shared" si="92"/>
        <v>Oscar Farmer</v>
      </c>
    </row>
    <row r="77" spans="1:32" ht="15" customHeight="1" thickBot="1" x14ac:dyDescent="0.35">
      <c r="A77" s="1189"/>
      <c r="B77" s="1195" t="s">
        <v>94</v>
      </c>
      <c r="C77" s="1196" t="s">
        <v>167</v>
      </c>
      <c r="D77" s="1197">
        <f>COUNTIF(E77:L77,"*")</f>
        <v>6</v>
      </c>
      <c r="E77" s="1198">
        <f t="shared" ref="E77:L77" si="93">HLOOKUP(LEFT(E75,1),$Y$17:$AF$181,$W77,FALSE)</f>
        <v>0</v>
      </c>
      <c r="F77" s="1198">
        <f t="shared" si="93"/>
        <v>0</v>
      </c>
      <c r="G77" s="1198" t="str">
        <f t="shared" si="93"/>
        <v xml:space="preserve">Carter Mckenzie </v>
      </c>
      <c r="H77" s="1198" t="str">
        <f t="shared" si="93"/>
        <v>Huw Mabey</v>
      </c>
      <c r="I77" s="1198" t="str">
        <f t="shared" si="93"/>
        <v>Luca Woodley</v>
      </c>
      <c r="J77" s="1198" t="str">
        <f t="shared" si="93"/>
        <v>Nathaniel Chapman</v>
      </c>
      <c r="K77" s="1198" t="str">
        <f t="shared" si="93"/>
        <v>Leo Rice</v>
      </c>
      <c r="L77" s="1198" t="str">
        <f t="shared" si="93"/>
        <v>Alex Hall</v>
      </c>
      <c r="M77" s="1188"/>
      <c r="N77" s="1188"/>
      <c r="O77" s="1188"/>
      <c r="P77" s="1188"/>
      <c r="Q77" s="1188"/>
      <c r="R77" s="1188"/>
      <c r="S77" s="1188"/>
      <c r="T77" s="1188"/>
      <c r="U77" s="1188"/>
      <c r="W77" s="32">
        <v>61</v>
      </c>
      <c r="Y77" s="419" t="str">
        <f t="shared" ref="Y77:AF77" si="94">VLOOKUP($A75,IF($X76="F",TeamSheetFemale,TeamSheetMale),Y$20,FALSE)</f>
        <v>Leo Rice</v>
      </c>
      <c r="Z77" s="419">
        <f t="shared" si="94"/>
        <v>0</v>
      </c>
      <c r="AA77" s="419" t="str">
        <f t="shared" si="94"/>
        <v>Nathaniel Chapman</v>
      </c>
      <c r="AB77" s="419">
        <f t="shared" si="94"/>
        <v>0</v>
      </c>
      <c r="AC77" s="419" t="str">
        <f t="shared" si="94"/>
        <v>Luca Woodley</v>
      </c>
      <c r="AD77" s="419" t="str">
        <f t="shared" si="94"/>
        <v xml:space="preserve">Carter Mckenzie </v>
      </c>
      <c r="AE77" s="419" t="str">
        <f t="shared" si="94"/>
        <v>Alex Hall</v>
      </c>
      <c r="AF77" s="419" t="str">
        <f t="shared" si="94"/>
        <v>Huw Mabey</v>
      </c>
    </row>
    <row r="78" spans="1:32" ht="15" customHeight="1" x14ac:dyDescent="0.3">
      <c r="A78" s="1255">
        <v>32</v>
      </c>
      <c r="B78" s="1185">
        <f>IF($A78&gt;0,VLOOKUP($A78,EventsOrder,2,FALSE)," ")</f>
        <v>1.5</v>
      </c>
      <c r="C78" s="1186" t="str">
        <f>IF($A78&gt;0,VLOOKUP($A78,EventsOrder,6,FALSE)," ")</f>
        <v xml:space="preserve">600m </v>
      </c>
      <c r="D78" s="1186" t="str">
        <f>IF($A78&gt;0,VLOOKUP($A78,EventsOrder,4,FALSE)," ")</f>
        <v>U12 Female</v>
      </c>
      <c r="E78" s="1187" t="str">
        <f t="shared" si="11"/>
        <v>G - Royal</v>
      </c>
      <c r="F78" s="1187" t="str">
        <f t="shared" si="12"/>
        <v>S - BRAT</v>
      </c>
      <c r="G78" s="1187" t="str">
        <f t="shared" si="13"/>
        <v>F - Tam</v>
      </c>
      <c r="H78" s="1187" t="str">
        <f t="shared" si="14"/>
        <v>U - K&amp;S</v>
      </c>
      <c r="I78" s="1187" t="str">
        <f t="shared" si="15"/>
        <v>R - Rugby</v>
      </c>
      <c r="J78" s="1187" t="str">
        <f t="shared" si="16"/>
        <v>D - Strat</v>
      </c>
      <c r="K78" s="1187" t="str">
        <f t="shared" si="17"/>
        <v>M - Sol</v>
      </c>
      <c r="L78" s="1187" t="str">
        <f t="shared" si="18"/>
        <v>Y - Worc</v>
      </c>
      <c r="M78" s="1188">
        <f>$E$14</f>
        <v>3</v>
      </c>
      <c r="N78" s="1188">
        <f>$I$14</f>
        <v>1</v>
      </c>
      <c r="O78" s="1188">
        <f>$K$14</f>
        <v>7</v>
      </c>
      <c r="P78" s="1188">
        <f>$H$14</f>
        <v>2</v>
      </c>
      <c r="Q78" s="1188">
        <f>$G$14</f>
        <v>4</v>
      </c>
      <c r="R78" s="1188">
        <f>$J$14</f>
        <v>6</v>
      </c>
      <c r="S78" s="1188">
        <f>$F$14</f>
        <v>5</v>
      </c>
      <c r="T78" s="1188">
        <f>$L$14</f>
        <v>8</v>
      </c>
      <c r="U78" s="1188">
        <f t="shared" si="6"/>
        <v>36</v>
      </c>
      <c r="W78" s="32">
        <v>62</v>
      </c>
    </row>
    <row r="79" spans="1:32" ht="15" customHeight="1" x14ac:dyDescent="0.3">
      <c r="A79" s="1189"/>
      <c r="B79" s="1190" t="s">
        <v>149</v>
      </c>
      <c r="C79" s="1191" t="s">
        <v>167</v>
      </c>
      <c r="D79" s="1192">
        <f>COUNTIF(E79:L79,"*")</f>
        <v>8</v>
      </c>
      <c r="E79" s="1193" t="str">
        <f t="shared" ref="E79:L79" si="95">HLOOKUP(LEFT(E78,1),$Y$17:$AF$181,$W79,FALSE)</f>
        <v xml:space="preserve">Indie Upton </v>
      </c>
      <c r="F79" s="1193" t="str">
        <f t="shared" si="95"/>
        <v>Beatrix Thompson</v>
      </c>
      <c r="G79" s="1193" t="str">
        <f t="shared" si="95"/>
        <v>Clara Knight-Dutton</v>
      </c>
      <c r="H79" s="1193" t="str">
        <f t="shared" si="95"/>
        <v xml:space="preserve">Alice Thompson </v>
      </c>
      <c r="I79" s="1193" t="str">
        <f t="shared" si="95"/>
        <v>Martha Waterson</v>
      </c>
      <c r="J79" s="1193" t="str">
        <f t="shared" si="95"/>
        <v>Quinn Lancaster</v>
      </c>
      <c r="K79" s="1193" t="str">
        <f t="shared" si="95"/>
        <v>Chloe Brown</v>
      </c>
      <c r="L79" s="1193" t="str">
        <f t="shared" si="95"/>
        <v>Daisy Lawes</v>
      </c>
      <c r="M79" s="1188"/>
      <c r="N79" s="1188"/>
      <c r="O79" s="1188"/>
      <c r="P79" s="1188"/>
      <c r="Q79" s="1188"/>
      <c r="R79" s="1188"/>
      <c r="S79" s="1188"/>
      <c r="T79" s="1188"/>
      <c r="U79" s="1188"/>
      <c r="W79" s="32">
        <v>63</v>
      </c>
      <c r="X79" s="1194" t="str">
        <f>MID(D78,5,1)</f>
        <v>F</v>
      </c>
      <c r="Y79" s="419" t="str">
        <f t="shared" ref="Y79:AF79" si="96">VLOOKUP($A78,IF($X79="F",TeamSheetFemale,TeamSheetMale),Y$19,FALSE)</f>
        <v>Beatrix Thompson</v>
      </c>
      <c r="Z79" s="419" t="str">
        <f t="shared" si="96"/>
        <v xml:space="preserve">Alice Thompson </v>
      </c>
      <c r="AA79" s="419" t="str">
        <f t="shared" si="96"/>
        <v xml:space="preserve">Indie Upton </v>
      </c>
      <c r="AB79" s="419" t="str">
        <f t="shared" si="96"/>
        <v>Martha Waterson</v>
      </c>
      <c r="AC79" s="419" t="str">
        <f t="shared" si="96"/>
        <v>Chloe Brown</v>
      </c>
      <c r="AD79" s="419" t="str">
        <f t="shared" si="96"/>
        <v>Quinn Lancaster</v>
      </c>
      <c r="AE79" s="419" t="str">
        <f t="shared" si="96"/>
        <v>Clara Knight-Dutton</v>
      </c>
      <c r="AF79" s="419" t="str">
        <f t="shared" si="96"/>
        <v>Daisy Lawes</v>
      </c>
    </row>
    <row r="80" spans="1:32" ht="15" customHeight="1" thickBot="1" x14ac:dyDescent="0.35">
      <c r="A80" s="1189"/>
      <c r="B80" s="1195" t="s">
        <v>94</v>
      </c>
      <c r="C80" s="1196" t="s">
        <v>167</v>
      </c>
      <c r="D80" s="1197">
        <f>COUNTIF(E80:L80,"*")</f>
        <v>8</v>
      </c>
      <c r="E80" s="1198" t="str">
        <f t="shared" ref="E80:L80" si="97">HLOOKUP(LEFT(E78,1),$Y$17:$AF$181,$W80,FALSE)</f>
        <v xml:space="preserve">Taylor Upton </v>
      </c>
      <c r="F80" s="1198" t="str">
        <f t="shared" si="97"/>
        <v xml:space="preserve">
Azucena Cereceda</v>
      </c>
      <c r="G80" s="1198" t="str">
        <f t="shared" si="97"/>
        <v>Izzy Jaques</v>
      </c>
      <c r="H80" s="1198" t="str">
        <f t="shared" si="97"/>
        <v xml:space="preserve">Isabelle Evans </v>
      </c>
      <c r="I80" s="1198" t="str">
        <f t="shared" si="97"/>
        <v>Daisy Crook</v>
      </c>
      <c r="J80" s="1198" t="str">
        <f t="shared" si="97"/>
        <v>Florence Castle</v>
      </c>
      <c r="K80" s="1198" t="str">
        <f t="shared" si="97"/>
        <v>Sophie Ross</v>
      </c>
      <c r="L80" s="1198" t="str">
        <f t="shared" si="97"/>
        <v>Bethany Gromski</v>
      </c>
      <c r="M80" s="1188"/>
      <c r="N80" s="1188"/>
      <c r="O80" s="1188"/>
      <c r="P80" s="1188"/>
      <c r="Q80" s="1188"/>
      <c r="R80" s="1188"/>
      <c r="S80" s="1188"/>
      <c r="T80" s="1188"/>
      <c r="U80" s="1188"/>
      <c r="W80" s="32">
        <v>64</v>
      </c>
      <c r="Y80" s="419" t="str">
        <f t="shared" ref="Y80:AF80" si="98">VLOOKUP($A78,IF($X79="F",TeamSheetFemale,TeamSheetMale),Y$20,FALSE)</f>
        <v xml:space="preserve">
Azucena Cereceda</v>
      </c>
      <c r="Z80" s="419" t="str">
        <f t="shared" si="98"/>
        <v xml:space="preserve">Isabelle Evans </v>
      </c>
      <c r="AA80" s="419" t="str">
        <f t="shared" si="98"/>
        <v xml:space="preserve">Taylor Upton </v>
      </c>
      <c r="AB80" s="419" t="str">
        <f t="shared" si="98"/>
        <v>Daisy Crook</v>
      </c>
      <c r="AC80" s="419" t="str">
        <f t="shared" si="98"/>
        <v>Sophie Ross</v>
      </c>
      <c r="AD80" s="419" t="str">
        <f t="shared" si="98"/>
        <v>Florence Castle</v>
      </c>
      <c r="AE80" s="419" t="str">
        <f t="shared" si="98"/>
        <v>Izzy Jaques</v>
      </c>
      <c r="AF80" s="419" t="str">
        <f t="shared" si="98"/>
        <v>Bethany Gromski</v>
      </c>
    </row>
    <row r="81" spans="1:32" ht="15" customHeight="1" x14ac:dyDescent="0.3">
      <c r="A81" s="1255">
        <v>34</v>
      </c>
      <c r="B81" s="1185">
        <f>IF($A81&gt;0,VLOOKUP($A81,EventsOrder,2,FALSE)," ")</f>
        <v>2</v>
      </c>
      <c r="C81" s="1186" t="str">
        <f>IF($A81&gt;0,VLOOKUP($A81,EventsOrder,6,FALSE)," ")</f>
        <v xml:space="preserve">600m </v>
      </c>
      <c r="D81" s="1186" t="str">
        <f>IF($A81&gt;0,VLOOKUP($A81,EventsOrder,4,FALSE)," ")</f>
        <v>U12 Male</v>
      </c>
      <c r="E81" s="1187" t="str">
        <f t="shared" si="11"/>
        <v>Y - Worc</v>
      </c>
      <c r="F81" s="1187" t="str">
        <f t="shared" si="12"/>
        <v>F - Tam</v>
      </c>
      <c r="G81" s="1187" t="str">
        <f t="shared" si="13"/>
        <v>U - K&amp;S</v>
      </c>
      <c r="H81" s="1187" t="str">
        <f t="shared" si="14"/>
        <v>G - Royal</v>
      </c>
      <c r="I81" s="1187" t="str">
        <f t="shared" si="15"/>
        <v>D - Strat</v>
      </c>
      <c r="J81" s="1187" t="str">
        <f t="shared" si="16"/>
        <v>M - Sol</v>
      </c>
      <c r="K81" s="1187" t="str">
        <f t="shared" si="17"/>
        <v>R - Rugby</v>
      </c>
      <c r="L81" s="1187" t="str">
        <f t="shared" si="18"/>
        <v>S - BRAT</v>
      </c>
      <c r="M81" s="1188">
        <f>$L$14</f>
        <v>8</v>
      </c>
      <c r="N81" s="1188">
        <f>$K$14</f>
        <v>7</v>
      </c>
      <c r="O81" s="1188">
        <f>$H$14</f>
        <v>2</v>
      </c>
      <c r="P81" s="1188">
        <f>$E$14</f>
        <v>3</v>
      </c>
      <c r="Q81" s="1188">
        <f>$J$14</f>
        <v>6</v>
      </c>
      <c r="R81" s="1188">
        <f>$F$14</f>
        <v>5</v>
      </c>
      <c r="S81" s="1188">
        <f>$G$14</f>
        <v>4</v>
      </c>
      <c r="T81" s="1188">
        <f>$I$14</f>
        <v>1</v>
      </c>
      <c r="U81" s="1188">
        <f t="shared" si="6"/>
        <v>36</v>
      </c>
      <c r="W81" s="32">
        <v>65</v>
      </c>
    </row>
    <row r="82" spans="1:32" ht="15" customHeight="1" x14ac:dyDescent="0.3">
      <c r="A82" s="1189"/>
      <c r="B82" s="1190" t="s">
        <v>149</v>
      </c>
      <c r="C82" s="1191" t="s">
        <v>167</v>
      </c>
      <c r="D82" s="1192">
        <f>COUNTIF(E82:L82,"*")</f>
        <v>8</v>
      </c>
      <c r="E82" s="1193" t="str">
        <f t="shared" ref="E82:L82" si="99">HLOOKUP(LEFT(E81,1),$Y$17:$AF$181,$W82,FALSE)</f>
        <v>Elliot Oldham</v>
      </c>
      <c r="F82" s="1193" t="str">
        <f t="shared" si="99"/>
        <v>Lucas Beggs</v>
      </c>
      <c r="G82" s="1193" t="str">
        <f t="shared" si="99"/>
        <v>Ted Bates</v>
      </c>
      <c r="H82" s="1193" t="str">
        <f t="shared" si="99"/>
        <v>Woody Forrester</v>
      </c>
      <c r="I82" s="1193" t="str">
        <f t="shared" si="99"/>
        <v>Henry Yates</v>
      </c>
      <c r="J82" s="1193" t="str">
        <f t="shared" si="99"/>
        <v>Edison Hughes</v>
      </c>
      <c r="K82" s="1193" t="str">
        <f t="shared" si="99"/>
        <v>Edward Allen</v>
      </c>
      <c r="L82" s="1193" t="str">
        <f t="shared" si="99"/>
        <v>Zachary Asanga</v>
      </c>
      <c r="M82" s="1188"/>
      <c r="N82" s="1188"/>
      <c r="O82" s="1188"/>
      <c r="P82" s="1188"/>
      <c r="Q82" s="1188"/>
      <c r="R82" s="1188"/>
      <c r="S82" s="1188"/>
      <c r="T82" s="1188"/>
      <c r="U82" s="1188"/>
      <c r="W82" s="32">
        <v>66</v>
      </c>
      <c r="X82" s="1194" t="str">
        <f>MID(D81,5,1)</f>
        <v>M</v>
      </c>
      <c r="Y82" s="419" t="str">
        <f t="shared" ref="Y82:AF82" si="100">VLOOKUP($A81,IF($X82="F",TeamSheetFemale,TeamSheetMale),Y$19,FALSE)</f>
        <v>Zachary Asanga</v>
      </c>
      <c r="Z82" s="419" t="str">
        <f t="shared" si="100"/>
        <v>Ted Bates</v>
      </c>
      <c r="AA82" s="419" t="str">
        <f t="shared" si="100"/>
        <v>Woody Forrester</v>
      </c>
      <c r="AB82" s="419" t="str">
        <f t="shared" si="100"/>
        <v>Edward Allen</v>
      </c>
      <c r="AC82" s="419" t="str">
        <f t="shared" si="100"/>
        <v>Edison Hughes</v>
      </c>
      <c r="AD82" s="419" t="str">
        <f t="shared" si="100"/>
        <v>Henry Yates</v>
      </c>
      <c r="AE82" s="419" t="str">
        <f t="shared" si="100"/>
        <v>Lucas Beggs</v>
      </c>
      <c r="AF82" s="419" t="str">
        <f t="shared" si="100"/>
        <v>Elliot Oldham</v>
      </c>
    </row>
    <row r="83" spans="1:32" ht="15" customHeight="1" thickBot="1" x14ac:dyDescent="0.35">
      <c r="A83" s="1189"/>
      <c r="B83" s="1195" t="s">
        <v>94</v>
      </c>
      <c r="C83" s="1196" t="s">
        <v>167</v>
      </c>
      <c r="D83" s="1197">
        <f>COUNTIF(E83:L83,"*")</f>
        <v>7</v>
      </c>
      <c r="E83" s="1198" t="str">
        <f t="shared" ref="E83:L83" si="101">HLOOKUP(LEFT(E81,1),$Y$17:$AF$181,$W83,FALSE)</f>
        <v>Felix Whakahau</v>
      </c>
      <c r="F83" s="1198">
        <f t="shared" si="101"/>
        <v>0</v>
      </c>
      <c r="G83" s="1198" t="str">
        <f t="shared" si="101"/>
        <v>Alex Velasquez</v>
      </c>
      <c r="H83" s="1198" t="str">
        <f t="shared" si="101"/>
        <v>Edward Taylor</v>
      </c>
      <c r="I83" s="1198" t="str">
        <f t="shared" si="101"/>
        <v>Jacob Thomas</v>
      </c>
      <c r="J83" s="1198" t="str">
        <f t="shared" si="101"/>
        <v>Kai Gudmunsen</v>
      </c>
      <c r="K83" s="1198" t="str">
        <f t="shared" si="101"/>
        <v>Joshua Jardine</v>
      </c>
      <c r="L83" s="1198" t="str">
        <f t="shared" si="101"/>
        <v xml:space="preserve">Logan Pearce </v>
      </c>
      <c r="M83" s="1188"/>
      <c r="N83" s="1188"/>
      <c r="O83" s="1188"/>
      <c r="P83" s="1188"/>
      <c r="Q83" s="1188"/>
      <c r="R83" s="1188"/>
      <c r="S83" s="1188"/>
      <c r="T83" s="1188"/>
      <c r="U83" s="1188"/>
      <c r="W83" s="32">
        <v>67</v>
      </c>
      <c r="Y83" s="419" t="str">
        <f t="shared" ref="Y83:AF83" si="102">VLOOKUP($A81,IF($X82="F",TeamSheetFemale,TeamSheetMale),Y$20,FALSE)</f>
        <v xml:space="preserve">Logan Pearce </v>
      </c>
      <c r="Z83" s="419" t="str">
        <f t="shared" si="102"/>
        <v>Alex Velasquez</v>
      </c>
      <c r="AA83" s="419" t="str">
        <f t="shared" si="102"/>
        <v>Edward Taylor</v>
      </c>
      <c r="AB83" s="419" t="str">
        <f t="shared" si="102"/>
        <v>Joshua Jardine</v>
      </c>
      <c r="AC83" s="419" t="str">
        <f t="shared" si="102"/>
        <v>Kai Gudmunsen</v>
      </c>
      <c r="AD83" s="419" t="str">
        <f t="shared" si="102"/>
        <v>Jacob Thomas</v>
      </c>
      <c r="AE83" s="419">
        <f t="shared" si="102"/>
        <v>0</v>
      </c>
      <c r="AF83" s="419" t="str">
        <f t="shared" si="102"/>
        <v>Felix Whakahau</v>
      </c>
    </row>
    <row r="84" spans="1:32" ht="15" customHeight="1" x14ac:dyDescent="0.3">
      <c r="A84" s="1255">
        <v>39</v>
      </c>
      <c r="B84" s="1185">
        <f>IF($A84&gt;0,VLOOKUP($A84,EventsOrder,2,FALSE)," ")</f>
        <v>2.2000000000000002</v>
      </c>
      <c r="C84" s="1186" t="str">
        <f>IF($A84&gt;0,VLOOKUP($A84,EventsOrder,6,FALSE)," ")</f>
        <v xml:space="preserve">100m </v>
      </c>
      <c r="D84" s="1186" t="str">
        <f>IF($A84&gt;0,VLOOKUP($A84,EventsOrder,4,FALSE)," ")</f>
        <v>U14 Female</v>
      </c>
      <c r="E84" s="1187" t="str">
        <f t="shared" si="11"/>
        <v>U - K&amp;S</v>
      </c>
      <c r="F84" s="1187" t="str">
        <f t="shared" si="12"/>
        <v>M - Sol</v>
      </c>
      <c r="G84" s="1187" t="str">
        <f t="shared" si="13"/>
        <v>R - Rugby</v>
      </c>
      <c r="H84" s="1187" t="str">
        <f t="shared" si="14"/>
        <v>F - Tam</v>
      </c>
      <c r="I84" s="1187" t="str">
        <f t="shared" si="15"/>
        <v>D - Strat</v>
      </c>
      <c r="J84" s="1187" t="str">
        <f t="shared" si="16"/>
        <v>S - BRAT</v>
      </c>
      <c r="K84" s="1187" t="str">
        <f t="shared" si="17"/>
        <v>Y - Worc</v>
      </c>
      <c r="L84" s="1187" t="str">
        <f t="shared" si="18"/>
        <v>G - Royal</v>
      </c>
      <c r="M84" s="1188">
        <f>$H$14</f>
        <v>2</v>
      </c>
      <c r="N84" s="1188">
        <f>$F$14</f>
        <v>5</v>
      </c>
      <c r="O84" s="1188">
        <f>$G$14</f>
        <v>4</v>
      </c>
      <c r="P84" s="1188">
        <f>$K$14</f>
        <v>7</v>
      </c>
      <c r="Q84" s="1188">
        <f>$J$14</f>
        <v>6</v>
      </c>
      <c r="R84" s="1188">
        <f>$I$14</f>
        <v>1</v>
      </c>
      <c r="S84" s="1188">
        <f>$L$14</f>
        <v>8</v>
      </c>
      <c r="T84" s="1188">
        <f>$E$14</f>
        <v>3</v>
      </c>
      <c r="U84" s="1188">
        <f t="shared" si="6"/>
        <v>36</v>
      </c>
      <c r="W84" s="32">
        <v>68</v>
      </c>
    </row>
    <row r="85" spans="1:32" ht="15" customHeight="1" x14ac:dyDescent="0.3">
      <c r="A85" s="1189"/>
      <c r="B85" s="1190" t="s">
        <v>149</v>
      </c>
      <c r="C85" s="1191" t="s">
        <v>167</v>
      </c>
      <c r="D85" s="1192">
        <f>COUNTIF(E85:L85,"*")</f>
        <v>8</v>
      </c>
      <c r="E85" s="1193" t="str">
        <f t="shared" ref="E85:L85" si="103">HLOOKUP(LEFT(E84,1),$Y$17:$AF$181,$W85,FALSE)</f>
        <v>Pippa Richards</v>
      </c>
      <c r="F85" s="1193" t="str">
        <f t="shared" si="103"/>
        <v>Ava Blundell</v>
      </c>
      <c r="G85" s="1193" t="str">
        <f t="shared" si="103"/>
        <v>Reese Ridgway</v>
      </c>
      <c r="H85" s="1193" t="str">
        <f t="shared" si="103"/>
        <v>Freya Draycott</v>
      </c>
      <c r="I85" s="1193" t="str">
        <f t="shared" si="103"/>
        <v>Evangeline Harris</v>
      </c>
      <c r="J85" s="1193" t="str">
        <f t="shared" si="103"/>
        <v>Agnes thomson</v>
      </c>
      <c r="K85" s="1193" t="str">
        <f t="shared" si="103"/>
        <v>Isla Porter</v>
      </c>
      <c r="L85" s="1193" t="str">
        <f t="shared" si="103"/>
        <v>Annabelle Ani</v>
      </c>
      <c r="M85" s="1188"/>
      <c r="N85" s="1188"/>
      <c r="O85" s="1188"/>
      <c r="P85" s="1188"/>
      <c r="Q85" s="1188"/>
      <c r="R85" s="1188"/>
      <c r="S85" s="1188"/>
      <c r="T85" s="1188"/>
      <c r="U85" s="1188"/>
      <c r="W85" s="32">
        <v>69</v>
      </c>
      <c r="X85" s="1194" t="str">
        <f>MID(D84,5,1)</f>
        <v>F</v>
      </c>
      <c r="Y85" s="419" t="str">
        <f t="shared" ref="Y85:AF85" si="104">VLOOKUP($A84,IF($X85="F",TeamSheetFemale,TeamSheetMale),Y$19,FALSE)</f>
        <v>Agnes thomson</v>
      </c>
      <c r="Z85" s="419" t="str">
        <f t="shared" si="104"/>
        <v>Pippa Richards</v>
      </c>
      <c r="AA85" s="419" t="str">
        <f t="shared" si="104"/>
        <v>Annabelle Ani</v>
      </c>
      <c r="AB85" s="419" t="str">
        <f t="shared" si="104"/>
        <v>Reese Ridgway</v>
      </c>
      <c r="AC85" s="419" t="str">
        <f t="shared" si="104"/>
        <v>Ava Blundell</v>
      </c>
      <c r="AD85" s="419" t="str">
        <f t="shared" si="104"/>
        <v>Evangeline Harris</v>
      </c>
      <c r="AE85" s="419" t="str">
        <f t="shared" si="104"/>
        <v>Freya Draycott</v>
      </c>
      <c r="AF85" s="419" t="str">
        <f t="shared" si="104"/>
        <v>Isla Porter</v>
      </c>
    </row>
    <row r="86" spans="1:32" ht="15" customHeight="1" thickBot="1" x14ac:dyDescent="0.35">
      <c r="A86" s="1189"/>
      <c r="B86" s="1195" t="s">
        <v>94</v>
      </c>
      <c r="C86" s="1196" t="s">
        <v>167</v>
      </c>
      <c r="D86" s="1197">
        <f>COUNTIF(E86:L86,"*")</f>
        <v>8</v>
      </c>
      <c r="E86" s="1198" t="str">
        <f t="shared" ref="E86:L86" si="105">HLOOKUP(LEFT(E84,1),$Y$17:$AF$181,$W86,FALSE)</f>
        <v>Matilda Kiernan</v>
      </c>
      <c r="F86" s="1198" t="str">
        <f t="shared" si="105"/>
        <v>Ava Collett</v>
      </c>
      <c r="G86" s="1198" t="str">
        <f t="shared" si="105"/>
        <v>Matilda Famuyiwa</v>
      </c>
      <c r="H86" s="1198" t="str">
        <f t="shared" si="105"/>
        <v>Evie Smith</v>
      </c>
      <c r="I86" s="1198" t="str">
        <f t="shared" si="105"/>
        <v>Sara Clewer</v>
      </c>
      <c r="J86" s="1198" t="str">
        <f t="shared" si="105"/>
        <v>Savannah wedderburn</v>
      </c>
      <c r="K86" s="1198" t="str">
        <f t="shared" si="105"/>
        <v>Esme Dyer</v>
      </c>
      <c r="L86" s="1198" t="str">
        <f t="shared" si="105"/>
        <v>Brooke Butler</v>
      </c>
      <c r="M86" s="1188"/>
      <c r="N86" s="1188"/>
      <c r="O86" s="1188"/>
      <c r="P86" s="1188"/>
      <c r="Q86" s="1188"/>
      <c r="R86" s="1188"/>
      <c r="S86" s="1188"/>
      <c r="T86" s="1188"/>
      <c r="U86" s="1188"/>
      <c r="W86" s="32">
        <v>70</v>
      </c>
      <c r="Y86" s="419" t="str">
        <f t="shared" ref="Y86:AF86" si="106">VLOOKUP($A84,IF($X85="F",TeamSheetFemale,TeamSheetMale),Y$20,FALSE)</f>
        <v>Savannah wedderburn</v>
      </c>
      <c r="Z86" s="419" t="str">
        <f t="shared" si="106"/>
        <v>Matilda Kiernan</v>
      </c>
      <c r="AA86" s="419" t="str">
        <f t="shared" si="106"/>
        <v>Brooke Butler</v>
      </c>
      <c r="AB86" s="419" t="str">
        <f t="shared" si="106"/>
        <v>Matilda Famuyiwa</v>
      </c>
      <c r="AC86" s="419" t="str">
        <f t="shared" si="106"/>
        <v>Ava Collett</v>
      </c>
      <c r="AD86" s="419" t="str">
        <f t="shared" si="106"/>
        <v>Sara Clewer</v>
      </c>
      <c r="AE86" s="419" t="str">
        <f t="shared" si="106"/>
        <v>Evie Smith</v>
      </c>
      <c r="AF86" s="419" t="str">
        <f t="shared" si="106"/>
        <v>Esme Dyer</v>
      </c>
    </row>
    <row r="87" spans="1:32" ht="15" customHeight="1" x14ac:dyDescent="0.3">
      <c r="A87" s="1255">
        <v>41</v>
      </c>
      <c r="B87" s="1185">
        <f>IF($A87&gt;0,VLOOKUP($A87,EventsOrder,2,FALSE)," ")</f>
        <v>2.25</v>
      </c>
      <c r="C87" s="1186" t="str">
        <f>IF($A87&gt;0,VLOOKUP($A87,EventsOrder,6,FALSE)," ")</f>
        <v xml:space="preserve">100m </v>
      </c>
      <c r="D87" s="1186" t="str">
        <f>IF($A87&gt;0,VLOOKUP($A87,EventsOrder,4,FALSE)," ")</f>
        <v>U16 Female</v>
      </c>
      <c r="E87" s="1187" t="str">
        <f t="shared" si="11"/>
        <v>M - Sol</v>
      </c>
      <c r="F87" s="1187" t="str">
        <f t="shared" si="12"/>
        <v>D - Strat</v>
      </c>
      <c r="G87" s="1187" t="str">
        <f t="shared" si="13"/>
        <v>S - BRAT</v>
      </c>
      <c r="H87" s="1187" t="str">
        <f t="shared" si="14"/>
        <v>R - Rugby</v>
      </c>
      <c r="I87" s="1187" t="str">
        <f t="shared" si="15"/>
        <v>G - Royal</v>
      </c>
      <c r="J87" s="1187" t="str">
        <f t="shared" si="16"/>
        <v>Y - Worc</v>
      </c>
      <c r="K87" s="1187" t="str">
        <f t="shared" si="17"/>
        <v>F - Tam</v>
      </c>
      <c r="L87" s="1187" t="str">
        <f t="shared" si="18"/>
        <v>U - K&amp;S</v>
      </c>
      <c r="M87" s="1188">
        <f>$F$14</f>
        <v>5</v>
      </c>
      <c r="N87" s="1188">
        <f>$J$14</f>
        <v>6</v>
      </c>
      <c r="O87" s="1188">
        <f>$I$14</f>
        <v>1</v>
      </c>
      <c r="P87" s="1188">
        <f>$G$14</f>
        <v>4</v>
      </c>
      <c r="Q87" s="1188">
        <f>$E$14</f>
        <v>3</v>
      </c>
      <c r="R87" s="1188">
        <f>$L$14</f>
        <v>8</v>
      </c>
      <c r="S87" s="1188">
        <f>$K$14</f>
        <v>7</v>
      </c>
      <c r="T87" s="1188">
        <f>$H$14</f>
        <v>2</v>
      </c>
      <c r="U87" s="1188">
        <f t="shared" si="6"/>
        <v>36</v>
      </c>
      <c r="W87" s="32">
        <v>71</v>
      </c>
      <c r="X87" s="1194"/>
      <c r="Y87" s="419"/>
      <c r="Z87" s="419"/>
      <c r="AA87" s="419"/>
      <c r="AB87" s="419"/>
      <c r="AC87" s="419"/>
      <c r="AD87" s="419"/>
      <c r="AE87" s="419"/>
      <c r="AF87" s="419"/>
    </row>
    <row r="88" spans="1:32" ht="15" customHeight="1" x14ac:dyDescent="0.3">
      <c r="A88" s="1189"/>
      <c r="B88" s="1190" t="s">
        <v>149</v>
      </c>
      <c r="C88" s="1191" t="s">
        <v>167</v>
      </c>
      <c r="D88" s="1192">
        <f>COUNTIF(E88:L88,"*")</f>
        <v>8</v>
      </c>
      <c r="E88" s="1193" t="str">
        <f t="shared" ref="E88:L88" si="107">HLOOKUP(LEFT(E87,1),$Y$17:$AF$181,$W88,FALSE)</f>
        <v>Alisa Preston</v>
      </c>
      <c r="F88" s="1193" t="str">
        <f t="shared" si="107"/>
        <v xml:space="preserve">Niamh Williams </v>
      </c>
      <c r="G88" s="1193" t="str">
        <f t="shared" si="107"/>
        <v xml:space="preserve">Araya Williams </v>
      </c>
      <c r="H88" s="1193" t="str">
        <f t="shared" si="107"/>
        <v>Millie-anna Snell</v>
      </c>
      <c r="I88" s="1193" t="str">
        <f t="shared" si="107"/>
        <v>Jessica Spiby</v>
      </c>
      <c r="J88" s="1193" t="str">
        <f t="shared" si="107"/>
        <v>Harriett Carey</v>
      </c>
      <c r="K88" s="1193" t="str">
        <f t="shared" si="107"/>
        <v>Brodie Horler</v>
      </c>
      <c r="L88" s="1193" t="str">
        <f t="shared" si="107"/>
        <v>Sophia Llewellyn</v>
      </c>
      <c r="M88" s="1188"/>
      <c r="N88" s="1188"/>
      <c r="O88" s="1188"/>
      <c r="P88" s="1188"/>
      <c r="Q88" s="1188"/>
      <c r="R88" s="1188"/>
      <c r="S88" s="1188"/>
      <c r="T88" s="1188"/>
      <c r="U88" s="1188"/>
      <c r="W88" s="32">
        <v>72</v>
      </c>
      <c r="X88" s="1194" t="str">
        <f>MID(D87,5,1)</f>
        <v>F</v>
      </c>
      <c r="Y88" s="419" t="str">
        <f t="shared" ref="Y88:AF88" si="108">VLOOKUP($A87,IF($X88="F",TeamSheetFemale,TeamSheetMale),Y$19,FALSE)</f>
        <v xml:space="preserve">Araya Williams </v>
      </c>
      <c r="Z88" s="419" t="str">
        <f t="shared" si="108"/>
        <v>Sophia Llewellyn</v>
      </c>
      <c r="AA88" s="419" t="str">
        <f t="shared" si="108"/>
        <v>Jessica Spiby</v>
      </c>
      <c r="AB88" s="419" t="str">
        <f t="shared" si="108"/>
        <v>Millie-anna Snell</v>
      </c>
      <c r="AC88" s="419" t="str">
        <f t="shared" si="108"/>
        <v>Alisa Preston</v>
      </c>
      <c r="AD88" s="419" t="str">
        <f t="shared" si="108"/>
        <v xml:space="preserve">Niamh Williams </v>
      </c>
      <c r="AE88" s="419" t="str">
        <f t="shared" si="108"/>
        <v>Brodie Horler</v>
      </c>
      <c r="AF88" s="419" t="str">
        <f t="shared" si="108"/>
        <v>Harriett Carey</v>
      </c>
    </row>
    <row r="89" spans="1:32" ht="15" customHeight="1" thickBot="1" x14ac:dyDescent="0.35">
      <c r="A89" s="1189"/>
      <c r="B89" s="1195" t="s">
        <v>94</v>
      </c>
      <c r="C89" s="1196" t="s">
        <v>167</v>
      </c>
      <c r="D89" s="1197">
        <f>COUNTIF(E89:L89,"*")</f>
        <v>8</v>
      </c>
      <c r="E89" s="1198" t="str">
        <f t="shared" ref="E89:L89" si="109">HLOOKUP(LEFT(E87,1),$Y$17:$AF$181,$W89,FALSE)</f>
        <v>Gabrielle Blake</v>
      </c>
      <c r="F89" s="1198" t="str">
        <f t="shared" si="109"/>
        <v>Lottie Willis</v>
      </c>
      <c r="G89" s="1198" t="str">
        <f t="shared" si="109"/>
        <v>Tamera Campbell</v>
      </c>
      <c r="H89" s="1198" t="str">
        <f t="shared" si="109"/>
        <v>Martha Kerr</v>
      </c>
      <c r="I89" s="1198" t="str">
        <f t="shared" si="109"/>
        <v>Anisia Barton</v>
      </c>
      <c r="J89" s="1198" t="str">
        <f t="shared" si="109"/>
        <v>Penelope Cale</v>
      </c>
      <c r="K89" s="1198" t="str">
        <f t="shared" si="109"/>
        <v>Emily Webb</v>
      </c>
      <c r="L89" s="1198" t="str">
        <f t="shared" si="109"/>
        <v>Florence Aspinall</v>
      </c>
      <c r="M89" s="1188"/>
      <c r="N89" s="1188"/>
      <c r="O89" s="1188"/>
      <c r="P89" s="1188"/>
      <c r="Q89" s="1188"/>
      <c r="R89" s="1188"/>
      <c r="S89" s="1188"/>
      <c r="T89" s="1188"/>
      <c r="U89" s="1188"/>
      <c r="W89" s="32">
        <v>73</v>
      </c>
      <c r="Y89" s="419" t="str">
        <f t="shared" ref="Y89:AF89" si="110">VLOOKUP($A87,IF($X88="F",TeamSheetFemale,TeamSheetMale),Y$20,FALSE)</f>
        <v>Tamera Campbell</v>
      </c>
      <c r="Z89" s="419" t="str">
        <f t="shared" si="110"/>
        <v>Florence Aspinall</v>
      </c>
      <c r="AA89" s="419" t="str">
        <f t="shared" si="110"/>
        <v>Anisia Barton</v>
      </c>
      <c r="AB89" s="419" t="str">
        <f t="shared" si="110"/>
        <v>Martha Kerr</v>
      </c>
      <c r="AC89" s="419" t="str">
        <f t="shared" si="110"/>
        <v>Gabrielle Blake</v>
      </c>
      <c r="AD89" s="419" t="str">
        <f t="shared" si="110"/>
        <v>Lottie Willis</v>
      </c>
      <c r="AE89" s="419" t="str">
        <f t="shared" si="110"/>
        <v>Emily Webb</v>
      </c>
      <c r="AF89" s="419" t="str">
        <f t="shared" si="110"/>
        <v>Penelope Cale</v>
      </c>
    </row>
    <row r="90" spans="1:32" ht="15" customHeight="1" x14ac:dyDescent="0.3">
      <c r="A90" s="1255">
        <v>42</v>
      </c>
      <c r="B90" s="1185">
        <f>IF($A90&gt;0,VLOOKUP($A90,EventsOrder,2,FALSE)," ")</f>
        <v>2.2999999999999998</v>
      </c>
      <c r="C90" s="1186" t="str">
        <f>IF($A90&gt;0,VLOOKUP($A90,EventsOrder,6,FALSE)," ")</f>
        <v xml:space="preserve">100m (U18/U20) </v>
      </c>
      <c r="D90" s="1186" t="str">
        <f>IF($A90&gt;0,VLOOKUP($A90,EventsOrder,4,FALSE)," ")</f>
        <v>U18 Female</v>
      </c>
      <c r="E90" s="1187" t="str">
        <f t="shared" si="11"/>
        <v>F - Tam</v>
      </c>
      <c r="F90" s="1187" t="str">
        <f t="shared" si="12"/>
        <v>Y - Worc</v>
      </c>
      <c r="G90" s="1187" t="str">
        <f t="shared" si="13"/>
        <v>G - Royal</v>
      </c>
      <c r="H90" s="1187" t="str">
        <f t="shared" si="14"/>
        <v>S - BRAT</v>
      </c>
      <c r="I90" s="1187" t="str">
        <f t="shared" si="15"/>
        <v>M - Sol</v>
      </c>
      <c r="J90" s="1187" t="str">
        <f t="shared" si="16"/>
        <v>U - K&amp;S</v>
      </c>
      <c r="K90" s="1187" t="str">
        <f t="shared" si="17"/>
        <v>D - Strat</v>
      </c>
      <c r="L90" s="1187" t="str">
        <f t="shared" si="18"/>
        <v>R - Rugby</v>
      </c>
      <c r="M90" s="1188">
        <f>$K$14</f>
        <v>7</v>
      </c>
      <c r="N90" s="1188">
        <f>$L$14</f>
        <v>8</v>
      </c>
      <c r="O90" s="1188">
        <f>$E$14</f>
        <v>3</v>
      </c>
      <c r="P90" s="1188">
        <f>$I$14</f>
        <v>1</v>
      </c>
      <c r="Q90" s="1188">
        <f>$F$14</f>
        <v>5</v>
      </c>
      <c r="R90" s="1188">
        <f>$H$14</f>
        <v>2</v>
      </c>
      <c r="S90" s="1188">
        <f>$J$14</f>
        <v>6</v>
      </c>
      <c r="T90" s="1188">
        <f>$G$14</f>
        <v>4</v>
      </c>
      <c r="U90" s="1188">
        <f t="shared" si="6"/>
        <v>36</v>
      </c>
      <c r="W90" s="32">
        <v>74</v>
      </c>
    </row>
    <row r="91" spans="1:32" ht="15" customHeight="1" x14ac:dyDescent="0.3">
      <c r="A91" s="1189"/>
      <c r="B91" s="1190" t="s">
        <v>149</v>
      </c>
      <c r="C91" s="1191" t="s">
        <v>167</v>
      </c>
      <c r="D91" s="1192">
        <f>COUNTIF(E91:L91,"*")</f>
        <v>4</v>
      </c>
      <c r="E91" s="1193" t="str">
        <f t="shared" ref="E91:L91" si="111">HLOOKUP(LEFT(E90,1),$Y$17:$AF$181,$W91,FALSE)</f>
        <v>Lorelai Maxwell</v>
      </c>
      <c r="F91" s="1193">
        <f t="shared" si="111"/>
        <v>0</v>
      </c>
      <c r="G91" s="1193">
        <f t="shared" si="111"/>
        <v>0</v>
      </c>
      <c r="H91" s="1193" t="str">
        <f t="shared" si="111"/>
        <v xml:space="preserve">Daniella Anozie </v>
      </c>
      <c r="I91" s="1193">
        <f t="shared" si="111"/>
        <v>0</v>
      </c>
      <c r="J91" s="1193">
        <f t="shared" si="111"/>
        <v>0</v>
      </c>
      <c r="K91" s="1193" t="str">
        <f t="shared" si="111"/>
        <v>Darcie Nicholls</v>
      </c>
      <c r="L91" s="1193" t="str">
        <f t="shared" si="111"/>
        <v>Faith Cowen</v>
      </c>
      <c r="M91" s="1188"/>
      <c r="N91" s="1188"/>
      <c r="O91" s="1188"/>
      <c r="P91" s="1188"/>
      <c r="Q91" s="1188"/>
      <c r="R91" s="1188"/>
      <c r="S91" s="1188"/>
      <c r="T91" s="1188"/>
      <c r="U91" s="1188"/>
      <c r="W91" s="32">
        <v>75</v>
      </c>
      <c r="X91" s="1194" t="str">
        <f>MID(D90,5,1)</f>
        <v>F</v>
      </c>
      <c r="Y91" s="419" t="str">
        <f t="shared" ref="Y91:AF91" si="112">VLOOKUP($A90,IF($X91="F",TeamSheetFemale,TeamSheetMale),Y$19,FALSE)</f>
        <v xml:space="preserve">Daniella Anozie </v>
      </c>
      <c r="Z91" s="419">
        <f t="shared" si="112"/>
        <v>0</v>
      </c>
      <c r="AA91" s="419">
        <f t="shared" si="112"/>
        <v>0</v>
      </c>
      <c r="AB91" s="419" t="str">
        <f t="shared" si="112"/>
        <v>Faith Cowen</v>
      </c>
      <c r="AC91" s="419">
        <f t="shared" si="112"/>
        <v>0</v>
      </c>
      <c r="AD91" s="419" t="str">
        <f t="shared" si="112"/>
        <v>Darcie Nicholls</v>
      </c>
      <c r="AE91" s="419" t="str">
        <f t="shared" si="112"/>
        <v>Lorelai Maxwell</v>
      </c>
      <c r="AF91" s="419">
        <f t="shared" si="112"/>
        <v>0</v>
      </c>
    </row>
    <row r="92" spans="1:32" ht="15" customHeight="1" thickBot="1" x14ac:dyDescent="0.35">
      <c r="A92" s="1189"/>
      <c r="B92" s="1195" t="s">
        <v>94</v>
      </c>
      <c r="C92" s="1196" t="s">
        <v>167</v>
      </c>
      <c r="D92" s="1197">
        <f>COUNTIF(E92:L92,"*")</f>
        <v>3</v>
      </c>
      <c r="E92" s="1198" t="str">
        <f t="shared" ref="E92:L92" si="113">HLOOKUP(LEFT(E90,1),$Y$17:$AF$181,$W92,FALSE)</f>
        <v>Sophie Godber</v>
      </c>
      <c r="F92" s="1198">
        <f t="shared" si="113"/>
        <v>0</v>
      </c>
      <c r="G92" s="1198">
        <f t="shared" si="113"/>
        <v>0</v>
      </c>
      <c r="H92" s="1198" t="str">
        <f t="shared" si="113"/>
        <v>Maryam Mohammed Hadi</v>
      </c>
      <c r="I92" s="1198">
        <f t="shared" si="113"/>
        <v>0</v>
      </c>
      <c r="J92" s="1198">
        <f t="shared" si="113"/>
        <v>0</v>
      </c>
      <c r="K92" s="1198" t="str">
        <f t="shared" si="113"/>
        <v>Scarlett Dawson</v>
      </c>
      <c r="L92" s="1198">
        <f t="shared" si="113"/>
        <v>0</v>
      </c>
      <c r="M92" s="1188"/>
      <c r="N92" s="1188"/>
      <c r="O92" s="1188"/>
      <c r="P92" s="1188"/>
      <c r="Q92" s="1188"/>
      <c r="R92" s="1188"/>
      <c r="S92" s="1188"/>
      <c r="T92" s="1188"/>
      <c r="U92" s="1188"/>
      <c r="W92" s="32">
        <v>76</v>
      </c>
      <c r="Y92" s="419" t="str">
        <f t="shared" ref="Y92:AF92" si="114">VLOOKUP($A90,IF($X91="F",TeamSheetFemale,TeamSheetMale),Y$20,FALSE)</f>
        <v>Maryam Mohammed Hadi</v>
      </c>
      <c r="Z92" s="419">
        <f t="shared" si="114"/>
        <v>0</v>
      </c>
      <c r="AA92" s="419">
        <f t="shared" si="114"/>
        <v>0</v>
      </c>
      <c r="AB92" s="419">
        <f t="shared" si="114"/>
        <v>0</v>
      </c>
      <c r="AC92" s="419">
        <f t="shared" si="114"/>
        <v>0</v>
      </c>
      <c r="AD92" s="419" t="str">
        <f t="shared" si="114"/>
        <v>Scarlett Dawson</v>
      </c>
      <c r="AE92" s="419" t="str">
        <f t="shared" si="114"/>
        <v>Sophie Godber</v>
      </c>
      <c r="AF92" s="419">
        <f t="shared" si="114"/>
        <v>0</v>
      </c>
    </row>
    <row r="93" spans="1:32" ht="15" customHeight="1" x14ac:dyDescent="0.3">
      <c r="A93" s="1255">
        <v>43</v>
      </c>
      <c r="B93" s="1185">
        <f>IF($A93&gt;0,VLOOKUP($A93,EventsOrder,2,FALSE)," ")</f>
        <v>2.35</v>
      </c>
      <c r="C93" s="1186" t="str">
        <f>IF($A93&gt;0,VLOOKUP($A93,EventsOrder,6,FALSE)," ")</f>
        <v xml:space="preserve">100m </v>
      </c>
      <c r="D93" s="1186" t="str">
        <f>IF($A93&gt;0,VLOOKUP($A93,EventsOrder,4,FALSE)," ")</f>
        <v>U14 Male</v>
      </c>
      <c r="E93" s="1187" t="str">
        <f t="shared" si="11"/>
        <v>R - Rugby</v>
      </c>
      <c r="F93" s="1187" t="str">
        <f t="shared" si="12"/>
        <v>S - BRAT</v>
      </c>
      <c r="G93" s="1187" t="str">
        <f t="shared" si="13"/>
        <v>D - Strat</v>
      </c>
      <c r="H93" s="1187" t="str">
        <f t="shared" si="14"/>
        <v>Y - Worc</v>
      </c>
      <c r="I93" s="1187" t="str">
        <f t="shared" si="15"/>
        <v>U - K&amp;S</v>
      </c>
      <c r="J93" s="1187" t="str">
        <f t="shared" si="16"/>
        <v>M - Sol</v>
      </c>
      <c r="K93" s="1187" t="str">
        <f t="shared" si="17"/>
        <v>F - Tam</v>
      </c>
      <c r="L93" s="1187" t="str">
        <f t="shared" si="18"/>
        <v>G - Royal</v>
      </c>
      <c r="M93" s="1188">
        <f>$G$14</f>
        <v>4</v>
      </c>
      <c r="N93" s="1188">
        <f>$I$14</f>
        <v>1</v>
      </c>
      <c r="O93" s="1188">
        <f>$J$14</f>
        <v>6</v>
      </c>
      <c r="P93" s="1188">
        <f>$L$14</f>
        <v>8</v>
      </c>
      <c r="Q93" s="1188">
        <f>$H$14</f>
        <v>2</v>
      </c>
      <c r="R93" s="1188">
        <f>$F$14</f>
        <v>5</v>
      </c>
      <c r="S93" s="1188">
        <f>$K$14</f>
        <v>7</v>
      </c>
      <c r="T93" s="1188">
        <f>$E$14</f>
        <v>3</v>
      </c>
      <c r="U93" s="1188">
        <f t="shared" si="6"/>
        <v>36</v>
      </c>
      <c r="W93" s="32">
        <v>77</v>
      </c>
    </row>
    <row r="94" spans="1:32" ht="15" customHeight="1" x14ac:dyDescent="0.3">
      <c r="A94" s="1189"/>
      <c r="B94" s="1190" t="s">
        <v>149</v>
      </c>
      <c r="C94" s="1191" t="s">
        <v>167</v>
      </c>
      <c r="D94" s="1192">
        <f>COUNTIF(E94:L94,"*")</f>
        <v>8</v>
      </c>
      <c r="E94" s="1193" t="str">
        <f t="shared" ref="E94:L94" si="115">HLOOKUP(LEFT(E93,1),$Y$17:$AF$181,$W94,FALSE)</f>
        <v>Ademiposi (Gideon) Aderibigbe</v>
      </c>
      <c r="F94" s="1193" t="str">
        <f t="shared" si="115"/>
        <v xml:space="preserve">William Tse </v>
      </c>
      <c r="G94" s="1193" t="str">
        <f t="shared" si="115"/>
        <v>Jasper Hadley</v>
      </c>
      <c r="H94" s="1193" t="str">
        <f t="shared" si="115"/>
        <v>Zachary Hope</v>
      </c>
      <c r="I94" s="1193" t="str">
        <f t="shared" si="115"/>
        <v>Benjamin Askey</v>
      </c>
      <c r="J94" s="1193" t="str">
        <f t="shared" si="115"/>
        <v>Peter Holdsworth</v>
      </c>
      <c r="K94" s="1193" t="str">
        <f t="shared" si="115"/>
        <v>Elijah Brockway</v>
      </c>
      <c r="L94" s="1193" t="str">
        <f t="shared" si="115"/>
        <v>Karram Sahota</v>
      </c>
      <c r="M94" s="1188"/>
      <c r="N94" s="1188"/>
      <c r="O94" s="1188"/>
      <c r="P94" s="1188"/>
      <c r="Q94" s="1188"/>
      <c r="R94" s="1188"/>
      <c r="S94" s="1188"/>
      <c r="T94" s="1188"/>
      <c r="U94" s="1188"/>
      <c r="W94" s="32">
        <v>78</v>
      </c>
      <c r="X94" s="1194" t="str">
        <f>MID(D93,5,1)</f>
        <v>M</v>
      </c>
      <c r="Y94" s="419" t="str">
        <f t="shared" ref="Y94:AF94" si="116">VLOOKUP($A93,IF($X94="F",TeamSheetFemale,TeamSheetMale),Y$19,FALSE)</f>
        <v xml:space="preserve">William Tse </v>
      </c>
      <c r="Z94" s="419" t="str">
        <f t="shared" si="116"/>
        <v>Benjamin Askey</v>
      </c>
      <c r="AA94" s="419" t="str">
        <f t="shared" si="116"/>
        <v>Karram Sahota</v>
      </c>
      <c r="AB94" s="419" t="str">
        <f t="shared" si="116"/>
        <v>Ademiposi (Gideon) Aderibigbe</v>
      </c>
      <c r="AC94" s="419" t="str">
        <f t="shared" si="116"/>
        <v>Peter Holdsworth</v>
      </c>
      <c r="AD94" s="419" t="str">
        <f t="shared" si="116"/>
        <v>Jasper Hadley</v>
      </c>
      <c r="AE94" s="419" t="str">
        <f t="shared" si="116"/>
        <v>Elijah Brockway</v>
      </c>
      <c r="AF94" s="419" t="str">
        <f t="shared" si="116"/>
        <v>Zachary Hope</v>
      </c>
    </row>
    <row r="95" spans="1:32" ht="15" customHeight="1" thickBot="1" x14ac:dyDescent="0.35">
      <c r="A95" s="1189"/>
      <c r="B95" s="1195" t="s">
        <v>94</v>
      </c>
      <c r="C95" s="1196" t="s">
        <v>167</v>
      </c>
      <c r="D95" s="1197">
        <f>COUNTIF(E95:L95,"*")</f>
        <v>6</v>
      </c>
      <c r="E95" s="1198" t="str">
        <f t="shared" ref="E95:L95" si="117">HLOOKUP(LEFT(E93,1),$Y$17:$AF$181,$W95,FALSE)</f>
        <v>Samuel Airhihen</v>
      </c>
      <c r="F95" s="1198" t="str">
        <f t="shared" si="117"/>
        <v>Elliot Jones</v>
      </c>
      <c r="G95" s="1198" t="str">
        <f t="shared" si="117"/>
        <v>Otis Lesatele</v>
      </c>
      <c r="H95" s="1198">
        <f t="shared" si="117"/>
        <v>0</v>
      </c>
      <c r="I95" s="1198">
        <f t="shared" si="117"/>
        <v>0</v>
      </c>
      <c r="J95" s="1198" t="str">
        <f t="shared" si="117"/>
        <v>Ethan Miles</v>
      </c>
      <c r="K95" s="1198" t="str">
        <f t="shared" si="117"/>
        <v>Joseph Sizer</v>
      </c>
      <c r="L95" s="1198" t="str">
        <f t="shared" si="117"/>
        <v>Joshua Smith</v>
      </c>
      <c r="M95" s="1188"/>
      <c r="N95" s="1188"/>
      <c r="O95" s="1188"/>
      <c r="P95" s="1188"/>
      <c r="Q95" s="1188"/>
      <c r="R95" s="1188"/>
      <c r="S95" s="1188"/>
      <c r="T95" s="1188"/>
      <c r="U95" s="1188"/>
      <c r="W95" s="32">
        <v>79</v>
      </c>
      <c r="Y95" s="419" t="str">
        <f t="shared" ref="Y95:AF95" si="118">VLOOKUP($A93,IF($X94="F",TeamSheetFemale,TeamSheetMale),Y$20,FALSE)</f>
        <v>Elliot Jones</v>
      </c>
      <c r="Z95" s="419">
        <f t="shared" si="118"/>
        <v>0</v>
      </c>
      <c r="AA95" s="419" t="str">
        <f t="shared" si="118"/>
        <v>Joshua Smith</v>
      </c>
      <c r="AB95" s="419" t="str">
        <f t="shared" si="118"/>
        <v>Samuel Airhihen</v>
      </c>
      <c r="AC95" s="419" t="str">
        <f t="shared" si="118"/>
        <v>Ethan Miles</v>
      </c>
      <c r="AD95" s="419" t="str">
        <f t="shared" si="118"/>
        <v>Otis Lesatele</v>
      </c>
      <c r="AE95" s="419" t="str">
        <f t="shared" si="118"/>
        <v>Joseph Sizer</v>
      </c>
      <c r="AF95" s="419">
        <f t="shared" si="118"/>
        <v>0</v>
      </c>
    </row>
    <row r="96" spans="1:32" ht="15" customHeight="1" x14ac:dyDescent="0.3">
      <c r="A96" s="1255">
        <v>44</v>
      </c>
      <c r="B96" s="1185">
        <f>IF($A96&gt;0,VLOOKUP($A96,EventsOrder,2,FALSE)," ")</f>
        <v>2.4</v>
      </c>
      <c r="C96" s="1186" t="str">
        <f>IF($A96&gt;0,VLOOKUP($A96,EventsOrder,6,FALSE)," ")</f>
        <v xml:space="preserve">100m </v>
      </c>
      <c r="D96" s="1186" t="str">
        <f>IF($A96&gt;0,VLOOKUP($A96,EventsOrder,4,FALSE)," ")</f>
        <v>U16 Male</v>
      </c>
      <c r="E96" s="1187" t="str">
        <f t="shared" si="11"/>
        <v>M - Sol</v>
      </c>
      <c r="F96" s="1187" t="str">
        <f t="shared" si="12"/>
        <v>Y - Worc</v>
      </c>
      <c r="G96" s="1187" t="str">
        <f t="shared" si="13"/>
        <v>S - BRAT</v>
      </c>
      <c r="H96" s="1187" t="str">
        <f t="shared" si="14"/>
        <v>U - K&amp;S</v>
      </c>
      <c r="I96" s="1187" t="str">
        <f t="shared" si="15"/>
        <v>R - Rugby</v>
      </c>
      <c r="J96" s="1187" t="str">
        <f t="shared" si="16"/>
        <v>G - Royal</v>
      </c>
      <c r="K96" s="1187" t="str">
        <f t="shared" si="17"/>
        <v>D - Strat</v>
      </c>
      <c r="L96" s="1187" t="str">
        <f t="shared" si="18"/>
        <v>F - Tam</v>
      </c>
      <c r="M96" s="1188">
        <f>$F$14</f>
        <v>5</v>
      </c>
      <c r="N96" s="1188">
        <f>$L$14</f>
        <v>8</v>
      </c>
      <c r="O96" s="1188">
        <f>$I$14</f>
        <v>1</v>
      </c>
      <c r="P96" s="1188">
        <f>$H$14</f>
        <v>2</v>
      </c>
      <c r="Q96" s="1188">
        <f>$G$14</f>
        <v>4</v>
      </c>
      <c r="R96" s="1188">
        <f>$E$14</f>
        <v>3</v>
      </c>
      <c r="S96" s="1188">
        <f>$J$14</f>
        <v>6</v>
      </c>
      <c r="T96" s="1188">
        <f>$K$14</f>
        <v>7</v>
      </c>
      <c r="U96" s="1188">
        <f t="shared" si="6"/>
        <v>36</v>
      </c>
      <c r="W96" s="32">
        <v>80</v>
      </c>
    </row>
    <row r="97" spans="1:32" ht="15" customHeight="1" x14ac:dyDescent="0.3">
      <c r="A97" s="1189"/>
      <c r="B97" s="1190" t="s">
        <v>149</v>
      </c>
      <c r="C97" s="1191" t="s">
        <v>167</v>
      </c>
      <c r="D97" s="1192">
        <f>COUNTIF(E97:L97,"*")</f>
        <v>8</v>
      </c>
      <c r="E97" s="1193" t="str">
        <f t="shared" ref="E97:L97" si="119">HLOOKUP(LEFT(E96,1),$Y$17:$AF$181,$W97,FALSE)</f>
        <v>Charlie Hughes</v>
      </c>
      <c r="F97" s="1193" t="str">
        <f t="shared" si="119"/>
        <v>Hayden Helme</v>
      </c>
      <c r="G97" s="1193" t="str">
        <f t="shared" si="119"/>
        <v>Dominic Francis-Gordon</v>
      </c>
      <c r="H97" s="1193" t="str">
        <f t="shared" si="119"/>
        <v>Harry Morton</v>
      </c>
      <c r="I97" s="1193" t="str">
        <f t="shared" si="119"/>
        <v>Matei Cosciug</v>
      </c>
      <c r="J97" s="1193" t="str">
        <f t="shared" si="119"/>
        <v>Alex Taylor</v>
      </c>
      <c r="K97" s="1193" t="str">
        <f t="shared" si="119"/>
        <v xml:space="preserve">George Stacey Harper </v>
      </c>
      <c r="L97" s="1193" t="str">
        <f t="shared" si="119"/>
        <v>Oscar Brehler</v>
      </c>
      <c r="M97" s="1188"/>
      <c r="N97" s="1188"/>
      <c r="O97" s="1188"/>
      <c r="P97" s="1188"/>
      <c r="Q97" s="1188"/>
      <c r="R97" s="1188"/>
      <c r="S97" s="1188"/>
      <c r="T97" s="1188"/>
      <c r="U97" s="1188"/>
      <c r="W97" s="32">
        <v>81</v>
      </c>
      <c r="X97" s="1194" t="str">
        <f>MID(D96,5,1)</f>
        <v>M</v>
      </c>
      <c r="Y97" s="419" t="str">
        <f t="shared" ref="Y97:AF97" si="120">VLOOKUP($A96,IF($X97="F",TeamSheetFemale,TeamSheetMale),Y$19,FALSE)</f>
        <v>Dominic Francis-Gordon</v>
      </c>
      <c r="Z97" s="419" t="str">
        <f t="shared" si="120"/>
        <v>Harry Morton</v>
      </c>
      <c r="AA97" s="419" t="str">
        <f t="shared" si="120"/>
        <v>Alex Taylor</v>
      </c>
      <c r="AB97" s="419" t="str">
        <f t="shared" si="120"/>
        <v>Matei Cosciug</v>
      </c>
      <c r="AC97" s="419" t="str">
        <f t="shared" si="120"/>
        <v>Charlie Hughes</v>
      </c>
      <c r="AD97" s="419" t="str">
        <f t="shared" si="120"/>
        <v xml:space="preserve">George Stacey Harper </v>
      </c>
      <c r="AE97" s="419" t="str">
        <f t="shared" si="120"/>
        <v>Oscar Brehler</v>
      </c>
      <c r="AF97" s="419" t="str">
        <f t="shared" si="120"/>
        <v>Hayden Helme</v>
      </c>
    </row>
    <row r="98" spans="1:32" ht="15" customHeight="1" thickBot="1" x14ac:dyDescent="0.35">
      <c r="A98" s="1189"/>
      <c r="B98" s="1195" t="s">
        <v>94</v>
      </c>
      <c r="C98" s="1196" t="s">
        <v>167</v>
      </c>
      <c r="D98" s="1197">
        <f>COUNTIF(E98:L98,"*")</f>
        <v>6</v>
      </c>
      <c r="E98" s="1198" t="str">
        <f t="shared" ref="E98:L98" si="121">HLOOKUP(LEFT(E96,1),$Y$17:$AF$181,$W98,FALSE)</f>
        <v>Jason Bedford</v>
      </c>
      <c r="F98" s="1198">
        <f t="shared" si="121"/>
        <v>0</v>
      </c>
      <c r="G98" s="1198" t="str">
        <f t="shared" si="121"/>
        <v>Heinrich</v>
      </c>
      <c r="H98" s="1198">
        <f t="shared" si="121"/>
        <v>0</v>
      </c>
      <c r="I98" s="1198" t="str">
        <f t="shared" si="121"/>
        <v>Gigi Okere</v>
      </c>
      <c r="J98" s="1198" t="str">
        <f t="shared" si="121"/>
        <v>Amos Aucutt</v>
      </c>
      <c r="K98" s="1198" t="str">
        <f t="shared" si="121"/>
        <v>Toby Hughes Webb</v>
      </c>
      <c r="L98" s="1198" t="str">
        <f t="shared" si="121"/>
        <v>Arjun Singh Hira</v>
      </c>
      <c r="M98" s="1188"/>
      <c r="N98" s="1188"/>
      <c r="O98" s="1188"/>
      <c r="P98" s="1188"/>
      <c r="Q98" s="1188"/>
      <c r="R98" s="1188"/>
      <c r="S98" s="1188"/>
      <c r="T98" s="1188"/>
      <c r="U98" s="1188"/>
      <c r="W98" s="32">
        <v>82</v>
      </c>
      <c r="Y98" s="419" t="str">
        <f t="shared" ref="Y98:AF98" si="122">VLOOKUP($A96,IF($X97="F",TeamSheetFemale,TeamSheetMale),Y$20,FALSE)</f>
        <v>Heinrich</v>
      </c>
      <c r="Z98" s="419">
        <f t="shared" si="122"/>
        <v>0</v>
      </c>
      <c r="AA98" s="419" t="str">
        <f t="shared" si="122"/>
        <v>Amos Aucutt</v>
      </c>
      <c r="AB98" s="419" t="str">
        <f t="shared" si="122"/>
        <v>Gigi Okere</v>
      </c>
      <c r="AC98" s="419" t="str">
        <f t="shared" si="122"/>
        <v>Jason Bedford</v>
      </c>
      <c r="AD98" s="419" t="str">
        <f t="shared" si="122"/>
        <v>Toby Hughes Webb</v>
      </c>
      <c r="AE98" s="419" t="str">
        <f t="shared" si="122"/>
        <v>Arjun Singh Hira</v>
      </c>
      <c r="AF98" s="419">
        <f t="shared" si="122"/>
        <v>0</v>
      </c>
    </row>
    <row r="99" spans="1:32" ht="15" customHeight="1" x14ac:dyDescent="0.3">
      <c r="A99" s="1255">
        <v>46</v>
      </c>
      <c r="B99" s="1185">
        <f>IF($A99&gt;0,VLOOKUP($A99,EventsOrder,2,FALSE)," ")</f>
        <v>2.4500000000000002</v>
      </c>
      <c r="C99" s="1186" t="str">
        <f>IF($A99&gt;0,VLOOKUP($A99,EventsOrder,6,FALSE)," ")</f>
        <v xml:space="preserve">100m (U18/U20) </v>
      </c>
      <c r="D99" s="1186" t="str">
        <f>IF($A99&gt;0,VLOOKUP($A99,EventsOrder,4,FALSE)," ")</f>
        <v>U18 Men</v>
      </c>
      <c r="E99" s="1187" t="str">
        <f t="shared" si="11"/>
        <v>S - BRAT</v>
      </c>
      <c r="F99" s="1187" t="str">
        <f t="shared" si="12"/>
        <v>D - Strat</v>
      </c>
      <c r="G99" s="1187" t="str">
        <f t="shared" si="13"/>
        <v>G - Royal</v>
      </c>
      <c r="H99" s="1187" t="str">
        <f t="shared" si="14"/>
        <v>R - Rugby</v>
      </c>
      <c r="I99" s="1187" t="str">
        <f t="shared" si="15"/>
        <v>Y - Worc</v>
      </c>
      <c r="J99" s="1187" t="str">
        <f t="shared" si="16"/>
        <v>F - Tam</v>
      </c>
      <c r="K99" s="1187" t="str">
        <f t="shared" si="17"/>
        <v>U - K&amp;S</v>
      </c>
      <c r="L99" s="1187" t="str">
        <f t="shared" si="18"/>
        <v>M - Sol</v>
      </c>
      <c r="M99" s="1188">
        <f>$I$14</f>
        <v>1</v>
      </c>
      <c r="N99" s="1188">
        <f>$J$14</f>
        <v>6</v>
      </c>
      <c r="O99" s="1188">
        <f>$E$14</f>
        <v>3</v>
      </c>
      <c r="P99" s="1188">
        <f>$G$14</f>
        <v>4</v>
      </c>
      <c r="Q99" s="1188">
        <f>$L$14</f>
        <v>8</v>
      </c>
      <c r="R99" s="1188">
        <f>$K$14</f>
        <v>7</v>
      </c>
      <c r="S99" s="1188">
        <f>$H$14</f>
        <v>2</v>
      </c>
      <c r="T99" s="1188">
        <f>$F$14</f>
        <v>5</v>
      </c>
      <c r="U99" s="1188">
        <f t="shared" si="6"/>
        <v>36</v>
      </c>
      <c r="W99" s="32">
        <v>83</v>
      </c>
    </row>
    <row r="100" spans="1:32" ht="15" customHeight="1" x14ac:dyDescent="0.3">
      <c r="A100" s="1189"/>
      <c r="B100" s="1190" t="s">
        <v>149</v>
      </c>
      <c r="C100" s="1191" t="s">
        <v>167</v>
      </c>
      <c r="D100" s="1192">
        <f>COUNTIF(E100:L100,"*")</f>
        <v>5</v>
      </c>
      <c r="E100" s="1193" t="str">
        <f t="shared" ref="E100:L100" si="123">HLOOKUP(LEFT(E99,1),$Y$17:$AF$181,$W100,FALSE)</f>
        <v>Miguel Daley</v>
      </c>
      <c r="F100" s="1193" t="str">
        <f t="shared" si="123"/>
        <v>George Wright</v>
      </c>
      <c r="G100" s="1193" t="str">
        <f t="shared" si="123"/>
        <v>K'Shein Radcliffe</v>
      </c>
      <c r="H100" s="1193" t="str">
        <f t="shared" si="123"/>
        <v>Georgios Ammari</v>
      </c>
      <c r="I100" s="1193">
        <f t="shared" si="123"/>
        <v>0</v>
      </c>
      <c r="J100" s="1193">
        <f t="shared" si="123"/>
        <v>0</v>
      </c>
      <c r="K100" s="1193">
        <f t="shared" si="123"/>
        <v>0</v>
      </c>
      <c r="L100" s="1193" t="str">
        <f t="shared" si="123"/>
        <v>Noah Latusek</v>
      </c>
      <c r="M100" s="1188"/>
      <c r="N100" s="1188"/>
      <c r="O100" s="1188"/>
      <c r="P100" s="1188"/>
      <c r="Q100" s="1188"/>
      <c r="R100" s="1188"/>
      <c r="S100" s="1188"/>
      <c r="T100" s="1188"/>
      <c r="U100" s="1188"/>
      <c r="W100" s="32">
        <v>84</v>
      </c>
      <c r="X100" s="1194" t="str">
        <f>MID(D99,5,1)</f>
        <v>M</v>
      </c>
      <c r="Y100" s="419" t="str">
        <f t="shared" ref="Y100:AF100" si="124">VLOOKUP($A99,IF($X100="F",TeamSheetFemale,TeamSheetMale),Y$19,FALSE)</f>
        <v>Miguel Daley</v>
      </c>
      <c r="Z100" s="419">
        <f t="shared" si="124"/>
        <v>0</v>
      </c>
      <c r="AA100" s="419" t="str">
        <f t="shared" si="124"/>
        <v>K'Shein Radcliffe</v>
      </c>
      <c r="AB100" s="419" t="str">
        <f t="shared" si="124"/>
        <v>Georgios Ammari</v>
      </c>
      <c r="AC100" s="419" t="str">
        <f t="shared" si="124"/>
        <v>Noah Latusek</v>
      </c>
      <c r="AD100" s="419" t="str">
        <f t="shared" si="124"/>
        <v>George Wright</v>
      </c>
      <c r="AE100" s="419">
        <f t="shared" si="124"/>
        <v>0</v>
      </c>
      <c r="AF100" s="419">
        <f t="shared" si="124"/>
        <v>0</v>
      </c>
    </row>
    <row r="101" spans="1:32" ht="15" customHeight="1" thickBot="1" x14ac:dyDescent="0.35">
      <c r="A101" s="1189"/>
      <c r="B101" s="1195" t="s">
        <v>94</v>
      </c>
      <c r="C101" s="1196" t="s">
        <v>167</v>
      </c>
      <c r="D101" s="1197">
        <f>COUNTIF(E101:L101,"*")</f>
        <v>4</v>
      </c>
      <c r="E101" s="1198" t="str">
        <f t="shared" ref="E101:L101" si="125">HLOOKUP(LEFT(E99,1),$Y$17:$AF$181,$W101,FALSE)</f>
        <v>Saleh Beshir</v>
      </c>
      <c r="F101" s="1198">
        <f t="shared" si="125"/>
        <v>0</v>
      </c>
      <c r="G101" s="1198" t="str">
        <f t="shared" si="125"/>
        <v>Jamie Millichamp</v>
      </c>
      <c r="H101" s="1198" t="str">
        <f t="shared" si="125"/>
        <v>Ricardo Campos</v>
      </c>
      <c r="I101" s="1198">
        <f t="shared" si="125"/>
        <v>0</v>
      </c>
      <c r="J101" s="1198">
        <f t="shared" si="125"/>
        <v>0</v>
      </c>
      <c r="K101" s="1198">
        <f t="shared" si="125"/>
        <v>0</v>
      </c>
      <c r="L101" s="1198" t="str">
        <f t="shared" si="125"/>
        <v>Ben Hilton</v>
      </c>
      <c r="M101" s="1188"/>
      <c r="N101" s="1188"/>
      <c r="O101" s="1188"/>
      <c r="P101" s="1188"/>
      <c r="Q101" s="1188"/>
      <c r="R101" s="1188"/>
      <c r="S101" s="1188"/>
      <c r="T101" s="1188"/>
      <c r="U101" s="1188"/>
      <c r="W101" s="32">
        <v>85</v>
      </c>
      <c r="Y101" s="419" t="str">
        <f t="shared" ref="Y101:AF101" si="126">VLOOKUP($A99,IF($X100="F",TeamSheetFemale,TeamSheetMale),Y$20,FALSE)</f>
        <v>Saleh Beshir</v>
      </c>
      <c r="Z101" s="419">
        <f t="shared" si="126"/>
        <v>0</v>
      </c>
      <c r="AA101" s="419" t="str">
        <f t="shared" si="126"/>
        <v>Jamie Millichamp</v>
      </c>
      <c r="AB101" s="419" t="str">
        <f t="shared" si="126"/>
        <v>Ricardo Campos</v>
      </c>
      <c r="AC101" s="419" t="str">
        <f t="shared" si="126"/>
        <v>Ben Hilton</v>
      </c>
      <c r="AD101" s="419">
        <f t="shared" si="126"/>
        <v>0</v>
      </c>
      <c r="AE101" s="419">
        <f t="shared" si="126"/>
        <v>0</v>
      </c>
      <c r="AF101" s="419">
        <f t="shared" si="126"/>
        <v>0</v>
      </c>
    </row>
    <row r="102" spans="1:32" ht="15" customHeight="1" x14ac:dyDescent="0.3">
      <c r="A102" s="1255">
        <v>50</v>
      </c>
      <c r="B102" s="1185">
        <f>IF($A102&gt;0,VLOOKUP($A102,EventsOrder,2,FALSE)," ")</f>
        <v>3</v>
      </c>
      <c r="C102" s="1186" t="str">
        <f>IF($A102&gt;0,VLOOKUP($A102,EventsOrder,6,FALSE)," ")</f>
        <v xml:space="preserve">75m </v>
      </c>
      <c r="D102" s="1186" t="str">
        <f>IF($A102&gt;0,VLOOKUP($A102,EventsOrder,4,FALSE)," ")</f>
        <v>U12 Female</v>
      </c>
      <c r="E102" s="1187" t="str">
        <f t="shared" si="11"/>
        <v>Y - Worc</v>
      </c>
      <c r="F102" s="1187" t="str">
        <f t="shared" si="12"/>
        <v>M - Sol</v>
      </c>
      <c r="G102" s="1187" t="str">
        <f t="shared" si="13"/>
        <v>U - K&amp;S</v>
      </c>
      <c r="H102" s="1187" t="str">
        <f t="shared" si="14"/>
        <v>S - BRAT</v>
      </c>
      <c r="I102" s="1187" t="str">
        <f t="shared" si="15"/>
        <v>F - Tam</v>
      </c>
      <c r="J102" s="1187" t="str">
        <f t="shared" si="16"/>
        <v>R - Rugby</v>
      </c>
      <c r="K102" s="1187" t="str">
        <f t="shared" si="17"/>
        <v>G - Royal</v>
      </c>
      <c r="L102" s="1187" t="str">
        <f t="shared" si="18"/>
        <v>D - Strat</v>
      </c>
      <c r="M102" s="1188">
        <f>$L$14</f>
        <v>8</v>
      </c>
      <c r="N102" s="1188">
        <f>$F$14</f>
        <v>5</v>
      </c>
      <c r="O102" s="1188">
        <f>$H$14</f>
        <v>2</v>
      </c>
      <c r="P102" s="1188">
        <f>$I$14</f>
        <v>1</v>
      </c>
      <c r="Q102" s="1188">
        <f>$K$14</f>
        <v>7</v>
      </c>
      <c r="R102" s="1188">
        <f>$G$14</f>
        <v>4</v>
      </c>
      <c r="S102" s="1188">
        <f>$E$14</f>
        <v>3</v>
      </c>
      <c r="T102" s="1188">
        <f>$J$14</f>
        <v>6</v>
      </c>
      <c r="U102" s="1188">
        <f t="shared" si="6"/>
        <v>36</v>
      </c>
      <c r="W102" s="32">
        <v>86</v>
      </c>
    </row>
    <row r="103" spans="1:32" ht="15" customHeight="1" x14ac:dyDescent="0.3">
      <c r="A103" s="1189"/>
      <c r="B103" s="1190" t="s">
        <v>149</v>
      </c>
      <c r="C103" s="1191" t="s">
        <v>167</v>
      </c>
      <c r="D103" s="1192">
        <f>COUNTIF(E103:L103,"*")</f>
        <v>8</v>
      </c>
      <c r="E103" s="1193" t="str">
        <f t="shared" ref="E103:L103" si="127">HLOOKUP(LEFT(E102,1),$Y$17:$AF$181,$W103,FALSE)</f>
        <v>Ella Dyer</v>
      </c>
      <c r="F103" s="1193" t="str">
        <f t="shared" si="127"/>
        <v>Molly Dale</v>
      </c>
      <c r="G103" s="1193" t="str">
        <f t="shared" si="127"/>
        <v xml:space="preserve">Amelija Mendelyte </v>
      </c>
      <c r="H103" s="1193" t="str">
        <f t="shared" si="127"/>
        <v>Beatrice-Rosie Follows</v>
      </c>
      <c r="I103" s="1193" t="str">
        <f t="shared" si="127"/>
        <v>Eden Farmer</v>
      </c>
      <c r="J103" s="1193" t="str">
        <f t="shared" si="127"/>
        <v>Tavayah Lennox</v>
      </c>
      <c r="K103" s="1193" t="str">
        <f t="shared" si="127"/>
        <v xml:space="preserve">Lila Wilmore </v>
      </c>
      <c r="L103" s="1193" t="str">
        <f t="shared" si="127"/>
        <v>Megan White</v>
      </c>
      <c r="M103" s="1188"/>
      <c r="N103" s="1188"/>
      <c r="O103" s="1188"/>
      <c r="P103" s="1188"/>
      <c r="Q103" s="1188"/>
      <c r="R103" s="1188"/>
      <c r="S103" s="1188"/>
      <c r="T103" s="1188"/>
      <c r="U103" s="1188"/>
      <c r="W103" s="32">
        <v>87</v>
      </c>
      <c r="X103" s="1194" t="str">
        <f>MID(D102,5,1)</f>
        <v>F</v>
      </c>
      <c r="Y103" s="419" t="str">
        <f t="shared" ref="Y103:AF103" si="128">VLOOKUP($A102,IF($X103="F",TeamSheetFemale,TeamSheetMale),Y$19,FALSE)</f>
        <v>Beatrice-Rosie Follows</v>
      </c>
      <c r="Z103" s="419" t="str">
        <f t="shared" si="128"/>
        <v xml:space="preserve">Amelija Mendelyte </v>
      </c>
      <c r="AA103" s="419" t="str">
        <f t="shared" si="128"/>
        <v xml:space="preserve">Lila Wilmore </v>
      </c>
      <c r="AB103" s="419" t="str">
        <f t="shared" si="128"/>
        <v>Tavayah Lennox</v>
      </c>
      <c r="AC103" s="419" t="str">
        <f t="shared" si="128"/>
        <v>Molly Dale</v>
      </c>
      <c r="AD103" s="419" t="str">
        <f t="shared" si="128"/>
        <v>Megan White</v>
      </c>
      <c r="AE103" s="419" t="str">
        <f t="shared" si="128"/>
        <v>Eden Farmer</v>
      </c>
      <c r="AF103" s="419" t="str">
        <f t="shared" si="128"/>
        <v>Ella Dyer</v>
      </c>
    </row>
    <row r="104" spans="1:32" ht="15" customHeight="1" thickBot="1" x14ac:dyDescent="0.35">
      <c r="A104" s="1189"/>
      <c r="B104" s="1195" t="s">
        <v>94</v>
      </c>
      <c r="C104" s="1196" t="s">
        <v>167</v>
      </c>
      <c r="D104" s="1197">
        <f>COUNTIF(E104:L104,"*")</f>
        <v>8</v>
      </c>
      <c r="E104" s="1198" t="str">
        <f t="shared" ref="E104:L104" si="129">HLOOKUP(LEFT(E102,1),$Y$17:$AF$181,$W104,FALSE)</f>
        <v>Annabelle Hadland</v>
      </c>
      <c r="F104" s="1198" t="str">
        <f t="shared" si="129"/>
        <v>Seren Dhami</v>
      </c>
      <c r="G104" s="1198" t="str">
        <f t="shared" si="129"/>
        <v>Alica Bland</v>
      </c>
      <c r="H104" s="1198" t="str">
        <f t="shared" si="129"/>
        <v>Khushi Chanal</v>
      </c>
      <c r="I104" s="1198" t="str">
        <f t="shared" si="129"/>
        <v>Peppi-Rose Sweet</v>
      </c>
      <c r="J104" s="1198" t="str">
        <f t="shared" si="129"/>
        <v>Ava Lawrence</v>
      </c>
      <c r="K104" s="1198" t="str">
        <f t="shared" si="129"/>
        <v xml:space="preserve">Isabelle Wakeman </v>
      </c>
      <c r="L104" s="1198" t="str">
        <f t="shared" si="129"/>
        <v>Elsie Gould</v>
      </c>
      <c r="M104" s="1188"/>
      <c r="N104" s="1188"/>
      <c r="O104" s="1188"/>
      <c r="P104" s="1188"/>
      <c r="Q104" s="1188"/>
      <c r="R104" s="1188"/>
      <c r="S104" s="1188"/>
      <c r="T104" s="1188"/>
      <c r="U104" s="1188"/>
      <c r="W104" s="32">
        <v>88</v>
      </c>
      <c r="Y104" s="419" t="str">
        <f t="shared" ref="Y104:AF104" si="130">VLOOKUP($A102,IF($X103="F",TeamSheetFemale,TeamSheetMale),Y$20,FALSE)</f>
        <v>Khushi Chanal</v>
      </c>
      <c r="Z104" s="419" t="str">
        <f t="shared" si="130"/>
        <v>Alica Bland</v>
      </c>
      <c r="AA104" s="419" t="str">
        <f t="shared" si="130"/>
        <v xml:space="preserve">Isabelle Wakeman </v>
      </c>
      <c r="AB104" s="419" t="str">
        <f t="shared" si="130"/>
        <v>Ava Lawrence</v>
      </c>
      <c r="AC104" s="419" t="str">
        <f t="shared" si="130"/>
        <v>Seren Dhami</v>
      </c>
      <c r="AD104" s="419" t="str">
        <f t="shared" si="130"/>
        <v>Elsie Gould</v>
      </c>
      <c r="AE104" s="419" t="str">
        <f t="shared" si="130"/>
        <v>Peppi-Rose Sweet</v>
      </c>
      <c r="AF104" s="419" t="str">
        <f t="shared" si="130"/>
        <v>Annabelle Hadland</v>
      </c>
    </row>
    <row r="105" spans="1:32" ht="15" customHeight="1" x14ac:dyDescent="0.3">
      <c r="A105" s="1255">
        <v>53</v>
      </c>
      <c r="B105" s="1185">
        <f>IF($A105&gt;0,VLOOKUP($A105,EventsOrder,2,FALSE)," ")</f>
        <v>2.5499999999999998</v>
      </c>
      <c r="C105" s="1186" t="str">
        <f>IF($A105&gt;0,VLOOKUP($A105,EventsOrder,6,FALSE)," ")</f>
        <v xml:space="preserve">75m </v>
      </c>
      <c r="D105" s="1186" t="str">
        <f>IF($A105&gt;0,VLOOKUP($A105,EventsOrder,4,FALSE)," ")</f>
        <v>U12 Male</v>
      </c>
      <c r="E105" s="1187" t="str">
        <f t="shared" si="11"/>
        <v>U - K&amp;S</v>
      </c>
      <c r="F105" s="1187" t="str">
        <f t="shared" si="12"/>
        <v>F - Tam</v>
      </c>
      <c r="G105" s="1187" t="str">
        <f t="shared" si="13"/>
        <v>R - Rugby</v>
      </c>
      <c r="H105" s="1187" t="str">
        <f t="shared" si="14"/>
        <v>G - Royal</v>
      </c>
      <c r="I105" s="1187" t="str">
        <f t="shared" si="15"/>
        <v>D - Strat</v>
      </c>
      <c r="J105" s="1187" t="str">
        <f t="shared" si="16"/>
        <v>S - BRAT</v>
      </c>
      <c r="K105" s="1187" t="str">
        <f t="shared" si="17"/>
        <v>M - Sol</v>
      </c>
      <c r="L105" s="1187" t="str">
        <f t="shared" si="18"/>
        <v>Y - Worc</v>
      </c>
      <c r="M105" s="1188">
        <f>$H$14</f>
        <v>2</v>
      </c>
      <c r="N105" s="1188">
        <f>$K$14</f>
        <v>7</v>
      </c>
      <c r="O105" s="1188">
        <f>$G$14</f>
        <v>4</v>
      </c>
      <c r="P105" s="1188">
        <f>$E$14</f>
        <v>3</v>
      </c>
      <c r="Q105" s="1188">
        <f>$J$14</f>
        <v>6</v>
      </c>
      <c r="R105" s="1188">
        <f>$I$14</f>
        <v>1</v>
      </c>
      <c r="S105" s="1188">
        <f>$F$14</f>
        <v>5</v>
      </c>
      <c r="T105" s="1188">
        <f>$L$14</f>
        <v>8</v>
      </c>
      <c r="U105" s="1188">
        <f t="shared" si="6"/>
        <v>36</v>
      </c>
      <c r="W105" s="32">
        <v>89</v>
      </c>
    </row>
    <row r="106" spans="1:32" ht="15" customHeight="1" x14ac:dyDescent="0.3">
      <c r="A106" s="1189"/>
      <c r="B106" s="1190" t="s">
        <v>149</v>
      </c>
      <c r="C106" s="1191" t="s">
        <v>167</v>
      </c>
      <c r="D106" s="1192">
        <f>COUNTIF(E106:L106,"*")</f>
        <v>8</v>
      </c>
      <c r="E106" s="1193" t="str">
        <f t="shared" ref="E106:L106" si="131">HLOOKUP(LEFT(E105,1),$Y$17:$AF$181,$W106,FALSE)</f>
        <v>Alex Velasquez</v>
      </c>
      <c r="F106" s="1193" t="str">
        <f t="shared" si="131"/>
        <v>Evan Darby</v>
      </c>
      <c r="G106" s="1193" t="str">
        <f t="shared" si="131"/>
        <v>Chiemerie Okwara</v>
      </c>
      <c r="H106" s="1193" t="str">
        <f t="shared" si="131"/>
        <v>Daniel wood</v>
      </c>
      <c r="I106" s="1193" t="str">
        <f t="shared" si="131"/>
        <v>Henry Yates</v>
      </c>
      <c r="J106" s="1193" t="str">
        <f t="shared" si="131"/>
        <v xml:space="preserve">Adrian Ward </v>
      </c>
      <c r="K106" s="1193" t="str">
        <f t="shared" si="131"/>
        <v>Sam Roberts</v>
      </c>
      <c r="L106" s="1193" t="str">
        <f t="shared" si="131"/>
        <v>Thomas Jenkinson</v>
      </c>
      <c r="M106" s="1188"/>
      <c r="N106" s="1188"/>
      <c r="O106" s="1188"/>
      <c r="P106" s="1188"/>
      <c r="Q106" s="1188"/>
      <c r="R106" s="1188"/>
      <c r="S106" s="1188"/>
      <c r="T106" s="1188"/>
      <c r="U106" s="1188"/>
      <c r="W106" s="32">
        <v>90</v>
      </c>
      <c r="X106" s="1194" t="str">
        <f>MID(D105,5,1)</f>
        <v>M</v>
      </c>
      <c r="Y106" s="419" t="str">
        <f t="shared" ref="Y106:AF106" si="132">VLOOKUP($A105,IF($X106="F",TeamSheetFemale,TeamSheetMale),Y$19,FALSE)</f>
        <v xml:space="preserve">Adrian Ward </v>
      </c>
      <c r="Z106" s="419" t="str">
        <f t="shared" si="132"/>
        <v>Alex Velasquez</v>
      </c>
      <c r="AA106" s="419" t="str">
        <f t="shared" si="132"/>
        <v>Daniel wood</v>
      </c>
      <c r="AB106" s="419" t="str">
        <f t="shared" si="132"/>
        <v>Chiemerie Okwara</v>
      </c>
      <c r="AC106" s="419" t="str">
        <f t="shared" si="132"/>
        <v>Sam Roberts</v>
      </c>
      <c r="AD106" s="419" t="str">
        <f t="shared" si="132"/>
        <v>Henry Yates</v>
      </c>
      <c r="AE106" s="419" t="str">
        <f t="shared" si="132"/>
        <v>Evan Darby</v>
      </c>
      <c r="AF106" s="419" t="str">
        <f t="shared" si="132"/>
        <v>Thomas Jenkinson</v>
      </c>
    </row>
    <row r="107" spans="1:32" ht="15" customHeight="1" thickBot="1" x14ac:dyDescent="0.35">
      <c r="A107" s="1189"/>
      <c r="B107" s="1195" t="s">
        <v>94</v>
      </c>
      <c r="C107" s="1196" t="s">
        <v>167</v>
      </c>
      <c r="D107" s="1197">
        <f>COUNTIF(E107:L107,"*")</f>
        <v>7</v>
      </c>
      <c r="E107" s="1198">
        <f t="shared" ref="E107:L107" si="133">HLOOKUP(LEFT(E105,1),$Y$17:$AF$181,$W107,FALSE)</f>
        <v>0</v>
      </c>
      <c r="F107" s="1198" t="str">
        <f t="shared" si="133"/>
        <v>Oliver Eaton</v>
      </c>
      <c r="G107" s="1198" t="str">
        <f t="shared" si="133"/>
        <v>Dallas Burrrows Pitt</v>
      </c>
      <c r="H107" s="1198" t="str">
        <f t="shared" si="133"/>
        <v xml:space="preserve">Khari Caines </v>
      </c>
      <c r="I107" s="1198" t="str">
        <f t="shared" si="133"/>
        <v>Henry Cotton</v>
      </c>
      <c r="J107" s="1198" t="str">
        <f t="shared" si="133"/>
        <v xml:space="preserve">Oliver brooks </v>
      </c>
      <c r="K107" s="1198" t="str">
        <f t="shared" si="133"/>
        <v>Troy Hall</v>
      </c>
      <c r="L107" s="1198" t="str">
        <f t="shared" si="133"/>
        <v>Lloyd Kerry</v>
      </c>
      <c r="M107" s="1188"/>
      <c r="N107" s="1188"/>
      <c r="O107" s="1188"/>
      <c r="P107" s="1188"/>
      <c r="Q107" s="1188"/>
      <c r="R107" s="1188"/>
      <c r="S107" s="1188"/>
      <c r="T107" s="1188"/>
      <c r="U107" s="1188"/>
      <c r="W107" s="32">
        <v>91</v>
      </c>
      <c r="Y107" s="419" t="str">
        <f t="shared" ref="Y107:AF107" si="134">VLOOKUP($A105,IF($X106="F",TeamSheetFemale,TeamSheetMale),Y$20,FALSE)</f>
        <v xml:space="preserve">Oliver brooks </v>
      </c>
      <c r="Z107" s="419">
        <f t="shared" si="134"/>
        <v>0</v>
      </c>
      <c r="AA107" s="419" t="str">
        <f t="shared" si="134"/>
        <v xml:space="preserve">Khari Caines </v>
      </c>
      <c r="AB107" s="419" t="str">
        <f t="shared" si="134"/>
        <v>Dallas Burrrows Pitt</v>
      </c>
      <c r="AC107" s="419" t="str">
        <f t="shared" si="134"/>
        <v>Troy Hall</v>
      </c>
      <c r="AD107" s="419" t="str">
        <f t="shared" si="134"/>
        <v>Henry Cotton</v>
      </c>
      <c r="AE107" s="419" t="str">
        <f t="shared" si="134"/>
        <v>Oliver Eaton</v>
      </c>
      <c r="AF107" s="419" t="str">
        <f t="shared" si="134"/>
        <v>Lloyd Kerry</v>
      </c>
    </row>
    <row r="108" spans="1:32" ht="15" customHeight="1" x14ac:dyDescent="0.3">
      <c r="A108" s="1255">
        <v>55</v>
      </c>
      <c r="B108" s="1185">
        <f>IF($A108&gt;0,VLOOKUP($A108,EventsOrder,2,FALSE)," ")</f>
        <v>3.1</v>
      </c>
      <c r="C108" s="1186" t="str">
        <f>IF($A108&gt;0,VLOOKUP($A108,EventsOrder,6,FALSE)," ")</f>
        <v xml:space="preserve">1500m </v>
      </c>
      <c r="D108" s="1186" t="str">
        <f>IF($A108&gt;0,VLOOKUP($A108,EventsOrder,4,FALSE)," ")</f>
        <v>U14 Male</v>
      </c>
      <c r="E108" s="1187" t="str">
        <f t="shared" si="11"/>
        <v>F - Tam</v>
      </c>
      <c r="F108" s="1187" t="str">
        <f t="shared" si="12"/>
        <v>R - Rugby</v>
      </c>
      <c r="G108" s="1187" t="str">
        <f t="shared" si="13"/>
        <v>G - Royal</v>
      </c>
      <c r="H108" s="1187" t="str">
        <f t="shared" si="14"/>
        <v>U - K&amp;S</v>
      </c>
      <c r="I108" s="1187" t="str">
        <f t="shared" si="15"/>
        <v>Y - Worc</v>
      </c>
      <c r="J108" s="1187" t="str">
        <f t="shared" si="16"/>
        <v>S - BRAT</v>
      </c>
      <c r="K108" s="1187" t="str">
        <f t="shared" si="17"/>
        <v>D - Strat</v>
      </c>
      <c r="L108" s="1187" t="str">
        <f t="shared" si="18"/>
        <v>M - Sol</v>
      </c>
      <c r="M108" s="1188">
        <v>7</v>
      </c>
      <c r="N108" s="1188">
        <f>$G$14</f>
        <v>4</v>
      </c>
      <c r="O108" s="1188">
        <f>$E$14</f>
        <v>3</v>
      </c>
      <c r="P108" s="1188">
        <f>$H$14</f>
        <v>2</v>
      </c>
      <c r="Q108" s="1188">
        <f>$L$14</f>
        <v>8</v>
      </c>
      <c r="R108" s="1188">
        <v>1</v>
      </c>
      <c r="S108" s="1188">
        <f>$J$14</f>
        <v>6</v>
      </c>
      <c r="T108" s="1188">
        <f>$F$14</f>
        <v>5</v>
      </c>
      <c r="U108" s="1188">
        <f t="shared" si="6"/>
        <v>36</v>
      </c>
      <c r="W108" s="32">
        <v>92</v>
      </c>
    </row>
    <row r="109" spans="1:32" ht="15" customHeight="1" x14ac:dyDescent="0.3">
      <c r="A109" s="1189"/>
      <c r="B109" s="1190" t="s">
        <v>149</v>
      </c>
      <c r="C109" s="1191" t="s">
        <v>167</v>
      </c>
      <c r="D109" s="1192">
        <f>COUNTIF(E109:L109,"*")</f>
        <v>6</v>
      </c>
      <c r="E109" s="1193">
        <f t="shared" ref="E109:L109" si="135">HLOOKUP(LEFT(E108,1),$Y$17:$AF$181,$W109,FALSE)</f>
        <v>0</v>
      </c>
      <c r="F109" s="1193" t="str">
        <f t="shared" si="135"/>
        <v>Wesley Hague</v>
      </c>
      <c r="G109" s="1193" t="str">
        <f t="shared" si="135"/>
        <v>Will Biddle</v>
      </c>
      <c r="H109" s="1193">
        <f t="shared" si="135"/>
        <v>0</v>
      </c>
      <c r="I109" s="1193" t="str">
        <f t="shared" si="135"/>
        <v>Zachary Hope</v>
      </c>
      <c r="J109" s="1193" t="str">
        <f t="shared" si="135"/>
        <v>Anaadh Singh</v>
      </c>
      <c r="K109" s="1193" t="str">
        <f t="shared" si="135"/>
        <v>Charlie Cassells</v>
      </c>
      <c r="L109" s="1193" t="str">
        <f t="shared" si="135"/>
        <v>Jacob Austerberry</v>
      </c>
      <c r="M109" s="1188"/>
      <c r="N109" s="1188"/>
      <c r="O109" s="1188"/>
      <c r="P109" s="1188"/>
      <c r="Q109" s="1188"/>
      <c r="R109" s="1188"/>
      <c r="S109" s="1188"/>
      <c r="T109" s="1188"/>
      <c r="U109" s="1188"/>
      <c r="W109" s="32">
        <v>93</v>
      </c>
      <c r="X109" s="1194" t="str">
        <f>MID(D108,5,1)</f>
        <v>M</v>
      </c>
      <c r="Y109" s="419" t="str">
        <f t="shared" ref="Y109:AF109" si="136">VLOOKUP($A108,IF($X109="F",TeamSheetFemale,TeamSheetMale),Y$19,FALSE)</f>
        <v>Anaadh Singh</v>
      </c>
      <c r="Z109" s="419">
        <f t="shared" si="136"/>
        <v>0</v>
      </c>
      <c r="AA109" s="419" t="str">
        <f t="shared" si="136"/>
        <v>Will Biddle</v>
      </c>
      <c r="AB109" s="419" t="str">
        <f t="shared" si="136"/>
        <v>Wesley Hague</v>
      </c>
      <c r="AC109" s="419" t="str">
        <f t="shared" si="136"/>
        <v>Jacob Austerberry</v>
      </c>
      <c r="AD109" s="419" t="str">
        <f t="shared" si="136"/>
        <v>Charlie Cassells</v>
      </c>
      <c r="AE109" s="419">
        <f t="shared" si="136"/>
        <v>0</v>
      </c>
      <c r="AF109" s="419" t="str">
        <f t="shared" si="136"/>
        <v>Zachary Hope</v>
      </c>
    </row>
    <row r="110" spans="1:32" ht="15" customHeight="1" thickBot="1" x14ac:dyDescent="0.35">
      <c r="A110" s="1189"/>
      <c r="B110" s="1195" t="s">
        <v>94</v>
      </c>
      <c r="C110" s="1196" t="s">
        <v>167</v>
      </c>
      <c r="D110" s="1197">
        <f>COUNTIF(E110:L110,"*")</f>
        <v>6</v>
      </c>
      <c r="E110" s="1198">
        <f t="shared" ref="E110:L110" si="137">HLOOKUP(LEFT(E108,1),$Y$17:$AF$181,$W110,FALSE)</f>
        <v>0</v>
      </c>
      <c r="F110" s="1198" t="str">
        <f t="shared" si="137"/>
        <v>Myles Marks</v>
      </c>
      <c r="G110" s="1198" t="str">
        <f t="shared" si="137"/>
        <v>Leo Nott</v>
      </c>
      <c r="H110" s="1198">
        <f t="shared" si="137"/>
        <v>0</v>
      </c>
      <c r="I110" s="1198" t="str">
        <f t="shared" si="137"/>
        <v>Alex Thompson</v>
      </c>
      <c r="J110" s="1198" t="str">
        <f t="shared" si="137"/>
        <v>George Wrigley</v>
      </c>
      <c r="K110" s="1198" t="str">
        <f t="shared" si="137"/>
        <v>Charlie Castle</v>
      </c>
      <c r="L110" s="1198" t="str">
        <f t="shared" si="137"/>
        <v>Noah Rush</v>
      </c>
      <c r="M110" s="1188"/>
      <c r="N110" s="1188"/>
      <c r="O110" s="1188"/>
      <c r="P110" s="1188"/>
      <c r="Q110" s="1188"/>
      <c r="R110" s="1188"/>
      <c r="S110" s="1188"/>
      <c r="T110" s="1188"/>
      <c r="U110" s="1188"/>
      <c r="W110" s="32">
        <v>94</v>
      </c>
      <c r="Y110" s="419" t="str">
        <f t="shared" ref="Y110:AF110" si="138">VLOOKUP($A108,IF($X109="F",TeamSheetFemale,TeamSheetMale),Y$20,FALSE)</f>
        <v>George Wrigley</v>
      </c>
      <c r="Z110" s="419">
        <f t="shared" si="138"/>
        <v>0</v>
      </c>
      <c r="AA110" s="419" t="str">
        <f t="shared" si="138"/>
        <v>Leo Nott</v>
      </c>
      <c r="AB110" s="419" t="str">
        <f t="shared" si="138"/>
        <v>Myles Marks</v>
      </c>
      <c r="AC110" s="419" t="str">
        <f t="shared" si="138"/>
        <v>Noah Rush</v>
      </c>
      <c r="AD110" s="419" t="str">
        <f t="shared" si="138"/>
        <v>Charlie Castle</v>
      </c>
      <c r="AE110" s="419">
        <f t="shared" si="138"/>
        <v>0</v>
      </c>
      <c r="AF110" s="419" t="str">
        <f t="shared" si="138"/>
        <v>Alex Thompson</v>
      </c>
    </row>
    <row r="111" spans="1:32" ht="15" customHeight="1" x14ac:dyDescent="0.3">
      <c r="A111" s="1255">
        <v>56</v>
      </c>
      <c r="B111" s="1185">
        <f>IF($A111&gt;0,VLOOKUP($A111,EventsOrder,2,FALSE)," ")</f>
        <v>3.2</v>
      </c>
      <c r="C111" s="1186" t="str">
        <f>IF($A111&gt;0,VLOOKUP($A111,EventsOrder,6,FALSE)," ")</f>
        <v xml:space="preserve">1500m </v>
      </c>
      <c r="D111" s="1186" t="str">
        <f>IF($A111&gt;0,VLOOKUP($A111,EventsOrder,4,FALSE)," ")</f>
        <v>U16 Male</v>
      </c>
      <c r="E111" s="1187" t="str">
        <f t="shared" si="11"/>
        <v>M - Sol</v>
      </c>
      <c r="F111" s="1187" t="str">
        <f t="shared" si="12"/>
        <v>U - K&amp;S</v>
      </c>
      <c r="G111" s="1187" t="str">
        <f t="shared" si="13"/>
        <v>R - Rugby</v>
      </c>
      <c r="H111" s="1187" t="str">
        <f t="shared" si="14"/>
        <v>S - BRAT</v>
      </c>
      <c r="I111" s="1187" t="str">
        <f t="shared" si="15"/>
        <v>F - Tam</v>
      </c>
      <c r="J111" s="1187" t="str">
        <f t="shared" si="16"/>
        <v>G - Royal</v>
      </c>
      <c r="K111" s="1187" t="str">
        <f t="shared" si="17"/>
        <v>Y - Worc</v>
      </c>
      <c r="L111" s="1187" t="str">
        <f t="shared" si="18"/>
        <v>D - Strat</v>
      </c>
      <c r="M111" s="1188">
        <f>$F$14</f>
        <v>5</v>
      </c>
      <c r="N111" s="1188">
        <f>$H$14</f>
        <v>2</v>
      </c>
      <c r="O111" s="1188">
        <f>$G$14</f>
        <v>4</v>
      </c>
      <c r="P111" s="1188">
        <f>$I$14</f>
        <v>1</v>
      </c>
      <c r="Q111" s="1188">
        <f>$K$14</f>
        <v>7</v>
      </c>
      <c r="R111" s="1188">
        <f>$E$14</f>
        <v>3</v>
      </c>
      <c r="S111" s="1188">
        <f>$L$14</f>
        <v>8</v>
      </c>
      <c r="T111" s="1188">
        <f>$J$14</f>
        <v>6</v>
      </c>
      <c r="U111" s="1188">
        <f t="shared" si="6"/>
        <v>36</v>
      </c>
      <c r="W111" s="32">
        <v>95</v>
      </c>
    </row>
    <row r="112" spans="1:32" ht="15" customHeight="1" x14ac:dyDescent="0.3">
      <c r="A112" s="1189"/>
      <c r="B112" s="1190" t="s">
        <v>149</v>
      </c>
      <c r="C112" s="1191" t="s">
        <v>167</v>
      </c>
      <c r="D112" s="1192">
        <f>COUNTIF(E112:L112,"*")</f>
        <v>6</v>
      </c>
      <c r="E112" s="1193">
        <f t="shared" ref="E112:L112" si="139">HLOOKUP(LEFT(E111,1),$Y$17:$AF$181,$W112,FALSE)</f>
        <v>0</v>
      </c>
      <c r="F112" s="1193" t="str">
        <f t="shared" si="139"/>
        <v>Ryan Morgan</v>
      </c>
      <c r="G112" s="1193" t="str">
        <f t="shared" si="139"/>
        <v>Miles Taylor</v>
      </c>
      <c r="H112" s="1193" t="str">
        <f t="shared" si="139"/>
        <v>Toby Sykes</v>
      </c>
      <c r="I112" s="1193">
        <f t="shared" si="139"/>
        <v>0</v>
      </c>
      <c r="J112" s="1193" t="str">
        <f t="shared" si="139"/>
        <v>Jack Radnor</v>
      </c>
      <c r="K112" s="1193" t="str">
        <f t="shared" si="139"/>
        <v>Tobias Collett</v>
      </c>
      <c r="L112" s="1193" t="str">
        <f t="shared" si="139"/>
        <v>Toby Wilkinson</v>
      </c>
      <c r="M112" s="1188"/>
      <c r="N112" s="1188"/>
      <c r="O112" s="1188"/>
      <c r="P112" s="1188"/>
      <c r="Q112" s="1188"/>
      <c r="R112" s="1188"/>
      <c r="S112" s="1188"/>
      <c r="T112" s="1188"/>
      <c r="U112" s="1188"/>
      <c r="W112" s="32">
        <v>96</v>
      </c>
      <c r="X112" s="1194" t="str">
        <f>MID(D111,5,1)</f>
        <v>M</v>
      </c>
      <c r="Y112" s="419" t="str">
        <f t="shared" ref="Y112:AF112" si="140">VLOOKUP($A111,IF($X112="F",TeamSheetFemale,TeamSheetMale),Y$19,FALSE)</f>
        <v>Toby Sykes</v>
      </c>
      <c r="Z112" s="419" t="str">
        <f t="shared" si="140"/>
        <v>Ryan Morgan</v>
      </c>
      <c r="AA112" s="419" t="str">
        <f t="shared" si="140"/>
        <v>Jack Radnor</v>
      </c>
      <c r="AB112" s="419" t="str">
        <f t="shared" si="140"/>
        <v>Miles Taylor</v>
      </c>
      <c r="AC112" s="419">
        <f t="shared" si="140"/>
        <v>0</v>
      </c>
      <c r="AD112" s="419" t="str">
        <f t="shared" si="140"/>
        <v>Toby Wilkinson</v>
      </c>
      <c r="AE112" s="419">
        <f t="shared" si="140"/>
        <v>0</v>
      </c>
      <c r="AF112" s="419" t="str">
        <f t="shared" si="140"/>
        <v>Tobias Collett</v>
      </c>
    </row>
    <row r="113" spans="1:32" ht="15" customHeight="1" thickBot="1" x14ac:dyDescent="0.35">
      <c r="A113" s="1189"/>
      <c r="B113" s="1195" t="s">
        <v>94</v>
      </c>
      <c r="C113" s="1196" t="s">
        <v>167</v>
      </c>
      <c r="D113" s="1197">
        <f>COUNTIF(E113:L113,"*")</f>
        <v>3</v>
      </c>
      <c r="E113" s="1198">
        <f t="shared" ref="E113:L113" si="141">HLOOKUP(LEFT(E111,1),$Y$17:$AF$181,$W113,FALSE)</f>
        <v>0</v>
      </c>
      <c r="F113" s="1198">
        <f t="shared" si="141"/>
        <v>0</v>
      </c>
      <c r="G113" s="1198" t="str">
        <f t="shared" si="141"/>
        <v>Ryan Jennings</v>
      </c>
      <c r="H113" s="1198" t="str">
        <f t="shared" si="141"/>
        <v>Joseph Baker</v>
      </c>
      <c r="I113" s="1198">
        <f t="shared" si="141"/>
        <v>0</v>
      </c>
      <c r="J113" s="1198">
        <f t="shared" si="141"/>
        <v>0</v>
      </c>
      <c r="K113" s="1198" t="str">
        <f t="shared" si="141"/>
        <v>Harry Groves</v>
      </c>
      <c r="L113" s="1198">
        <f t="shared" si="141"/>
        <v>0</v>
      </c>
      <c r="M113" s="1188"/>
      <c r="N113" s="1188"/>
      <c r="O113" s="1188"/>
      <c r="P113" s="1188"/>
      <c r="Q113" s="1188"/>
      <c r="R113" s="1188"/>
      <c r="S113" s="1188"/>
      <c r="T113" s="1188"/>
      <c r="U113" s="1188"/>
      <c r="W113" s="32">
        <v>97</v>
      </c>
      <c r="Y113" s="419" t="str">
        <f t="shared" ref="Y113:AF113" si="142">VLOOKUP($A111,IF($X112="F",TeamSheetFemale,TeamSheetMale),Y$20,FALSE)</f>
        <v>Joseph Baker</v>
      </c>
      <c r="Z113" s="419">
        <f t="shared" si="142"/>
        <v>0</v>
      </c>
      <c r="AA113" s="419">
        <f t="shared" si="142"/>
        <v>0</v>
      </c>
      <c r="AB113" s="419" t="str">
        <f t="shared" si="142"/>
        <v>Ryan Jennings</v>
      </c>
      <c r="AC113" s="419">
        <f t="shared" si="142"/>
        <v>0</v>
      </c>
      <c r="AD113" s="419">
        <f t="shared" si="142"/>
        <v>0</v>
      </c>
      <c r="AE113" s="419">
        <f t="shared" si="142"/>
        <v>0</v>
      </c>
      <c r="AF113" s="419" t="str">
        <f t="shared" si="142"/>
        <v>Harry Groves</v>
      </c>
    </row>
    <row r="114" spans="1:32" ht="15" customHeight="1" x14ac:dyDescent="0.3">
      <c r="A114" s="1255">
        <v>62</v>
      </c>
      <c r="B114" s="1185">
        <f>IF($A114&gt;0,VLOOKUP($A114,EventsOrder,2,FALSE)," ")</f>
        <v>3.3</v>
      </c>
      <c r="C114" s="1186" t="str">
        <f>IF($A114&gt;0,VLOOKUP($A114,EventsOrder,6,FALSE)," ")</f>
        <v xml:space="preserve">1500m (U18/U20) </v>
      </c>
      <c r="D114" s="1186" t="str">
        <f>IF($A114&gt;0,VLOOKUP($A114,EventsOrder,4,FALSE)," ")</f>
        <v>U18 Men</v>
      </c>
      <c r="E114" s="1187" t="str">
        <f t="shared" si="11"/>
        <v>R - Rugby</v>
      </c>
      <c r="F114" s="1187" t="str">
        <f t="shared" si="12"/>
        <v>G - Royal</v>
      </c>
      <c r="G114" s="1187" t="str">
        <f t="shared" si="13"/>
        <v>S - BRAT</v>
      </c>
      <c r="H114" s="1187" t="str">
        <f t="shared" si="14"/>
        <v>M - Sol</v>
      </c>
      <c r="I114" s="1187" t="str">
        <f t="shared" si="15"/>
        <v>Y - Worc</v>
      </c>
      <c r="J114" s="1187" t="str">
        <f t="shared" si="16"/>
        <v>D - Strat</v>
      </c>
      <c r="K114" s="1187" t="str">
        <f t="shared" si="17"/>
        <v>U - K&amp;S</v>
      </c>
      <c r="L114" s="1187" t="str">
        <f t="shared" si="18"/>
        <v>F - Tam</v>
      </c>
      <c r="M114" s="1188">
        <f>$G$14</f>
        <v>4</v>
      </c>
      <c r="N114" s="1188">
        <f>$E$14</f>
        <v>3</v>
      </c>
      <c r="O114" s="1188">
        <f>$I$14</f>
        <v>1</v>
      </c>
      <c r="P114" s="1188">
        <f>$F$14</f>
        <v>5</v>
      </c>
      <c r="Q114" s="1188">
        <f>$L$14</f>
        <v>8</v>
      </c>
      <c r="R114" s="1188">
        <f>$J$14</f>
        <v>6</v>
      </c>
      <c r="S114" s="1188">
        <f>$H$14</f>
        <v>2</v>
      </c>
      <c r="T114" s="1188">
        <f>$K$14</f>
        <v>7</v>
      </c>
      <c r="U114" s="1188">
        <f t="shared" si="6"/>
        <v>36</v>
      </c>
      <c r="W114" s="32">
        <v>98</v>
      </c>
    </row>
    <row r="115" spans="1:32" ht="15" customHeight="1" x14ac:dyDescent="0.3">
      <c r="A115" s="1189"/>
      <c r="B115" s="1190" t="s">
        <v>149</v>
      </c>
      <c r="C115" s="1191" t="s">
        <v>167</v>
      </c>
      <c r="D115" s="1192">
        <f>COUNTIF(E115:L115,"*")</f>
        <v>5</v>
      </c>
      <c r="E115" s="1193" t="str">
        <f t="shared" ref="E115:L115" si="143">HLOOKUP(LEFT(E114,1),$Y$17:$AF$181,$W115,FALSE)</f>
        <v>Dylan Mander</v>
      </c>
      <c r="F115" s="1193" t="str">
        <f t="shared" si="143"/>
        <v>Leo  Dance</v>
      </c>
      <c r="G115" s="1193" t="str">
        <f t="shared" si="143"/>
        <v xml:space="preserve">Evan Tomlinson </v>
      </c>
      <c r="H115" s="1193">
        <f t="shared" si="143"/>
        <v>0</v>
      </c>
      <c r="I115" s="1193">
        <f t="shared" si="143"/>
        <v>0</v>
      </c>
      <c r="J115" s="1193" t="str">
        <f t="shared" si="143"/>
        <v>Tom Fisher</v>
      </c>
      <c r="K115" s="1193">
        <f t="shared" si="143"/>
        <v>0</v>
      </c>
      <c r="L115" s="1193" t="str">
        <f t="shared" si="143"/>
        <v>Oliver Ciszecki</v>
      </c>
      <c r="M115" s="1188"/>
      <c r="N115" s="1188"/>
      <c r="O115" s="1188"/>
      <c r="P115" s="1188"/>
      <c r="Q115" s="1188"/>
      <c r="R115" s="1188"/>
      <c r="S115" s="1188"/>
      <c r="T115" s="1188"/>
      <c r="U115" s="1188"/>
      <c r="W115" s="32">
        <v>99</v>
      </c>
      <c r="X115" s="1194" t="str">
        <f>MID(D114,5,1)</f>
        <v>M</v>
      </c>
      <c r="Y115" s="419" t="str">
        <f t="shared" ref="Y115:AF115" si="144">VLOOKUP($A114,IF($X115="F",TeamSheetFemale,TeamSheetMale),Y$19,FALSE)</f>
        <v xml:space="preserve">Evan Tomlinson </v>
      </c>
      <c r="Z115" s="419">
        <f t="shared" si="144"/>
        <v>0</v>
      </c>
      <c r="AA115" s="419" t="str">
        <f t="shared" si="144"/>
        <v>Leo  Dance</v>
      </c>
      <c r="AB115" s="419" t="str">
        <f t="shared" si="144"/>
        <v>Dylan Mander</v>
      </c>
      <c r="AC115" s="419">
        <f t="shared" si="144"/>
        <v>0</v>
      </c>
      <c r="AD115" s="419" t="str">
        <f t="shared" si="144"/>
        <v>Tom Fisher</v>
      </c>
      <c r="AE115" s="419" t="str">
        <f t="shared" si="144"/>
        <v>Oliver Ciszecki</v>
      </c>
      <c r="AF115" s="419">
        <f t="shared" si="144"/>
        <v>0</v>
      </c>
    </row>
    <row r="116" spans="1:32" ht="15" customHeight="1" thickBot="1" x14ac:dyDescent="0.35">
      <c r="A116" s="1189"/>
      <c r="B116" s="1195" t="s">
        <v>94</v>
      </c>
      <c r="C116" s="1196" t="s">
        <v>167</v>
      </c>
      <c r="D116" s="1197">
        <f>COUNTIF(E116:L116,"*")</f>
        <v>2</v>
      </c>
      <c r="E116" s="1198">
        <f t="shared" ref="E116:L116" si="145">HLOOKUP(LEFT(E114,1),$Y$17:$AF$181,$W116,FALSE)</f>
        <v>0</v>
      </c>
      <c r="F116" s="1198" t="str">
        <f t="shared" si="145"/>
        <v>Finn Sandland</v>
      </c>
      <c r="G116" s="1198" t="str">
        <f t="shared" si="145"/>
        <v>Edward Jagger</v>
      </c>
      <c r="H116" s="1198">
        <f t="shared" si="145"/>
        <v>0</v>
      </c>
      <c r="I116" s="1198">
        <f t="shared" si="145"/>
        <v>0</v>
      </c>
      <c r="J116" s="1198">
        <f t="shared" si="145"/>
        <v>0</v>
      </c>
      <c r="K116" s="1198">
        <f t="shared" si="145"/>
        <v>0</v>
      </c>
      <c r="L116" s="1198">
        <f t="shared" si="145"/>
        <v>0</v>
      </c>
      <c r="M116" s="1188"/>
      <c r="N116" s="1188"/>
      <c r="O116" s="1188"/>
      <c r="P116" s="1188"/>
      <c r="Q116" s="1188"/>
      <c r="R116" s="1188"/>
      <c r="S116" s="1188"/>
      <c r="T116" s="1188"/>
      <c r="U116" s="1188"/>
      <c r="W116" s="32">
        <v>100</v>
      </c>
      <c r="Y116" s="419" t="str">
        <f t="shared" ref="Y116:AF116" si="146">VLOOKUP($A114,IF($X115="F",TeamSheetFemale,TeamSheetMale),Y$20,FALSE)</f>
        <v>Edward Jagger</v>
      </c>
      <c r="Z116" s="419">
        <f t="shared" si="146"/>
        <v>0</v>
      </c>
      <c r="AA116" s="419" t="str">
        <f t="shared" si="146"/>
        <v>Finn Sandland</v>
      </c>
      <c r="AB116" s="419">
        <f t="shared" si="146"/>
        <v>0</v>
      </c>
      <c r="AC116" s="419">
        <f t="shared" si="146"/>
        <v>0</v>
      </c>
      <c r="AD116" s="419">
        <f t="shared" si="146"/>
        <v>0</v>
      </c>
      <c r="AE116" s="419">
        <f t="shared" si="146"/>
        <v>0</v>
      </c>
      <c r="AF116" s="419">
        <f t="shared" si="146"/>
        <v>0</v>
      </c>
    </row>
    <row r="117" spans="1:32" ht="15" customHeight="1" x14ac:dyDescent="0.3">
      <c r="A117" s="1255">
        <v>51</v>
      </c>
      <c r="B117" s="1185">
        <f>IF($A117&gt;0,VLOOKUP($A117,EventsOrder,2,FALSE)," ")</f>
        <v>3.4</v>
      </c>
      <c r="C117" s="1186" t="str">
        <f>IF($A117&gt;0,VLOOKUP($A117,EventsOrder,6,FALSE)," ")</f>
        <v xml:space="preserve">150m </v>
      </c>
      <c r="D117" s="1186" t="str">
        <f>IF($A117&gt;0,VLOOKUP($A117,EventsOrder,4,FALSE)," ")</f>
        <v>U12 Female</v>
      </c>
      <c r="E117" s="1187" t="str">
        <f t="shared" si="11"/>
        <v>D - Strat</v>
      </c>
      <c r="F117" s="1187" t="str">
        <f t="shared" si="12"/>
        <v>Y - Worc</v>
      </c>
      <c r="G117" s="1187" t="str">
        <f t="shared" si="13"/>
        <v>F - Tam</v>
      </c>
      <c r="H117" s="1187" t="str">
        <f t="shared" si="14"/>
        <v>R - Rugby</v>
      </c>
      <c r="I117" s="1187" t="str">
        <f t="shared" si="15"/>
        <v>S - BRAT</v>
      </c>
      <c r="J117" s="1187" t="str">
        <f t="shared" si="16"/>
        <v>M - Sol</v>
      </c>
      <c r="K117" s="1187" t="str">
        <f t="shared" si="17"/>
        <v>G - Royal</v>
      </c>
      <c r="L117" s="1187" t="str">
        <f t="shared" si="18"/>
        <v>U - K&amp;S</v>
      </c>
      <c r="M117" s="1188">
        <f>$J$14</f>
        <v>6</v>
      </c>
      <c r="N117" s="1188">
        <f>$L$14</f>
        <v>8</v>
      </c>
      <c r="O117" s="1188">
        <f>$K$14</f>
        <v>7</v>
      </c>
      <c r="P117" s="1188">
        <f>$G$14</f>
        <v>4</v>
      </c>
      <c r="Q117" s="1188">
        <f>$I$14</f>
        <v>1</v>
      </c>
      <c r="R117" s="1188">
        <f>$F$14</f>
        <v>5</v>
      </c>
      <c r="S117" s="1188">
        <f>$E$14</f>
        <v>3</v>
      </c>
      <c r="T117" s="1188">
        <f>$H$14</f>
        <v>2</v>
      </c>
      <c r="U117" s="1188">
        <f t="shared" si="6"/>
        <v>36</v>
      </c>
      <c r="W117" s="32">
        <v>101</v>
      </c>
    </row>
    <row r="118" spans="1:32" ht="15" customHeight="1" x14ac:dyDescent="0.3">
      <c r="A118" s="1189"/>
      <c r="B118" s="1190" t="s">
        <v>149</v>
      </c>
      <c r="C118" s="1191" t="s">
        <v>167</v>
      </c>
      <c r="D118" s="1192">
        <f>COUNTIF(E118:L118,"*")</f>
        <v>8</v>
      </c>
      <c r="E118" s="1193" t="str">
        <f t="shared" ref="E118:L118" si="147">HLOOKUP(LEFT(E117,1),$Y$17:$AF$181,$W118,FALSE)</f>
        <v>Saskia Atkins</v>
      </c>
      <c r="F118" s="1193" t="str">
        <f t="shared" si="147"/>
        <v>Daisy Lawes</v>
      </c>
      <c r="G118" s="1193" t="str">
        <f t="shared" si="147"/>
        <v>Anabel Amankwah</v>
      </c>
      <c r="H118" s="1193" t="str">
        <f t="shared" si="147"/>
        <v>Layla Phelan</v>
      </c>
      <c r="I118" s="1193" t="str">
        <f t="shared" si="147"/>
        <v xml:space="preserve">
Beatrice Rosie Follows</v>
      </c>
      <c r="J118" s="1193" t="str">
        <f t="shared" si="147"/>
        <v>Jessica Blundell</v>
      </c>
      <c r="K118" s="1193" t="str">
        <f t="shared" si="147"/>
        <v xml:space="preserve">Lila Wilmore </v>
      </c>
      <c r="L118" s="1193" t="str">
        <f t="shared" si="147"/>
        <v xml:space="preserve">Polly Richards </v>
      </c>
      <c r="M118" s="1188"/>
      <c r="N118" s="1188"/>
      <c r="O118" s="1188"/>
      <c r="P118" s="1188"/>
      <c r="Q118" s="1188"/>
      <c r="R118" s="1188"/>
      <c r="S118" s="1188"/>
      <c r="T118" s="1188"/>
      <c r="U118" s="1188"/>
      <c r="W118" s="32">
        <v>102</v>
      </c>
      <c r="X118" s="1194" t="str">
        <f>MID(D117,5,1)</f>
        <v>F</v>
      </c>
      <c r="Y118" s="419" t="str">
        <f t="shared" ref="Y118:AF118" si="148">VLOOKUP($A117,IF($X118="F",TeamSheetFemale,TeamSheetMale),Y$19,FALSE)</f>
        <v xml:space="preserve">
Beatrice Rosie Follows</v>
      </c>
      <c r="Z118" s="419" t="str">
        <f t="shared" si="148"/>
        <v xml:space="preserve">Polly Richards </v>
      </c>
      <c r="AA118" s="419" t="str">
        <f t="shared" si="148"/>
        <v xml:space="preserve">Lila Wilmore </v>
      </c>
      <c r="AB118" s="419" t="str">
        <f t="shared" si="148"/>
        <v>Layla Phelan</v>
      </c>
      <c r="AC118" s="419" t="str">
        <f t="shared" si="148"/>
        <v>Jessica Blundell</v>
      </c>
      <c r="AD118" s="419" t="str">
        <f t="shared" si="148"/>
        <v>Saskia Atkins</v>
      </c>
      <c r="AE118" s="419" t="str">
        <f t="shared" si="148"/>
        <v>Anabel Amankwah</v>
      </c>
      <c r="AF118" s="419" t="str">
        <f t="shared" si="148"/>
        <v>Daisy Lawes</v>
      </c>
    </row>
    <row r="119" spans="1:32" ht="15" customHeight="1" thickBot="1" x14ac:dyDescent="0.35">
      <c r="A119" s="1189"/>
      <c r="B119" s="1195" t="s">
        <v>94</v>
      </c>
      <c r="C119" s="1196" t="s">
        <v>167</v>
      </c>
      <c r="D119" s="1197">
        <f>COUNTIF(E119:L119,"*")</f>
        <v>8</v>
      </c>
      <c r="E119" s="1198" t="str">
        <f t="shared" ref="E119:L119" si="149">HLOOKUP(LEFT(E117,1),$Y$17:$AF$181,$W119,FALSE)</f>
        <v>Quinn Lancaster</v>
      </c>
      <c r="F119" s="1198" t="str">
        <f t="shared" si="149"/>
        <v>Megan Mabey</v>
      </c>
      <c r="G119" s="1198" t="str">
        <f t="shared" si="149"/>
        <v>Clara Knight-Dutton</v>
      </c>
      <c r="H119" s="1198" t="str">
        <f t="shared" si="149"/>
        <v>Saffron Davies</v>
      </c>
      <c r="I119" s="1198" t="str">
        <f t="shared" si="149"/>
        <v>Azucena Cereceda</v>
      </c>
      <c r="J119" s="1198" t="str">
        <f t="shared" si="149"/>
        <v>Elizabeth Fowler</v>
      </c>
      <c r="K119" s="1198" t="str">
        <f t="shared" si="149"/>
        <v xml:space="preserve">Indie Upton </v>
      </c>
      <c r="L119" s="1198" t="str">
        <f t="shared" si="149"/>
        <v xml:space="preserve">Isabelle Evans </v>
      </c>
      <c r="M119" s="1188"/>
      <c r="N119" s="1188"/>
      <c r="O119" s="1188"/>
      <c r="P119" s="1188"/>
      <c r="Q119" s="1188"/>
      <c r="R119" s="1188"/>
      <c r="S119" s="1188"/>
      <c r="T119" s="1188"/>
      <c r="U119" s="1188"/>
      <c r="W119" s="32">
        <v>103</v>
      </c>
      <c r="Y119" s="419" t="str">
        <f t="shared" ref="Y119:AF119" si="150">VLOOKUP($A117,IF($X118="F",TeamSheetFemale,TeamSheetMale),Y$20,FALSE)</f>
        <v>Azucena Cereceda</v>
      </c>
      <c r="Z119" s="419" t="str">
        <f t="shared" si="150"/>
        <v xml:space="preserve">Isabelle Evans </v>
      </c>
      <c r="AA119" s="419" t="str">
        <f t="shared" si="150"/>
        <v xml:space="preserve">Indie Upton </v>
      </c>
      <c r="AB119" s="419" t="str">
        <f t="shared" si="150"/>
        <v>Saffron Davies</v>
      </c>
      <c r="AC119" s="419" t="str">
        <f t="shared" si="150"/>
        <v>Elizabeth Fowler</v>
      </c>
      <c r="AD119" s="419" t="str">
        <f t="shared" si="150"/>
        <v>Quinn Lancaster</v>
      </c>
      <c r="AE119" s="419" t="str">
        <f t="shared" si="150"/>
        <v>Clara Knight-Dutton</v>
      </c>
      <c r="AF119" s="419" t="str">
        <f t="shared" si="150"/>
        <v>Megan Mabey</v>
      </c>
    </row>
    <row r="120" spans="1:32" ht="15" customHeight="1" x14ac:dyDescent="0.3">
      <c r="A120" s="1255">
        <v>54</v>
      </c>
      <c r="B120" s="1185">
        <f>IF($A120&gt;0,VLOOKUP($A120,EventsOrder,2,FALSE)," ")</f>
        <v>3.45</v>
      </c>
      <c r="C120" s="1186" t="str">
        <f>IF($A120&gt;0,VLOOKUP($A120,EventsOrder,6,FALSE)," ")</f>
        <v xml:space="preserve">150m </v>
      </c>
      <c r="D120" s="1186" t="str">
        <f>IF($A120&gt;0,VLOOKUP($A120,EventsOrder,4,FALSE)," ")</f>
        <v>U12 Male</v>
      </c>
      <c r="E120" s="1187" t="str">
        <f t="shared" si="11"/>
        <v>U - K&amp;S</v>
      </c>
      <c r="F120" s="1187" t="str">
        <f t="shared" si="12"/>
        <v>D - Strat</v>
      </c>
      <c r="G120" s="1187" t="str">
        <f t="shared" si="13"/>
        <v>M - Sol</v>
      </c>
      <c r="H120" s="1187" t="str">
        <f t="shared" si="14"/>
        <v>Y - Worc</v>
      </c>
      <c r="I120" s="1187" t="str">
        <f t="shared" si="15"/>
        <v>G - Royal</v>
      </c>
      <c r="J120" s="1187" t="str">
        <f t="shared" si="16"/>
        <v>S - BRAT</v>
      </c>
      <c r="K120" s="1187" t="str">
        <f t="shared" si="17"/>
        <v>F - Tam</v>
      </c>
      <c r="L120" s="1187" t="str">
        <f t="shared" si="18"/>
        <v>R - Rugby</v>
      </c>
      <c r="M120" s="1188">
        <f>$H$14</f>
        <v>2</v>
      </c>
      <c r="N120" s="1188">
        <f>$J$14</f>
        <v>6</v>
      </c>
      <c r="O120" s="1188">
        <f>$F$14</f>
        <v>5</v>
      </c>
      <c r="P120" s="1188">
        <f>$L$14</f>
        <v>8</v>
      </c>
      <c r="Q120" s="1188">
        <f>$E$14</f>
        <v>3</v>
      </c>
      <c r="R120" s="1188">
        <f>$I$14</f>
        <v>1</v>
      </c>
      <c r="S120" s="1188">
        <f>$K$14</f>
        <v>7</v>
      </c>
      <c r="T120" s="1188">
        <f>$G$14</f>
        <v>4</v>
      </c>
      <c r="U120" s="1188">
        <f t="shared" si="6"/>
        <v>36</v>
      </c>
      <c r="W120" s="32">
        <v>104</v>
      </c>
    </row>
    <row r="121" spans="1:32" ht="15" customHeight="1" x14ac:dyDescent="0.3">
      <c r="A121" s="1189"/>
      <c r="B121" s="1190" t="s">
        <v>149</v>
      </c>
      <c r="C121" s="1191" t="s">
        <v>167</v>
      </c>
      <c r="D121" s="1192">
        <f>COUNTIF(E121:L121,"*")</f>
        <v>8</v>
      </c>
      <c r="E121" s="1193" t="str">
        <f t="shared" ref="E121:L121" si="151">HLOOKUP(LEFT(E120,1),$Y$17:$AF$181,$W121,FALSE)</f>
        <v>Hugo Ford</v>
      </c>
      <c r="F121" s="1193" t="str">
        <f t="shared" si="151"/>
        <v>Rafe White</v>
      </c>
      <c r="G121" s="1193" t="str">
        <f t="shared" si="151"/>
        <v>Sam Roberts</v>
      </c>
      <c r="H121" s="1193" t="str">
        <f t="shared" si="151"/>
        <v>Elliot Oldham</v>
      </c>
      <c r="I121" s="1193" t="str">
        <f t="shared" si="151"/>
        <v>Cyrus Thomas</v>
      </c>
      <c r="J121" s="1193" t="str">
        <f t="shared" si="151"/>
        <v xml:space="preserve">Adrian Ward </v>
      </c>
      <c r="K121" s="1193" t="str">
        <f t="shared" si="151"/>
        <v>Lucas Beggs</v>
      </c>
      <c r="L121" s="1193" t="str">
        <f t="shared" si="151"/>
        <v>Feranmi Remi-Omosowon</v>
      </c>
      <c r="M121" s="1188"/>
      <c r="N121" s="1188"/>
      <c r="O121" s="1188"/>
      <c r="P121" s="1188"/>
      <c r="Q121" s="1188"/>
      <c r="R121" s="1188"/>
      <c r="S121" s="1188"/>
      <c r="T121" s="1188"/>
      <c r="U121" s="1188"/>
      <c r="W121" s="32">
        <v>105</v>
      </c>
      <c r="X121" s="1194" t="str">
        <f>MID(D120,5,1)</f>
        <v>M</v>
      </c>
      <c r="Y121" s="419" t="str">
        <f t="shared" ref="Y121:AF121" si="152">VLOOKUP($A120,IF($X121="F",TeamSheetFemale,TeamSheetMale),Y$19,FALSE)</f>
        <v xml:space="preserve">Adrian Ward </v>
      </c>
      <c r="Z121" s="419" t="str">
        <f t="shared" si="152"/>
        <v>Hugo Ford</v>
      </c>
      <c r="AA121" s="419" t="str">
        <f t="shared" si="152"/>
        <v>Cyrus Thomas</v>
      </c>
      <c r="AB121" s="419" t="str">
        <f t="shared" si="152"/>
        <v>Feranmi Remi-Omosowon</v>
      </c>
      <c r="AC121" s="419" t="str">
        <f t="shared" si="152"/>
        <v>Sam Roberts</v>
      </c>
      <c r="AD121" s="419" t="str">
        <f t="shared" si="152"/>
        <v>Rafe White</v>
      </c>
      <c r="AE121" s="419" t="str">
        <f t="shared" si="152"/>
        <v>Lucas Beggs</v>
      </c>
      <c r="AF121" s="419" t="str">
        <f t="shared" si="152"/>
        <v>Elliot Oldham</v>
      </c>
    </row>
    <row r="122" spans="1:32" ht="15" customHeight="1" thickBot="1" x14ac:dyDescent="0.35">
      <c r="A122" s="1189"/>
      <c r="B122" s="1195" t="s">
        <v>94</v>
      </c>
      <c r="C122" s="1196" t="s">
        <v>167</v>
      </c>
      <c r="D122" s="1197">
        <f>COUNTIF(E122:L122,"*")</f>
        <v>8</v>
      </c>
      <c r="E122" s="1198" t="str">
        <f t="shared" ref="E122:L122" si="153">HLOOKUP(LEFT(E120,1),$Y$17:$AF$181,$W122,FALSE)</f>
        <v xml:space="preserve">Alex Velasquez </v>
      </c>
      <c r="F122" s="1198" t="str">
        <f t="shared" si="153"/>
        <v>Simon Zawada</v>
      </c>
      <c r="G122" s="1198" t="str">
        <f t="shared" si="153"/>
        <v>Kai Gudmunsen</v>
      </c>
      <c r="H122" s="1198" t="str">
        <f t="shared" si="153"/>
        <v>Lloyd Kerry</v>
      </c>
      <c r="I122" s="1198" t="str">
        <f t="shared" si="153"/>
        <v>Edward Taylor</v>
      </c>
      <c r="J122" s="1198" t="str">
        <f t="shared" si="153"/>
        <v xml:space="preserve">Oliver brooks </v>
      </c>
      <c r="K122" s="1198" t="str">
        <f t="shared" si="153"/>
        <v>Oliver Eaton</v>
      </c>
      <c r="L122" s="1198" t="str">
        <f t="shared" si="153"/>
        <v>Chiemerie Okwara</v>
      </c>
      <c r="M122" s="1188"/>
      <c r="N122" s="1188"/>
      <c r="O122" s="1188"/>
      <c r="P122" s="1188"/>
      <c r="Q122" s="1188"/>
      <c r="R122" s="1188"/>
      <c r="S122" s="1188"/>
      <c r="T122" s="1188"/>
      <c r="U122" s="1188"/>
      <c r="W122" s="32">
        <v>106</v>
      </c>
      <c r="Y122" s="419" t="str">
        <f t="shared" ref="Y122:AF122" si="154">VLOOKUP($A120,IF($X121="F",TeamSheetFemale,TeamSheetMale),Y$20,FALSE)</f>
        <v xml:space="preserve">Oliver brooks </v>
      </c>
      <c r="Z122" s="419" t="str">
        <f t="shared" si="154"/>
        <v xml:space="preserve">Alex Velasquez </v>
      </c>
      <c r="AA122" s="419" t="str">
        <f t="shared" si="154"/>
        <v>Edward Taylor</v>
      </c>
      <c r="AB122" s="419" t="str">
        <f t="shared" si="154"/>
        <v>Chiemerie Okwara</v>
      </c>
      <c r="AC122" s="419" t="str">
        <f t="shared" si="154"/>
        <v>Kai Gudmunsen</v>
      </c>
      <c r="AD122" s="419" t="str">
        <f t="shared" si="154"/>
        <v>Simon Zawada</v>
      </c>
      <c r="AE122" s="419" t="str">
        <f t="shared" si="154"/>
        <v>Oliver Eaton</v>
      </c>
      <c r="AF122" s="419" t="str">
        <f t="shared" si="154"/>
        <v>Lloyd Kerry</v>
      </c>
    </row>
    <row r="123" spans="1:32" ht="15" customHeight="1" x14ac:dyDescent="0.3">
      <c r="A123" s="1255">
        <v>66</v>
      </c>
      <c r="B123" s="1185">
        <f>IF($A123&gt;0,VLOOKUP($A123,EventsOrder,2,FALSE)," ")</f>
        <v>3.55</v>
      </c>
      <c r="C123" s="1186" t="str">
        <f>IF($A123&gt;0,VLOOKUP($A123,EventsOrder,6,FALSE)," ")</f>
        <v xml:space="preserve">200m </v>
      </c>
      <c r="D123" s="1186" t="str">
        <f>IF($A123&gt;0,VLOOKUP($A123,EventsOrder,4,FALSE)," ")</f>
        <v>U14 Female</v>
      </c>
      <c r="E123" s="1187" t="str">
        <f t="shared" si="11"/>
        <v>G - Royal</v>
      </c>
      <c r="F123" s="1187" t="str">
        <f t="shared" si="12"/>
        <v>M - Sol</v>
      </c>
      <c r="G123" s="1187" t="str">
        <f t="shared" si="13"/>
        <v>D - Strat</v>
      </c>
      <c r="H123" s="1187" t="str">
        <f t="shared" si="14"/>
        <v>F - Tam</v>
      </c>
      <c r="I123" s="1187" t="str">
        <f t="shared" si="15"/>
        <v>U - K&amp;S</v>
      </c>
      <c r="J123" s="1187" t="str">
        <f t="shared" si="16"/>
        <v>Y - Worc</v>
      </c>
      <c r="K123" s="1187" t="str">
        <f t="shared" si="17"/>
        <v>R - Rugby</v>
      </c>
      <c r="L123" s="1187" t="str">
        <f t="shared" si="18"/>
        <v>S - BRAT</v>
      </c>
      <c r="M123" s="1188">
        <f>$E$14</f>
        <v>3</v>
      </c>
      <c r="N123" s="1188">
        <f>$F$14</f>
        <v>5</v>
      </c>
      <c r="O123" s="1188">
        <f>$J$14</f>
        <v>6</v>
      </c>
      <c r="P123" s="1188">
        <f>$K$14</f>
        <v>7</v>
      </c>
      <c r="Q123" s="1188">
        <f>$H$14</f>
        <v>2</v>
      </c>
      <c r="R123" s="1188">
        <f>$L$14</f>
        <v>8</v>
      </c>
      <c r="S123" s="1188">
        <f>$G$14</f>
        <v>4</v>
      </c>
      <c r="T123" s="1188">
        <f>$I$14</f>
        <v>1</v>
      </c>
      <c r="U123" s="1188">
        <f t="shared" si="6"/>
        <v>36</v>
      </c>
      <c r="W123" s="32">
        <v>107</v>
      </c>
    </row>
    <row r="124" spans="1:32" ht="15" customHeight="1" x14ac:dyDescent="0.3">
      <c r="A124" s="1189"/>
      <c r="B124" s="1190" t="s">
        <v>149</v>
      </c>
      <c r="C124" s="1191" t="s">
        <v>167</v>
      </c>
      <c r="D124" s="1192">
        <f>COUNTIF(E124:L124,"*")</f>
        <v>8</v>
      </c>
      <c r="E124" s="1193" t="str">
        <f t="shared" ref="E124:L124" si="155">HLOOKUP(LEFT(E123,1),$Y$17:$AF$181,$W124,FALSE)</f>
        <v>Mabel Edgerton</v>
      </c>
      <c r="F124" s="1193" t="str">
        <f t="shared" si="155"/>
        <v>Ava Blundell</v>
      </c>
      <c r="G124" s="1193" t="str">
        <f t="shared" si="155"/>
        <v>Elsie Pipitone</v>
      </c>
      <c r="H124" s="1193" t="str">
        <f t="shared" si="155"/>
        <v>Freya Draycott</v>
      </c>
      <c r="I124" s="1193" t="str">
        <f t="shared" si="155"/>
        <v>Pippa Richards</v>
      </c>
      <c r="J124" s="1193" t="str">
        <f t="shared" si="155"/>
        <v>Gracie Hodgkins</v>
      </c>
      <c r="K124" s="1193" t="str">
        <f t="shared" si="155"/>
        <v>Amber Butler</v>
      </c>
      <c r="L124" s="1193" t="str">
        <f t="shared" si="155"/>
        <v xml:space="preserve">
Savannah Wedderburn</v>
      </c>
      <c r="M124" s="1188"/>
      <c r="N124" s="1188"/>
      <c r="O124" s="1188"/>
      <c r="P124" s="1188"/>
      <c r="Q124" s="1188"/>
      <c r="R124" s="1188"/>
      <c r="S124" s="1188"/>
      <c r="T124" s="1188"/>
      <c r="U124" s="1188"/>
      <c r="W124" s="32">
        <v>108</v>
      </c>
      <c r="X124" s="1194" t="str">
        <f>MID(D123,5,1)</f>
        <v>F</v>
      </c>
      <c r="Y124" s="419" t="str">
        <f t="shared" ref="Y124:AF124" si="156">VLOOKUP($A123,IF($X124="F",TeamSheetFemale,TeamSheetMale),Y$19,FALSE)</f>
        <v xml:space="preserve">
Savannah Wedderburn</v>
      </c>
      <c r="Z124" s="419" t="str">
        <f t="shared" si="156"/>
        <v>Pippa Richards</v>
      </c>
      <c r="AA124" s="419" t="str">
        <f t="shared" si="156"/>
        <v>Mabel Edgerton</v>
      </c>
      <c r="AB124" s="419" t="str">
        <f t="shared" si="156"/>
        <v>Amber Butler</v>
      </c>
      <c r="AC124" s="419" t="str">
        <f t="shared" si="156"/>
        <v>Ava Blundell</v>
      </c>
      <c r="AD124" s="419" t="str">
        <f t="shared" si="156"/>
        <v>Elsie Pipitone</v>
      </c>
      <c r="AE124" s="419" t="str">
        <f t="shared" si="156"/>
        <v>Freya Draycott</v>
      </c>
      <c r="AF124" s="419" t="str">
        <f t="shared" si="156"/>
        <v>Gracie Hodgkins</v>
      </c>
    </row>
    <row r="125" spans="1:32" ht="15" customHeight="1" thickBot="1" x14ac:dyDescent="0.35">
      <c r="A125" s="1189"/>
      <c r="B125" s="1195" t="s">
        <v>94</v>
      </c>
      <c r="C125" s="1196" t="s">
        <v>167</v>
      </c>
      <c r="D125" s="1197">
        <f>COUNTIF(E125:L125,"*")</f>
        <v>8</v>
      </c>
      <c r="E125" s="1198" t="str">
        <f t="shared" ref="E125:L125" si="157">HLOOKUP(LEFT(E123,1),$Y$17:$AF$181,$W125,FALSE)</f>
        <v>Abigail Dilworth</v>
      </c>
      <c r="F125" s="1198" t="str">
        <f t="shared" si="157"/>
        <v>Abby Ruggles</v>
      </c>
      <c r="G125" s="1198" t="str">
        <f t="shared" si="157"/>
        <v>Evangeline Harris</v>
      </c>
      <c r="H125" s="1198" t="str">
        <f t="shared" si="157"/>
        <v>Evie Smith</v>
      </c>
      <c r="I125" s="1198" t="str">
        <f t="shared" si="157"/>
        <v>Lila Warwick</v>
      </c>
      <c r="J125" s="1198" t="str">
        <f t="shared" si="157"/>
        <v>Isla Porter</v>
      </c>
      <c r="K125" s="1198" t="str">
        <f t="shared" si="157"/>
        <v>Sophia Agius</v>
      </c>
      <c r="L125" s="1198" t="str">
        <f t="shared" si="157"/>
        <v>Darcy mcdaid</v>
      </c>
      <c r="M125" s="1188"/>
      <c r="N125" s="1188"/>
      <c r="O125" s="1188"/>
      <c r="P125" s="1188"/>
      <c r="Q125" s="1188"/>
      <c r="R125" s="1188"/>
      <c r="S125" s="1188"/>
      <c r="T125" s="1188"/>
      <c r="U125" s="1188"/>
      <c r="W125" s="32">
        <v>109</v>
      </c>
      <c r="Y125" s="419" t="str">
        <f t="shared" ref="Y125:AF125" si="158">VLOOKUP($A123,IF($X124="F",TeamSheetFemale,TeamSheetMale),Y$20,FALSE)</f>
        <v>Darcy mcdaid</v>
      </c>
      <c r="Z125" s="419" t="str">
        <f t="shared" si="158"/>
        <v>Lila Warwick</v>
      </c>
      <c r="AA125" s="419" t="str">
        <f t="shared" si="158"/>
        <v>Abigail Dilworth</v>
      </c>
      <c r="AB125" s="419" t="str">
        <f t="shared" si="158"/>
        <v>Sophia Agius</v>
      </c>
      <c r="AC125" s="419" t="str">
        <f t="shared" si="158"/>
        <v>Abby Ruggles</v>
      </c>
      <c r="AD125" s="419" t="str">
        <f t="shared" si="158"/>
        <v>Evangeline Harris</v>
      </c>
      <c r="AE125" s="419" t="str">
        <f t="shared" si="158"/>
        <v>Evie Smith</v>
      </c>
      <c r="AF125" s="419" t="str">
        <f t="shared" si="158"/>
        <v>Isla Porter</v>
      </c>
    </row>
    <row r="126" spans="1:32" ht="15" customHeight="1" x14ac:dyDescent="0.3">
      <c r="A126" s="1255">
        <v>68</v>
      </c>
      <c r="B126" s="1185">
        <f>IF($A126&gt;0,VLOOKUP($A126,EventsOrder,2,FALSE)," ")</f>
        <v>4.0999999999999996</v>
      </c>
      <c r="C126" s="1186" t="str">
        <f>IF($A126&gt;0,VLOOKUP($A126,EventsOrder,6,FALSE)," ")</f>
        <v xml:space="preserve">200m </v>
      </c>
      <c r="D126" s="1186" t="str">
        <f>IF($A126&gt;0,VLOOKUP($A126,EventsOrder,4,FALSE)," ")</f>
        <v>U16 Female</v>
      </c>
      <c r="E126" s="1187" t="str">
        <f t="shared" si="11"/>
        <v>M - Sol</v>
      </c>
      <c r="F126" s="1187" t="str">
        <f t="shared" si="12"/>
        <v>F - Tam</v>
      </c>
      <c r="G126" s="1187" t="str">
        <f t="shared" si="13"/>
        <v>Y - Worc</v>
      </c>
      <c r="H126" s="1187" t="str">
        <f t="shared" si="14"/>
        <v>D - Strat</v>
      </c>
      <c r="I126" s="1187" t="str">
        <f t="shared" si="15"/>
        <v>R - Rugby</v>
      </c>
      <c r="J126" s="1187" t="str">
        <f t="shared" si="16"/>
        <v>U - K&amp;S</v>
      </c>
      <c r="K126" s="1187" t="str">
        <f t="shared" si="17"/>
        <v>S - BRAT</v>
      </c>
      <c r="L126" s="1187" t="str">
        <f t="shared" si="18"/>
        <v>G - Royal</v>
      </c>
      <c r="M126" s="1188">
        <f>$F$14</f>
        <v>5</v>
      </c>
      <c r="N126" s="1188">
        <f>$K$14</f>
        <v>7</v>
      </c>
      <c r="O126" s="1188">
        <f>$L$14</f>
        <v>8</v>
      </c>
      <c r="P126" s="1188">
        <f>$J$14</f>
        <v>6</v>
      </c>
      <c r="Q126" s="1188">
        <f>$G$14</f>
        <v>4</v>
      </c>
      <c r="R126" s="1188">
        <f>$H$14</f>
        <v>2</v>
      </c>
      <c r="S126" s="1188">
        <f>$I$14</f>
        <v>1</v>
      </c>
      <c r="T126" s="1188">
        <f>$E$14</f>
        <v>3</v>
      </c>
      <c r="U126" s="1188">
        <f t="shared" si="6"/>
        <v>36</v>
      </c>
      <c r="W126" s="32">
        <v>110</v>
      </c>
    </row>
    <row r="127" spans="1:32" ht="15" customHeight="1" x14ac:dyDescent="0.3">
      <c r="A127" s="1189"/>
      <c r="B127" s="1190" t="s">
        <v>149</v>
      </c>
      <c r="C127" s="1191" t="s">
        <v>167</v>
      </c>
      <c r="D127" s="1192">
        <f>COUNTIF(E127:L127,"*")</f>
        <v>8</v>
      </c>
      <c r="E127" s="1193" t="str">
        <f t="shared" ref="E127:L127" si="159">HLOOKUP(LEFT(E126,1),$Y$17:$AF$181,$W127,FALSE)</f>
        <v>Ada Masson</v>
      </c>
      <c r="F127" s="1193" t="str">
        <f t="shared" si="159"/>
        <v>Brodie Horler</v>
      </c>
      <c r="G127" s="1193" t="str">
        <f t="shared" si="159"/>
        <v>Lara Taylor</v>
      </c>
      <c r="H127" s="1193" t="str">
        <f t="shared" si="159"/>
        <v xml:space="preserve">Niamh Williams </v>
      </c>
      <c r="I127" s="1193" t="str">
        <f t="shared" si="159"/>
        <v>Phoebe Clark</v>
      </c>
      <c r="J127" s="1193" t="str">
        <f t="shared" si="159"/>
        <v>Georgia Kiernan</v>
      </c>
      <c r="K127" s="1193" t="str">
        <f t="shared" si="159"/>
        <v xml:space="preserve">Araya Williams </v>
      </c>
      <c r="L127" s="1193" t="str">
        <f t="shared" si="159"/>
        <v>Anisia Barton</v>
      </c>
      <c r="M127" s="1188"/>
      <c r="N127" s="1188"/>
      <c r="O127" s="1188"/>
      <c r="P127" s="1188"/>
      <c r="Q127" s="1188"/>
      <c r="R127" s="1188"/>
      <c r="S127" s="1188"/>
      <c r="T127" s="1188"/>
      <c r="U127" s="1188"/>
      <c r="W127" s="32">
        <v>111</v>
      </c>
      <c r="X127" s="1194" t="str">
        <f>MID(D126,5,1)</f>
        <v>F</v>
      </c>
      <c r="Y127" s="419" t="str">
        <f t="shared" ref="Y127:AF127" si="160">VLOOKUP($A126,IF($X127="F",TeamSheetFemale,TeamSheetMale),Y$19,FALSE)</f>
        <v xml:space="preserve">Araya Williams </v>
      </c>
      <c r="Z127" s="419" t="str">
        <f t="shared" si="160"/>
        <v>Georgia Kiernan</v>
      </c>
      <c r="AA127" s="419" t="str">
        <f t="shared" si="160"/>
        <v>Anisia Barton</v>
      </c>
      <c r="AB127" s="419" t="str">
        <f t="shared" si="160"/>
        <v>Phoebe Clark</v>
      </c>
      <c r="AC127" s="419" t="str">
        <f t="shared" si="160"/>
        <v>Ada Masson</v>
      </c>
      <c r="AD127" s="419" t="str">
        <f t="shared" si="160"/>
        <v xml:space="preserve">Niamh Williams </v>
      </c>
      <c r="AE127" s="419" t="str">
        <f t="shared" si="160"/>
        <v>Brodie Horler</v>
      </c>
      <c r="AF127" s="419" t="str">
        <f t="shared" si="160"/>
        <v>Lara Taylor</v>
      </c>
    </row>
    <row r="128" spans="1:32" ht="15" customHeight="1" thickBot="1" x14ac:dyDescent="0.35">
      <c r="A128" s="1189"/>
      <c r="B128" s="1195" t="s">
        <v>94</v>
      </c>
      <c r="C128" s="1196" t="s">
        <v>167</v>
      </c>
      <c r="D128" s="1197">
        <f>COUNTIF(E128:L128,"*")</f>
        <v>7</v>
      </c>
      <c r="E128" s="1198" t="str">
        <f t="shared" ref="E128:L128" si="161">HLOOKUP(LEFT(E126,1),$Y$17:$AF$181,$W128,FALSE)</f>
        <v>Isla Gerry</v>
      </c>
      <c r="F128" s="1198">
        <f t="shared" si="161"/>
        <v>0</v>
      </c>
      <c r="G128" s="1198" t="str">
        <f t="shared" si="161"/>
        <v>Isla Oldham</v>
      </c>
      <c r="H128" s="1198" t="str">
        <f t="shared" si="161"/>
        <v>Annabel Stacey</v>
      </c>
      <c r="I128" s="1198" t="str">
        <f t="shared" si="161"/>
        <v>Betsy Fahey</v>
      </c>
      <c r="J128" s="1198" t="str">
        <f t="shared" si="161"/>
        <v>Florence Aspinall</v>
      </c>
      <c r="K128" s="1198" t="str">
        <f t="shared" si="161"/>
        <v xml:space="preserve">Erin Colclough </v>
      </c>
      <c r="L128" s="1198" t="str">
        <f t="shared" si="161"/>
        <v>Ines Fennell</v>
      </c>
      <c r="M128" s="1188"/>
      <c r="N128" s="1188"/>
      <c r="O128" s="1188"/>
      <c r="P128" s="1188"/>
      <c r="Q128" s="1188"/>
      <c r="R128" s="1188"/>
      <c r="S128" s="1188"/>
      <c r="T128" s="1188"/>
      <c r="U128" s="1188"/>
      <c r="W128" s="32">
        <v>112</v>
      </c>
      <c r="Y128" s="419" t="str">
        <f t="shared" ref="Y128:AF128" si="162">VLOOKUP($A126,IF($X127="F",TeamSheetFemale,TeamSheetMale),Y$20,FALSE)</f>
        <v xml:space="preserve">Erin Colclough </v>
      </c>
      <c r="Z128" s="419" t="str">
        <f t="shared" si="162"/>
        <v>Florence Aspinall</v>
      </c>
      <c r="AA128" s="419" t="str">
        <f t="shared" si="162"/>
        <v>Ines Fennell</v>
      </c>
      <c r="AB128" s="419" t="str">
        <f t="shared" si="162"/>
        <v>Betsy Fahey</v>
      </c>
      <c r="AC128" s="419" t="str">
        <f t="shared" si="162"/>
        <v>Isla Gerry</v>
      </c>
      <c r="AD128" s="419" t="str">
        <f t="shared" si="162"/>
        <v>Annabel Stacey</v>
      </c>
      <c r="AE128" s="419">
        <f t="shared" si="162"/>
        <v>0</v>
      </c>
      <c r="AF128" s="419" t="str">
        <f t="shared" si="162"/>
        <v>Isla Oldham</v>
      </c>
    </row>
    <row r="129" spans="1:32" ht="15" customHeight="1" x14ac:dyDescent="0.3">
      <c r="A129" s="1255">
        <v>70</v>
      </c>
      <c r="B129" s="1185">
        <f>IF($A129&gt;0,VLOOKUP($A129,EventsOrder,2,FALSE)," ")</f>
        <v>4.1500000000000004</v>
      </c>
      <c r="C129" s="1186" t="str">
        <f>IF($A129&gt;0,VLOOKUP($A129,EventsOrder,6,FALSE)," ")</f>
        <v xml:space="preserve">200m (U18/U20) </v>
      </c>
      <c r="D129" s="1186" t="str">
        <f>IF($A129&gt;0,VLOOKUP($A129,EventsOrder,4,FALSE)," ")</f>
        <v>U18 Female</v>
      </c>
      <c r="E129" s="1187" t="str">
        <f t="shared" si="11"/>
        <v>R - Rugby</v>
      </c>
      <c r="F129" s="1187" t="str">
        <f t="shared" si="12"/>
        <v>G - Royal</v>
      </c>
      <c r="G129" s="1187" t="str">
        <f t="shared" si="13"/>
        <v>M - Sol</v>
      </c>
      <c r="H129" s="1187" t="str">
        <f t="shared" si="14"/>
        <v>S - BRAT</v>
      </c>
      <c r="I129" s="1187" t="str">
        <f t="shared" si="15"/>
        <v>Y - Worc</v>
      </c>
      <c r="J129" s="1187" t="str">
        <f t="shared" si="16"/>
        <v>D - Strat</v>
      </c>
      <c r="K129" s="1187" t="str">
        <f t="shared" si="17"/>
        <v>U - K&amp;S</v>
      </c>
      <c r="L129" s="1187" t="str">
        <f t="shared" si="18"/>
        <v>F - Tam</v>
      </c>
      <c r="M129" s="1188">
        <f>$G$14</f>
        <v>4</v>
      </c>
      <c r="N129" s="1188">
        <f>$E$14</f>
        <v>3</v>
      </c>
      <c r="O129" s="1188">
        <f>$F$14</f>
        <v>5</v>
      </c>
      <c r="P129" s="1188">
        <f>$I$14</f>
        <v>1</v>
      </c>
      <c r="Q129" s="1188">
        <f>$L$14</f>
        <v>8</v>
      </c>
      <c r="R129" s="1188">
        <f>$J$14</f>
        <v>6</v>
      </c>
      <c r="S129" s="1188">
        <f>$H$14</f>
        <v>2</v>
      </c>
      <c r="T129" s="1188">
        <f>$K$14</f>
        <v>7</v>
      </c>
      <c r="U129" s="1188">
        <f t="shared" si="6"/>
        <v>36</v>
      </c>
      <c r="W129" s="32">
        <v>113</v>
      </c>
    </row>
    <row r="130" spans="1:32" ht="15" customHeight="1" x14ac:dyDescent="0.3">
      <c r="A130" s="1189"/>
      <c r="B130" s="1190" t="s">
        <v>149</v>
      </c>
      <c r="C130" s="1191" t="s">
        <v>167</v>
      </c>
      <c r="D130" s="1192">
        <f>COUNTIF(E130:L130,"*")</f>
        <v>7</v>
      </c>
      <c r="E130" s="1193" t="str">
        <f t="shared" ref="E130:L130" si="163">HLOOKUP(LEFT(E129,1),$Y$17:$AF$181,$W130,FALSE)</f>
        <v>Emily Kendrick</v>
      </c>
      <c r="F130" s="1193" t="str">
        <f t="shared" si="163"/>
        <v>Lennie Covey</v>
      </c>
      <c r="G130" s="1193">
        <f t="shared" si="163"/>
        <v>0</v>
      </c>
      <c r="H130" s="1193" t="str">
        <f t="shared" si="163"/>
        <v xml:space="preserve">Daniella Anozie </v>
      </c>
      <c r="I130" s="1193" t="str">
        <f t="shared" si="163"/>
        <v>Ella Purves</v>
      </c>
      <c r="J130" s="1193" t="str">
        <f t="shared" si="163"/>
        <v>Ella Smith</v>
      </c>
      <c r="K130" s="1193" t="str">
        <f t="shared" si="163"/>
        <v>Emma Ross</v>
      </c>
      <c r="L130" s="1193" t="str">
        <f t="shared" si="163"/>
        <v>Lorelai Maxwell</v>
      </c>
      <c r="M130" s="1188"/>
      <c r="N130" s="1188"/>
      <c r="O130" s="1188"/>
      <c r="P130" s="1188"/>
      <c r="Q130" s="1188"/>
      <c r="R130" s="1188"/>
      <c r="S130" s="1188"/>
      <c r="T130" s="1188"/>
      <c r="U130" s="1188"/>
      <c r="W130" s="32">
        <v>114</v>
      </c>
      <c r="X130" s="1194" t="str">
        <f>MID(D129,5,1)</f>
        <v>F</v>
      </c>
      <c r="Y130" s="419" t="str">
        <f t="shared" ref="Y130:AF130" si="164">VLOOKUP($A129,IF($X130="F",TeamSheetFemale,TeamSheetMale),Y$19,FALSE)</f>
        <v xml:space="preserve">Daniella Anozie </v>
      </c>
      <c r="Z130" s="419" t="str">
        <f t="shared" si="164"/>
        <v>Emma Ross</v>
      </c>
      <c r="AA130" s="419" t="str">
        <f t="shared" si="164"/>
        <v>Lennie Covey</v>
      </c>
      <c r="AB130" s="419" t="str">
        <f t="shared" si="164"/>
        <v>Emily Kendrick</v>
      </c>
      <c r="AC130" s="419">
        <f t="shared" si="164"/>
        <v>0</v>
      </c>
      <c r="AD130" s="419" t="str">
        <f t="shared" si="164"/>
        <v>Ella Smith</v>
      </c>
      <c r="AE130" s="419" t="str">
        <f t="shared" si="164"/>
        <v>Lorelai Maxwell</v>
      </c>
      <c r="AF130" s="419" t="str">
        <f t="shared" si="164"/>
        <v>Ella Purves</v>
      </c>
    </row>
    <row r="131" spans="1:32" ht="15" customHeight="1" thickBot="1" x14ac:dyDescent="0.35">
      <c r="A131" s="1189"/>
      <c r="B131" s="1195" t="s">
        <v>94</v>
      </c>
      <c r="C131" s="1196" t="s">
        <v>167</v>
      </c>
      <c r="D131" s="1197">
        <f>COUNTIF(E131:L131,"*")</f>
        <v>3</v>
      </c>
      <c r="E131" s="1198">
        <f t="shared" ref="E131:L131" si="165">HLOOKUP(LEFT(E129,1),$Y$17:$AF$181,$W131,FALSE)</f>
        <v>0</v>
      </c>
      <c r="F131" s="1198">
        <f t="shared" si="165"/>
        <v>0</v>
      </c>
      <c r="G131" s="1198">
        <f t="shared" si="165"/>
        <v>0</v>
      </c>
      <c r="H131" s="1198" t="str">
        <f t="shared" si="165"/>
        <v>Maryam Mohammed Hadi</v>
      </c>
      <c r="I131" s="1198">
        <f t="shared" si="165"/>
        <v>0</v>
      </c>
      <c r="J131" s="1198" t="str">
        <f t="shared" si="165"/>
        <v>Scarlett Dawson</v>
      </c>
      <c r="K131" s="1198">
        <f t="shared" si="165"/>
        <v>0</v>
      </c>
      <c r="L131" s="1198" t="str">
        <f t="shared" si="165"/>
        <v>Chloe Massey</v>
      </c>
      <c r="M131" s="1188"/>
      <c r="N131" s="1188"/>
      <c r="O131" s="1188"/>
      <c r="P131" s="1188"/>
      <c r="Q131" s="1188"/>
      <c r="R131" s="1188"/>
      <c r="S131" s="1188"/>
      <c r="T131" s="1188"/>
      <c r="U131" s="1188"/>
      <c r="W131" s="32">
        <v>115</v>
      </c>
      <c r="Y131" s="419" t="str">
        <f t="shared" ref="Y131:AF131" si="166">VLOOKUP($A129,IF($X130="F",TeamSheetFemale,TeamSheetMale),Y$20,FALSE)</f>
        <v>Maryam Mohammed Hadi</v>
      </c>
      <c r="Z131" s="419">
        <f t="shared" si="166"/>
        <v>0</v>
      </c>
      <c r="AA131" s="419">
        <f t="shared" si="166"/>
        <v>0</v>
      </c>
      <c r="AB131" s="419">
        <f t="shared" si="166"/>
        <v>0</v>
      </c>
      <c r="AC131" s="419">
        <f t="shared" si="166"/>
        <v>0</v>
      </c>
      <c r="AD131" s="419" t="str">
        <f t="shared" si="166"/>
        <v>Scarlett Dawson</v>
      </c>
      <c r="AE131" s="419" t="str">
        <f t="shared" si="166"/>
        <v>Chloe Massey</v>
      </c>
      <c r="AF131" s="419">
        <f t="shared" si="166"/>
        <v>0</v>
      </c>
    </row>
    <row r="132" spans="1:32" ht="15" customHeight="1" x14ac:dyDescent="0.3">
      <c r="A132" s="1255">
        <v>71</v>
      </c>
      <c r="B132" s="1185">
        <f>IF($A132&gt;0,VLOOKUP($A132,EventsOrder,2,FALSE)," ")</f>
        <v>4.2</v>
      </c>
      <c r="C132" s="1186" t="str">
        <f>IF($A132&gt;0,VLOOKUP($A132,EventsOrder,6,FALSE)," ")</f>
        <v xml:space="preserve">200m </v>
      </c>
      <c r="D132" s="1186" t="str">
        <f>IF($A132&gt;0,VLOOKUP($A132,EventsOrder,4,FALSE)," ")</f>
        <v>U14 Male</v>
      </c>
      <c r="E132" s="1187" t="str">
        <f t="shared" si="11"/>
        <v>M - Sol</v>
      </c>
      <c r="F132" s="1187" t="str">
        <f t="shared" si="12"/>
        <v>D - Strat</v>
      </c>
      <c r="G132" s="1187" t="str">
        <f t="shared" si="13"/>
        <v>S - BRAT</v>
      </c>
      <c r="H132" s="1187" t="str">
        <f t="shared" si="14"/>
        <v>R - Rugby</v>
      </c>
      <c r="I132" s="1187" t="str">
        <f t="shared" si="15"/>
        <v>G - Royal</v>
      </c>
      <c r="J132" s="1187" t="str">
        <f t="shared" si="16"/>
        <v>Y - Worc</v>
      </c>
      <c r="K132" s="1187" t="str">
        <f t="shared" si="17"/>
        <v>F - Tam</v>
      </c>
      <c r="L132" s="1187" t="str">
        <f t="shared" si="18"/>
        <v>U - K&amp;S</v>
      </c>
      <c r="M132" s="1188">
        <f>$F$14</f>
        <v>5</v>
      </c>
      <c r="N132" s="1188">
        <f>$J$14</f>
        <v>6</v>
      </c>
      <c r="O132" s="1188">
        <f>$I$14</f>
        <v>1</v>
      </c>
      <c r="P132" s="1188">
        <f>$G$14</f>
        <v>4</v>
      </c>
      <c r="Q132" s="1188">
        <f>$E$14</f>
        <v>3</v>
      </c>
      <c r="R132" s="1188">
        <f>$L$14</f>
        <v>8</v>
      </c>
      <c r="S132" s="1188">
        <f>$K$14</f>
        <v>7</v>
      </c>
      <c r="T132" s="1188">
        <f>$H$14</f>
        <v>2</v>
      </c>
      <c r="U132" s="1188">
        <f t="shared" si="6"/>
        <v>36</v>
      </c>
      <c r="W132" s="32">
        <v>116</v>
      </c>
    </row>
    <row r="133" spans="1:32" ht="15" customHeight="1" x14ac:dyDescent="0.3">
      <c r="A133" s="1189"/>
      <c r="B133" s="1190" t="s">
        <v>149</v>
      </c>
      <c r="C133" s="1191" t="s">
        <v>167</v>
      </c>
      <c r="D133" s="1192">
        <f>COUNTIF(E133:L133,"*")</f>
        <v>8</v>
      </c>
      <c r="E133" s="1193" t="str">
        <f t="shared" ref="E133:L133" si="167">HLOOKUP(LEFT(E132,1),$Y$17:$AF$181,$W133,FALSE)</f>
        <v>Joshua Baylis</v>
      </c>
      <c r="F133" s="1193" t="str">
        <f t="shared" si="167"/>
        <v>Fynn Allen</v>
      </c>
      <c r="G133" s="1193" t="str">
        <f t="shared" si="167"/>
        <v>Ethan Jatta</v>
      </c>
      <c r="H133" s="1193" t="str">
        <f t="shared" si="167"/>
        <v>Joe Walden</v>
      </c>
      <c r="I133" s="1193" t="str">
        <f t="shared" si="167"/>
        <v>Karram Sahota</v>
      </c>
      <c r="J133" s="1193" t="str">
        <f t="shared" si="167"/>
        <v>Rayan Faci</v>
      </c>
      <c r="K133" s="1193" t="str">
        <f t="shared" si="167"/>
        <v>Elijah Brockway</v>
      </c>
      <c r="L133" s="1193" t="str">
        <f t="shared" si="167"/>
        <v>Alexander Bird</v>
      </c>
      <c r="M133" s="1188"/>
      <c r="N133" s="1188"/>
      <c r="O133" s="1188"/>
      <c r="P133" s="1188"/>
      <c r="Q133" s="1188"/>
      <c r="R133" s="1188"/>
      <c r="S133" s="1188"/>
      <c r="T133" s="1188"/>
      <c r="U133" s="1188"/>
      <c r="W133" s="32">
        <v>117</v>
      </c>
      <c r="X133" s="1194" t="str">
        <f>MID(D132,5,1)</f>
        <v>M</v>
      </c>
      <c r="Y133" s="419" t="str">
        <f t="shared" ref="Y133:AF133" si="168">VLOOKUP($A132,IF($X133="F",TeamSheetFemale,TeamSheetMale),Y$19,FALSE)</f>
        <v>Ethan Jatta</v>
      </c>
      <c r="Z133" s="419" t="str">
        <f t="shared" si="168"/>
        <v>Alexander Bird</v>
      </c>
      <c r="AA133" s="419" t="str">
        <f t="shared" si="168"/>
        <v>Karram Sahota</v>
      </c>
      <c r="AB133" s="419" t="str">
        <f t="shared" si="168"/>
        <v>Joe Walden</v>
      </c>
      <c r="AC133" s="419" t="str">
        <f t="shared" si="168"/>
        <v>Joshua Baylis</v>
      </c>
      <c r="AD133" s="419" t="str">
        <f t="shared" si="168"/>
        <v>Fynn Allen</v>
      </c>
      <c r="AE133" s="419" t="str">
        <f t="shared" si="168"/>
        <v>Elijah Brockway</v>
      </c>
      <c r="AF133" s="419" t="str">
        <f t="shared" si="168"/>
        <v>Rayan Faci</v>
      </c>
    </row>
    <row r="134" spans="1:32" ht="15" customHeight="1" thickBot="1" x14ac:dyDescent="0.35">
      <c r="A134" s="1189"/>
      <c r="B134" s="1195" t="s">
        <v>94</v>
      </c>
      <c r="C134" s="1196" t="s">
        <v>167</v>
      </c>
      <c r="D134" s="1197">
        <f>COUNTIF(E134:L134,"*")</f>
        <v>6</v>
      </c>
      <c r="E134" s="1198" t="str">
        <f t="shared" ref="E134:L134" si="169">HLOOKUP(LEFT(E132,1),$Y$17:$AF$181,$W134,FALSE)</f>
        <v>Jacob Austerberry</v>
      </c>
      <c r="F134" s="1198" t="str">
        <f t="shared" si="169"/>
        <v>Jasper Hadley</v>
      </c>
      <c r="G134" s="1198" t="str">
        <f t="shared" si="169"/>
        <v>Adam Makame</v>
      </c>
      <c r="H134" s="1198" t="str">
        <f t="shared" si="169"/>
        <v>Hugo Fernandez</v>
      </c>
      <c r="I134" s="1198" t="str">
        <f t="shared" si="169"/>
        <v>Oliver Marsh</v>
      </c>
      <c r="J134" s="1198">
        <f t="shared" si="169"/>
        <v>0</v>
      </c>
      <c r="K134" s="1198" t="str">
        <f t="shared" si="169"/>
        <v>Alfie Kemp</v>
      </c>
      <c r="L134" s="1198">
        <f t="shared" si="169"/>
        <v>0</v>
      </c>
      <c r="M134" s="1188"/>
      <c r="N134" s="1188"/>
      <c r="O134" s="1188"/>
      <c r="P134" s="1188"/>
      <c r="Q134" s="1188"/>
      <c r="R134" s="1188"/>
      <c r="S134" s="1188"/>
      <c r="T134" s="1188"/>
      <c r="U134" s="1188"/>
      <c r="W134" s="32">
        <v>118</v>
      </c>
      <c r="Y134" s="419" t="str">
        <f t="shared" ref="Y134:AF134" si="170">VLOOKUP($A132,IF($X133="F",TeamSheetFemale,TeamSheetMale),Y$20,FALSE)</f>
        <v>Adam Makame</v>
      </c>
      <c r="Z134" s="419">
        <f t="shared" si="170"/>
        <v>0</v>
      </c>
      <c r="AA134" s="419" t="str">
        <f t="shared" si="170"/>
        <v>Oliver Marsh</v>
      </c>
      <c r="AB134" s="419" t="str">
        <f t="shared" si="170"/>
        <v>Hugo Fernandez</v>
      </c>
      <c r="AC134" s="419" t="str">
        <f t="shared" si="170"/>
        <v>Jacob Austerberry</v>
      </c>
      <c r="AD134" s="419" t="str">
        <f t="shared" si="170"/>
        <v>Jasper Hadley</v>
      </c>
      <c r="AE134" s="419" t="str">
        <f t="shared" si="170"/>
        <v>Alfie Kemp</v>
      </c>
      <c r="AF134" s="419">
        <f t="shared" si="170"/>
        <v>0</v>
      </c>
    </row>
    <row r="135" spans="1:32" ht="15" customHeight="1" x14ac:dyDescent="0.3">
      <c r="A135" s="1255">
        <v>72</v>
      </c>
      <c r="B135" s="1185">
        <f>IF($A135&gt;0,VLOOKUP($A135,EventsOrder,2,FALSE)," ")</f>
        <v>4.25</v>
      </c>
      <c r="C135" s="1186" t="str">
        <f>IF($A135&gt;0,VLOOKUP($A135,EventsOrder,6,FALSE)," ")</f>
        <v xml:space="preserve">200m </v>
      </c>
      <c r="D135" s="1186" t="str">
        <f>IF($A135&gt;0,VLOOKUP($A135,EventsOrder,4,FALSE)," ")</f>
        <v>U16 Male</v>
      </c>
      <c r="E135" s="1187" t="str">
        <f t="shared" si="11"/>
        <v>Y - Worc</v>
      </c>
      <c r="F135" s="1187" t="str">
        <f t="shared" si="12"/>
        <v>F - Tam</v>
      </c>
      <c r="G135" s="1187" t="str">
        <f t="shared" si="13"/>
        <v>U - K&amp;S</v>
      </c>
      <c r="H135" s="1187" t="str">
        <f t="shared" si="14"/>
        <v>G - Royal</v>
      </c>
      <c r="I135" s="1187" t="str">
        <f t="shared" si="15"/>
        <v>D - Strat</v>
      </c>
      <c r="J135" s="1187" t="str">
        <f t="shared" si="16"/>
        <v>M - Sol</v>
      </c>
      <c r="K135" s="1187" t="str">
        <f t="shared" si="17"/>
        <v>R - Rugby</v>
      </c>
      <c r="L135" s="1187" t="str">
        <f t="shared" si="18"/>
        <v>S - BRAT</v>
      </c>
      <c r="M135" s="1188">
        <f>$L$14</f>
        <v>8</v>
      </c>
      <c r="N135" s="1188">
        <f>$K$14</f>
        <v>7</v>
      </c>
      <c r="O135" s="1188">
        <f>$H$14</f>
        <v>2</v>
      </c>
      <c r="P135" s="1188">
        <f>$E$14</f>
        <v>3</v>
      </c>
      <c r="Q135" s="1188">
        <f>$J$14</f>
        <v>6</v>
      </c>
      <c r="R135" s="1188">
        <f>$F$14</f>
        <v>5</v>
      </c>
      <c r="S135" s="1188">
        <f>$G$14</f>
        <v>4</v>
      </c>
      <c r="T135" s="1188">
        <f>$I$14</f>
        <v>1</v>
      </c>
      <c r="U135" s="1188">
        <f t="shared" si="6"/>
        <v>36</v>
      </c>
      <c r="W135" s="32">
        <v>119</v>
      </c>
    </row>
    <row r="136" spans="1:32" ht="15" customHeight="1" x14ac:dyDescent="0.3">
      <c r="A136" s="1189"/>
      <c r="B136" s="1190" t="s">
        <v>149</v>
      </c>
      <c r="C136" s="1191" t="s">
        <v>167</v>
      </c>
      <c r="D136" s="1192">
        <f>COUNTIF(E136:L136,"*")</f>
        <v>7</v>
      </c>
      <c r="E136" s="1193" t="str">
        <f t="shared" ref="E136:L136" si="171">HLOOKUP(LEFT(E135,1),$Y$17:$AF$181,$W136,FALSE)</f>
        <v>Oscar Farmer</v>
      </c>
      <c r="F136" s="1193" t="str">
        <f t="shared" si="171"/>
        <v>Oscar Brehler</v>
      </c>
      <c r="G136" s="1193">
        <f t="shared" si="171"/>
        <v>0</v>
      </c>
      <c r="H136" s="1193" t="str">
        <f t="shared" si="171"/>
        <v>Reuban Higgins</v>
      </c>
      <c r="I136" s="1193" t="str">
        <f t="shared" si="171"/>
        <v>Zac Birch</v>
      </c>
      <c r="J136" s="1193" t="str">
        <f t="shared" si="171"/>
        <v>Charlie Hughes</v>
      </c>
      <c r="K136" s="1193" t="str">
        <f t="shared" si="171"/>
        <v>Alfie Goodman</v>
      </c>
      <c r="L136" s="1193" t="str">
        <f t="shared" si="171"/>
        <v>Dominic Francis-Gordon</v>
      </c>
      <c r="M136" s="1188"/>
      <c r="N136" s="1188"/>
      <c r="O136" s="1188"/>
      <c r="P136" s="1188"/>
      <c r="Q136" s="1188"/>
      <c r="R136" s="1188"/>
      <c r="S136" s="1188"/>
      <c r="T136" s="1188"/>
      <c r="U136" s="1188"/>
      <c r="W136" s="32">
        <v>120</v>
      </c>
      <c r="X136" s="1194" t="str">
        <f>MID(D135,5,1)</f>
        <v>M</v>
      </c>
      <c r="Y136" s="419" t="str">
        <f t="shared" ref="Y136:AF136" si="172">VLOOKUP($A135,IF($X136="F",TeamSheetFemale,TeamSheetMale),Y$19,FALSE)</f>
        <v>Dominic Francis-Gordon</v>
      </c>
      <c r="Z136" s="419">
        <f t="shared" si="172"/>
        <v>0</v>
      </c>
      <c r="AA136" s="419" t="str">
        <f t="shared" si="172"/>
        <v>Reuban Higgins</v>
      </c>
      <c r="AB136" s="419" t="str">
        <f t="shared" si="172"/>
        <v>Alfie Goodman</v>
      </c>
      <c r="AC136" s="419" t="str">
        <f t="shared" si="172"/>
        <v>Charlie Hughes</v>
      </c>
      <c r="AD136" s="419" t="str">
        <f t="shared" si="172"/>
        <v>Zac Birch</v>
      </c>
      <c r="AE136" s="419" t="str">
        <f t="shared" si="172"/>
        <v>Oscar Brehler</v>
      </c>
      <c r="AF136" s="419" t="str">
        <f t="shared" si="172"/>
        <v>Oscar Farmer</v>
      </c>
    </row>
    <row r="137" spans="1:32" ht="15" customHeight="1" thickBot="1" x14ac:dyDescent="0.35">
      <c r="A137" s="1189"/>
      <c r="B137" s="1195" t="s">
        <v>94</v>
      </c>
      <c r="C137" s="1196" t="s">
        <v>167</v>
      </c>
      <c r="D137" s="1197">
        <f>COUNTIF(E137:L137,"*")</f>
        <v>7</v>
      </c>
      <c r="E137" s="1198" t="str">
        <f t="shared" ref="E137:L137" si="173">HLOOKUP(LEFT(E135,1),$Y$17:$AF$181,$W137,FALSE)</f>
        <v>Harry Groves</v>
      </c>
      <c r="F137" s="1198" t="str">
        <f t="shared" si="173"/>
        <v>Lucas Lee</v>
      </c>
      <c r="G137" s="1198">
        <f t="shared" si="173"/>
        <v>0</v>
      </c>
      <c r="H137" s="1198" t="str">
        <f t="shared" si="173"/>
        <v>Joseph Smith</v>
      </c>
      <c r="I137" s="1198" t="str">
        <f t="shared" si="173"/>
        <v xml:space="preserve">Jasper Cooper </v>
      </c>
      <c r="J137" s="1198" t="str">
        <f t="shared" si="173"/>
        <v>Jason Bedford</v>
      </c>
      <c r="K137" s="1198" t="str">
        <f t="shared" si="173"/>
        <v>Tyrell Fowles</v>
      </c>
      <c r="L137" s="1198" t="str">
        <f t="shared" si="173"/>
        <v xml:space="preserve">JAYARD VALERIO </v>
      </c>
      <c r="M137" s="1188"/>
      <c r="N137" s="1188"/>
      <c r="O137" s="1188"/>
      <c r="P137" s="1188"/>
      <c r="Q137" s="1188"/>
      <c r="R137" s="1188"/>
      <c r="S137" s="1188"/>
      <c r="T137" s="1188"/>
      <c r="U137" s="1188"/>
      <c r="W137" s="32">
        <v>121</v>
      </c>
      <c r="Y137" s="419" t="str">
        <f t="shared" ref="Y137:AF137" si="174">VLOOKUP($A135,IF($X136="F",TeamSheetFemale,TeamSheetMale),Y$20,FALSE)</f>
        <v xml:space="preserve">JAYARD VALERIO </v>
      </c>
      <c r="Z137" s="419">
        <f t="shared" si="174"/>
        <v>0</v>
      </c>
      <c r="AA137" s="419" t="str">
        <f t="shared" si="174"/>
        <v>Joseph Smith</v>
      </c>
      <c r="AB137" s="419" t="str">
        <f t="shared" si="174"/>
        <v>Tyrell Fowles</v>
      </c>
      <c r="AC137" s="419" t="str">
        <f t="shared" si="174"/>
        <v>Jason Bedford</v>
      </c>
      <c r="AD137" s="419" t="str">
        <f t="shared" si="174"/>
        <v xml:space="preserve">Jasper Cooper </v>
      </c>
      <c r="AE137" s="419" t="str">
        <f t="shared" si="174"/>
        <v>Lucas Lee</v>
      </c>
      <c r="AF137" s="419" t="str">
        <f t="shared" si="174"/>
        <v>Harry Groves</v>
      </c>
    </row>
    <row r="138" spans="1:32" ht="15" customHeight="1" x14ac:dyDescent="0.3">
      <c r="A138" s="1255">
        <v>76</v>
      </c>
      <c r="B138" s="1185">
        <f>IF($A138&gt;0,VLOOKUP($A138,EventsOrder,2,FALSE)," ")</f>
        <v>4.3</v>
      </c>
      <c r="C138" s="1186" t="str">
        <f>IF($A138&gt;0,VLOOKUP($A138,EventsOrder,6,FALSE)," ")</f>
        <v xml:space="preserve">200m (U18/U20) </v>
      </c>
      <c r="D138" s="1186" t="str">
        <f>IF($A138&gt;0,VLOOKUP($A138,EventsOrder,4,FALSE)," ")</f>
        <v>U18 Men</v>
      </c>
      <c r="E138" s="1187" t="str">
        <f t="shared" si="11"/>
        <v>D - Strat</v>
      </c>
      <c r="F138" s="1187" t="str">
        <f t="shared" si="12"/>
        <v>R - Rugby</v>
      </c>
      <c r="G138" s="1187" t="str">
        <f t="shared" si="13"/>
        <v>F - Tam</v>
      </c>
      <c r="H138" s="1187" t="str">
        <f t="shared" si="14"/>
        <v>U - K&amp;S</v>
      </c>
      <c r="I138" s="1187" t="str">
        <f t="shared" si="15"/>
        <v>S - BRAT</v>
      </c>
      <c r="J138" s="1187" t="str">
        <f t="shared" si="16"/>
        <v>M - Sol</v>
      </c>
      <c r="K138" s="1187" t="str">
        <f t="shared" si="17"/>
        <v>Y - Worc</v>
      </c>
      <c r="L138" s="1187" t="str">
        <f t="shared" si="18"/>
        <v>G - Royal</v>
      </c>
      <c r="M138" s="1188">
        <f>$J$14</f>
        <v>6</v>
      </c>
      <c r="N138" s="1188">
        <f>$G$14</f>
        <v>4</v>
      </c>
      <c r="O138" s="1188">
        <f>$K$14</f>
        <v>7</v>
      </c>
      <c r="P138" s="1188">
        <f>$H$14</f>
        <v>2</v>
      </c>
      <c r="Q138" s="1188">
        <f>$I$14</f>
        <v>1</v>
      </c>
      <c r="R138" s="1188">
        <f>$F$14</f>
        <v>5</v>
      </c>
      <c r="S138" s="1188">
        <f>$L$14</f>
        <v>8</v>
      </c>
      <c r="T138" s="1188">
        <f>$E$14</f>
        <v>3</v>
      </c>
      <c r="U138" s="1188">
        <f t="shared" si="6"/>
        <v>36</v>
      </c>
      <c r="W138" s="32">
        <v>122</v>
      </c>
    </row>
    <row r="139" spans="1:32" ht="15" customHeight="1" x14ac:dyDescent="0.3">
      <c r="A139" s="1189"/>
      <c r="B139" s="1190" t="s">
        <v>149</v>
      </c>
      <c r="C139" s="1191" t="s">
        <v>167</v>
      </c>
      <c r="D139" s="1192">
        <f>COUNTIF(E139:L139,"*")</f>
        <v>5</v>
      </c>
      <c r="E139" s="1193" t="str">
        <f t="shared" ref="E139:L139" si="175">HLOOKUP(LEFT(E138,1),$Y$17:$AF$181,$W139,FALSE)</f>
        <v>Tom Stanton</v>
      </c>
      <c r="F139" s="1193" t="str">
        <f t="shared" si="175"/>
        <v>Max Roberts</v>
      </c>
      <c r="G139" s="1193">
        <f t="shared" si="175"/>
        <v>0</v>
      </c>
      <c r="H139" s="1193">
        <f t="shared" si="175"/>
        <v>0</v>
      </c>
      <c r="I139" s="1193" t="str">
        <f t="shared" si="175"/>
        <v>Miguel Daley</v>
      </c>
      <c r="J139" s="1193" t="str">
        <f t="shared" si="175"/>
        <v>Noah Latusek</v>
      </c>
      <c r="K139" s="1193">
        <f t="shared" si="175"/>
        <v>0</v>
      </c>
      <c r="L139" s="1193" t="str">
        <f t="shared" si="175"/>
        <v>K'Shein Radcliffe</v>
      </c>
      <c r="M139" s="1188"/>
      <c r="N139" s="1188"/>
      <c r="O139" s="1188"/>
      <c r="P139" s="1188"/>
      <c r="Q139" s="1188"/>
      <c r="R139" s="1188"/>
      <c r="S139" s="1188"/>
      <c r="T139" s="1188"/>
      <c r="U139" s="1188"/>
      <c r="W139" s="32">
        <v>123</v>
      </c>
      <c r="X139" s="1194" t="str">
        <f>MID(D138,5,1)</f>
        <v>M</v>
      </c>
      <c r="Y139" s="419" t="str">
        <f t="shared" ref="Y139:AF139" si="176">VLOOKUP($A138,IF($X139="F",TeamSheetFemale,TeamSheetMale),Y$19,FALSE)</f>
        <v>Miguel Daley</v>
      </c>
      <c r="Z139" s="419">
        <f t="shared" si="176"/>
        <v>0</v>
      </c>
      <c r="AA139" s="419" t="str">
        <f t="shared" si="176"/>
        <v>K'Shein Radcliffe</v>
      </c>
      <c r="AB139" s="419" t="str">
        <f t="shared" si="176"/>
        <v>Max Roberts</v>
      </c>
      <c r="AC139" s="419" t="str">
        <f t="shared" si="176"/>
        <v>Noah Latusek</v>
      </c>
      <c r="AD139" s="419" t="str">
        <f t="shared" si="176"/>
        <v>Tom Stanton</v>
      </c>
      <c r="AE139" s="419">
        <f t="shared" si="176"/>
        <v>0</v>
      </c>
      <c r="AF139" s="419">
        <f t="shared" si="176"/>
        <v>0</v>
      </c>
    </row>
    <row r="140" spans="1:32" ht="15" customHeight="1" thickBot="1" x14ac:dyDescent="0.35">
      <c r="A140" s="1189"/>
      <c r="B140" s="1195" t="s">
        <v>94</v>
      </c>
      <c r="C140" s="1196" t="s">
        <v>167</v>
      </c>
      <c r="D140" s="1197">
        <f>COUNTIF(E140:L140,"*")</f>
        <v>5</v>
      </c>
      <c r="E140" s="1198" t="str">
        <f t="shared" ref="E140:L140" si="177">HLOOKUP(LEFT(E138,1),$Y$17:$AF$181,$W140,FALSE)</f>
        <v>Arthur Mansbridge</v>
      </c>
      <c r="F140" s="1198">
        <f t="shared" si="177"/>
        <v>0</v>
      </c>
      <c r="G140" s="1198">
        <f t="shared" si="177"/>
        <v>0</v>
      </c>
      <c r="H140" s="1198" t="str">
        <f t="shared" si="177"/>
        <v>Ted Freeman</v>
      </c>
      <c r="I140" s="1198" t="str">
        <f t="shared" si="177"/>
        <v>Saleh Beshir</v>
      </c>
      <c r="J140" s="1198" t="str">
        <f t="shared" si="177"/>
        <v>Ben Hilton</v>
      </c>
      <c r="K140" s="1198">
        <f t="shared" si="177"/>
        <v>0</v>
      </c>
      <c r="L140" s="1198" t="str">
        <f t="shared" si="177"/>
        <v>Isaiah Dominique</v>
      </c>
      <c r="M140" s="1188"/>
      <c r="N140" s="1188"/>
      <c r="O140" s="1188"/>
      <c r="P140" s="1188"/>
      <c r="Q140" s="1188"/>
      <c r="R140" s="1188"/>
      <c r="S140" s="1188"/>
      <c r="T140" s="1188"/>
      <c r="U140" s="1188"/>
      <c r="W140" s="32">
        <v>124</v>
      </c>
      <c r="Y140" s="419" t="str">
        <f t="shared" ref="Y140:AF140" si="178">VLOOKUP($A138,IF($X139="F",TeamSheetFemale,TeamSheetMale),Y$20,FALSE)</f>
        <v>Saleh Beshir</v>
      </c>
      <c r="Z140" s="419" t="str">
        <f t="shared" si="178"/>
        <v>Ted Freeman</v>
      </c>
      <c r="AA140" s="419" t="str">
        <f t="shared" si="178"/>
        <v>Isaiah Dominique</v>
      </c>
      <c r="AB140" s="419">
        <f t="shared" si="178"/>
        <v>0</v>
      </c>
      <c r="AC140" s="419" t="str">
        <f t="shared" si="178"/>
        <v>Ben Hilton</v>
      </c>
      <c r="AD140" s="419" t="str">
        <f t="shared" si="178"/>
        <v>Arthur Mansbridge</v>
      </c>
      <c r="AE140" s="419">
        <f t="shared" si="178"/>
        <v>0</v>
      </c>
      <c r="AF140" s="419">
        <f t="shared" si="178"/>
        <v>0</v>
      </c>
    </row>
    <row r="141" spans="1:32" ht="15" customHeight="1" x14ac:dyDescent="0.3">
      <c r="A141" s="1255">
        <v>81</v>
      </c>
      <c r="B141" s="1185">
        <f>IF($A141&gt;0,VLOOKUP($A141,EventsOrder,2,FALSE)," ")</f>
        <v>4.4000000000000004</v>
      </c>
      <c r="C141" s="1186" t="str">
        <f>IF($A141&gt;0,VLOOKUP($A141,EventsOrder,6,FALSE)," ")</f>
        <v xml:space="preserve">4 x 100m  </v>
      </c>
      <c r="D141" s="1186" t="str">
        <f>IF($A141&gt;0,VLOOKUP($A141,EventsOrder,4,FALSE)," ")</f>
        <v>U12 Female</v>
      </c>
      <c r="E141" s="1187" t="str">
        <f t="shared" si="11"/>
        <v>S - BRAT</v>
      </c>
      <c r="F141" s="1187" t="str">
        <f t="shared" si="12"/>
        <v>U - K&amp;S</v>
      </c>
      <c r="G141" s="1187" t="str">
        <f t="shared" si="13"/>
        <v>D - Strat</v>
      </c>
      <c r="H141" s="1187" t="str">
        <f t="shared" si="14"/>
        <v>M - Sol</v>
      </c>
      <c r="I141" s="1187" t="str">
        <f t="shared" si="15"/>
        <v>G - Royal</v>
      </c>
      <c r="J141" s="1187" t="str">
        <f t="shared" si="16"/>
        <v>Y - Worc</v>
      </c>
      <c r="K141" s="1187" t="str">
        <f t="shared" si="17"/>
        <v>R - Rugby</v>
      </c>
      <c r="L141" s="1187" t="str">
        <f t="shared" si="18"/>
        <v>F - Tam</v>
      </c>
      <c r="M141" s="1188">
        <f>$I$14</f>
        <v>1</v>
      </c>
      <c r="N141" s="1188">
        <f>$H$14</f>
        <v>2</v>
      </c>
      <c r="O141" s="1188">
        <f>$J$14</f>
        <v>6</v>
      </c>
      <c r="P141" s="1188">
        <f>$F$14</f>
        <v>5</v>
      </c>
      <c r="Q141" s="1188">
        <f>$E$14</f>
        <v>3</v>
      </c>
      <c r="R141" s="1188">
        <f>$L$14</f>
        <v>8</v>
      </c>
      <c r="S141" s="1188">
        <f>$G$14</f>
        <v>4</v>
      </c>
      <c r="T141" s="1188">
        <f>$K$14</f>
        <v>7</v>
      </c>
      <c r="U141" s="1188">
        <f t="shared" si="6"/>
        <v>36</v>
      </c>
      <c r="W141" s="32">
        <v>125</v>
      </c>
    </row>
    <row r="142" spans="1:32" ht="15" customHeight="1" x14ac:dyDescent="0.3">
      <c r="A142" s="1189"/>
      <c r="B142" s="1190" t="s">
        <v>149</v>
      </c>
      <c r="C142" s="1191" t="s">
        <v>167</v>
      </c>
      <c r="D142" s="1192">
        <f>COUNTIF(E142:L142,"*")</f>
        <v>8</v>
      </c>
      <c r="E142" s="1193" t="str">
        <f t="shared" ref="E142:L142" si="179">HLOOKUP(LEFT(E141,1),$Y$17:$AF$181,$W142,FALSE)</f>
        <v>BRAT</v>
      </c>
      <c r="F142" s="1193" t="str">
        <f t="shared" si="179"/>
        <v>Kidder &amp; Stourport</v>
      </c>
      <c r="G142" s="1193" t="str">
        <f t="shared" si="179"/>
        <v>Stratford</v>
      </c>
      <c r="H142" s="1193" t="str">
        <f t="shared" si="179"/>
        <v>Solihull &amp; S.Heath</v>
      </c>
      <c r="I142" s="1193" t="str">
        <f t="shared" si="179"/>
        <v>Royal Sutton</v>
      </c>
      <c r="J142" s="1193" t="str">
        <f t="shared" si="179"/>
        <v>Worcester</v>
      </c>
      <c r="K142" s="1193" t="str">
        <f t="shared" si="179"/>
        <v>Rugby &amp; N'hampton</v>
      </c>
      <c r="L142" s="1193" t="str">
        <f t="shared" si="179"/>
        <v>Tamworth</v>
      </c>
      <c r="M142" s="1188"/>
      <c r="N142" s="1188"/>
      <c r="O142" s="1188"/>
      <c r="P142" s="1188"/>
      <c r="Q142" s="1188"/>
      <c r="R142" s="1188"/>
      <c r="S142" s="1188"/>
      <c r="T142" s="1188"/>
      <c r="U142" s="1188"/>
      <c r="W142" s="32">
        <v>126</v>
      </c>
      <c r="X142" s="1194" t="str">
        <f>MID(D141,5,1)</f>
        <v>F</v>
      </c>
      <c r="Y142" s="419" t="str">
        <f t="shared" ref="Y142:AF142" si="180">VLOOKUP($A141,IF($X142="F",TeamSheetFemale,TeamSheetMale),Y$19,FALSE)</f>
        <v>BRAT</v>
      </c>
      <c r="Z142" s="419" t="str">
        <f t="shared" si="180"/>
        <v>Kidder &amp; Stourport</v>
      </c>
      <c r="AA142" s="419" t="str">
        <f t="shared" si="180"/>
        <v>Royal Sutton</v>
      </c>
      <c r="AB142" s="419" t="str">
        <f t="shared" si="180"/>
        <v>Rugby &amp; N'hampton</v>
      </c>
      <c r="AC142" s="419" t="str">
        <f t="shared" si="180"/>
        <v>Solihull &amp; S.Heath</v>
      </c>
      <c r="AD142" s="419" t="str">
        <f t="shared" si="180"/>
        <v>Stratford</v>
      </c>
      <c r="AE142" s="419" t="str">
        <f t="shared" si="180"/>
        <v>Tamworth</v>
      </c>
      <c r="AF142" s="419" t="str">
        <f t="shared" si="180"/>
        <v>Worcester</v>
      </c>
    </row>
    <row r="143" spans="1:32" ht="15" customHeight="1" thickBot="1" x14ac:dyDescent="0.35">
      <c r="A143" s="1189"/>
      <c r="B143" s="1195" t="s">
        <v>94</v>
      </c>
      <c r="C143" s="1196" t="s">
        <v>167</v>
      </c>
      <c r="D143" s="1197">
        <f>COUNTIF(E143:L143,"*")</f>
        <v>0</v>
      </c>
      <c r="E143" s="1198">
        <f t="shared" ref="E143:L143" si="181">HLOOKUP(LEFT(E141,1),$Y$17:$AF$181,$W143,FALSE)</f>
        <v>0</v>
      </c>
      <c r="F143" s="1198">
        <f t="shared" si="181"/>
        <v>0</v>
      </c>
      <c r="G143" s="1198">
        <f t="shared" si="181"/>
        <v>0</v>
      </c>
      <c r="H143" s="1198">
        <f t="shared" si="181"/>
        <v>0</v>
      </c>
      <c r="I143" s="1198">
        <f t="shared" si="181"/>
        <v>0</v>
      </c>
      <c r="J143" s="1198">
        <f t="shared" si="181"/>
        <v>0</v>
      </c>
      <c r="K143" s="1198">
        <f t="shared" si="181"/>
        <v>0</v>
      </c>
      <c r="L143" s="1198">
        <f t="shared" si="181"/>
        <v>0</v>
      </c>
      <c r="M143" s="1188"/>
      <c r="N143" s="1188"/>
      <c r="O143" s="1188"/>
      <c r="P143" s="1188"/>
      <c r="Q143" s="1188"/>
      <c r="R143" s="1188"/>
      <c r="S143" s="1188"/>
      <c r="T143" s="1188"/>
      <c r="U143" s="1188"/>
      <c r="W143" s="32">
        <v>127</v>
      </c>
      <c r="Y143" s="419">
        <f t="shared" ref="Y143:AF143" si="182">VLOOKUP($A141,IF($X142="F",TeamSheetFemale,TeamSheetMale),Y$20,FALSE)</f>
        <v>0</v>
      </c>
      <c r="Z143" s="419">
        <f t="shared" si="182"/>
        <v>0</v>
      </c>
      <c r="AA143" s="419">
        <f t="shared" si="182"/>
        <v>0</v>
      </c>
      <c r="AB143" s="419">
        <f t="shared" si="182"/>
        <v>0</v>
      </c>
      <c r="AC143" s="419">
        <f t="shared" si="182"/>
        <v>0</v>
      </c>
      <c r="AD143" s="419">
        <f t="shared" si="182"/>
        <v>0</v>
      </c>
      <c r="AE143" s="419">
        <f t="shared" si="182"/>
        <v>0</v>
      </c>
      <c r="AF143" s="419">
        <f t="shared" si="182"/>
        <v>0</v>
      </c>
    </row>
    <row r="144" spans="1:32" ht="15" customHeight="1" x14ac:dyDescent="0.3">
      <c r="A144" s="1255">
        <v>76</v>
      </c>
      <c r="B144" s="1185">
        <f>IF($A144&gt;0,VLOOKUP($A144,EventsOrder,2,FALSE)," ")</f>
        <v>4.3</v>
      </c>
      <c r="C144" s="1186" t="str">
        <f>IF($A144&gt;0,VLOOKUP($A144,EventsOrder,6,FALSE)," ")</f>
        <v xml:space="preserve">200m (U18/U20) </v>
      </c>
      <c r="D144" s="1186" t="str">
        <f>IF($A144&gt;0,VLOOKUP($A144,EventsOrder,4,FALSE)," ")</f>
        <v>U18 Men</v>
      </c>
      <c r="E144" s="1187" t="str">
        <f t="shared" si="11"/>
        <v>U - K&amp;S</v>
      </c>
      <c r="F144" s="1187" t="str">
        <f t="shared" si="12"/>
        <v>D - Strat</v>
      </c>
      <c r="G144" s="1187" t="str">
        <f t="shared" si="13"/>
        <v>Y - Worc</v>
      </c>
      <c r="H144" s="1187" t="str">
        <f t="shared" si="14"/>
        <v>G - Royal</v>
      </c>
      <c r="I144" s="1187" t="str">
        <f t="shared" si="15"/>
        <v>M - Sol</v>
      </c>
      <c r="J144" s="1187" t="str">
        <f t="shared" si="16"/>
        <v>R - Rugby</v>
      </c>
      <c r="K144" s="1187" t="str">
        <f t="shared" si="17"/>
        <v>S - BRAT</v>
      </c>
      <c r="L144" s="1187" t="str">
        <f t="shared" si="18"/>
        <v>F - Tam</v>
      </c>
      <c r="M144" s="1188">
        <f>$H$14</f>
        <v>2</v>
      </c>
      <c r="N144" s="1188">
        <f>$J$14</f>
        <v>6</v>
      </c>
      <c r="O144" s="1188">
        <f>$L$14</f>
        <v>8</v>
      </c>
      <c r="P144" s="1188">
        <f>$E$14</f>
        <v>3</v>
      </c>
      <c r="Q144" s="1188">
        <f>$F$14</f>
        <v>5</v>
      </c>
      <c r="R144" s="1188">
        <f>$G$14</f>
        <v>4</v>
      </c>
      <c r="S144" s="1188">
        <f>$I$14</f>
        <v>1</v>
      </c>
      <c r="T144" s="1188">
        <f>$K$14</f>
        <v>7</v>
      </c>
      <c r="U144" s="1188">
        <f t="shared" si="6"/>
        <v>36</v>
      </c>
      <c r="W144" s="32">
        <v>128</v>
      </c>
    </row>
    <row r="145" spans="1:32" ht="15" customHeight="1" x14ac:dyDescent="0.3">
      <c r="A145" s="1189"/>
      <c r="B145" s="1190" t="s">
        <v>149</v>
      </c>
      <c r="C145" s="1191" t="s">
        <v>167</v>
      </c>
      <c r="D145" s="1192">
        <f>COUNTIF(E145:L145,"*")</f>
        <v>5</v>
      </c>
      <c r="E145" s="1193">
        <f t="shared" ref="E145:L145" si="183">HLOOKUP(LEFT(E144,1),$Y$17:$AF$181,$W145,FALSE)</f>
        <v>0</v>
      </c>
      <c r="F145" s="1193" t="str">
        <f t="shared" si="183"/>
        <v>Tom Stanton</v>
      </c>
      <c r="G145" s="1193">
        <f t="shared" si="183"/>
        <v>0</v>
      </c>
      <c r="H145" s="1193" t="str">
        <f t="shared" si="183"/>
        <v>K'Shein Radcliffe</v>
      </c>
      <c r="I145" s="1193" t="str">
        <f t="shared" si="183"/>
        <v>Noah Latusek</v>
      </c>
      <c r="J145" s="1193" t="str">
        <f t="shared" si="183"/>
        <v>Max Roberts</v>
      </c>
      <c r="K145" s="1193" t="str">
        <f t="shared" si="183"/>
        <v>Miguel Daley</v>
      </c>
      <c r="L145" s="1193">
        <f t="shared" si="183"/>
        <v>0</v>
      </c>
      <c r="M145" s="1188"/>
      <c r="N145" s="1188"/>
      <c r="O145" s="1188"/>
      <c r="P145" s="1188"/>
      <c r="Q145" s="1188"/>
      <c r="R145" s="1188"/>
      <c r="S145" s="1188"/>
      <c r="T145" s="1188"/>
      <c r="U145" s="1188"/>
      <c r="W145" s="32">
        <v>129</v>
      </c>
      <c r="X145" s="1194" t="str">
        <f>MID(D144,5,1)</f>
        <v>M</v>
      </c>
      <c r="Y145" s="419" t="str">
        <f t="shared" ref="Y145:AF145" si="184">VLOOKUP($A144,IF($X145="F",TeamSheetFemale,TeamSheetMale),Y$19,FALSE)</f>
        <v>Miguel Daley</v>
      </c>
      <c r="Z145" s="419">
        <f t="shared" si="184"/>
        <v>0</v>
      </c>
      <c r="AA145" s="419" t="str">
        <f t="shared" si="184"/>
        <v>K'Shein Radcliffe</v>
      </c>
      <c r="AB145" s="419" t="str">
        <f t="shared" si="184"/>
        <v>Max Roberts</v>
      </c>
      <c r="AC145" s="419" t="str">
        <f t="shared" si="184"/>
        <v>Noah Latusek</v>
      </c>
      <c r="AD145" s="419" t="str">
        <f t="shared" si="184"/>
        <v>Tom Stanton</v>
      </c>
      <c r="AE145" s="419">
        <f t="shared" si="184"/>
        <v>0</v>
      </c>
      <c r="AF145" s="419">
        <f t="shared" si="184"/>
        <v>0</v>
      </c>
    </row>
    <row r="146" spans="1:32" ht="15" customHeight="1" thickBot="1" x14ac:dyDescent="0.35">
      <c r="A146" s="1189"/>
      <c r="B146" s="1195" t="s">
        <v>94</v>
      </c>
      <c r="C146" s="1196" t="s">
        <v>167</v>
      </c>
      <c r="D146" s="1197">
        <f>COUNTIF(E146:L146,"*")</f>
        <v>5</v>
      </c>
      <c r="E146" s="1198" t="str">
        <f t="shared" ref="E146:L146" si="185">HLOOKUP(LEFT(E144,1),$Y$17:$AF$181,$W146,FALSE)</f>
        <v>Ted Freeman</v>
      </c>
      <c r="F146" s="1198" t="str">
        <f t="shared" si="185"/>
        <v>Arthur Mansbridge</v>
      </c>
      <c r="G146" s="1198">
        <f t="shared" si="185"/>
        <v>0</v>
      </c>
      <c r="H146" s="1198" t="str">
        <f t="shared" si="185"/>
        <v>Isaiah Dominique</v>
      </c>
      <c r="I146" s="1198" t="str">
        <f t="shared" si="185"/>
        <v>Ben Hilton</v>
      </c>
      <c r="J146" s="1198">
        <f t="shared" si="185"/>
        <v>0</v>
      </c>
      <c r="K146" s="1198" t="str">
        <f t="shared" si="185"/>
        <v>Saleh Beshir</v>
      </c>
      <c r="L146" s="1198">
        <f t="shared" si="185"/>
        <v>0</v>
      </c>
      <c r="M146" s="1188"/>
      <c r="N146" s="1188"/>
      <c r="O146" s="1188"/>
      <c r="P146" s="1188"/>
      <c r="Q146" s="1188"/>
      <c r="R146" s="1188"/>
      <c r="S146" s="1188"/>
      <c r="T146" s="1188"/>
      <c r="U146" s="1188"/>
      <c r="W146" s="32">
        <v>130</v>
      </c>
      <c r="Y146" s="419" t="str">
        <f t="shared" ref="Y146:AF146" si="186">VLOOKUP($A144,IF($X145="F",TeamSheetFemale,TeamSheetMale),Y$20,FALSE)</f>
        <v>Saleh Beshir</v>
      </c>
      <c r="Z146" s="419" t="str">
        <f t="shared" si="186"/>
        <v>Ted Freeman</v>
      </c>
      <c r="AA146" s="419" t="str">
        <f t="shared" si="186"/>
        <v>Isaiah Dominique</v>
      </c>
      <c r="AB146" s="419">
        <f t="shared" si="186"/>
        <v>0</v>
      </c>
      <c r="AC146" s="419" t="str">
        <f t="shared" si="186"/>
        <v>Ben Hilton</v>
      </c>
      <c r="AD146" s="419" t="str">
        <f t="shared" si="186"/>
        <v>Arthur Mansbridge</v>
      </c>
      <c r="AE146" s="419">
        <f t="shared" si="186"/>
        <v>0</v>
      </c>
      <c r="AF146" s="419">
        <f t="shared" si="186"/>
        <v>0</v>
      </c>
    </row>
    <row r="147" spans="1:32" ht="15" customHeight="1" x14ac:dyDescent="0.3">
      <c r="A147" s="1255">
        <v>81</v>
      </c>
      <c r="B147" s="1185">
        <f>IF($A147&gt;0,VLOOKUP($A147,EventsOrder,2,FALSE)," ")</f>
        <v>4.4000000000000004</v>
      </c>
      <c r="C147" s="1186" t="str">
        <f>IF($A147&gt;0,VLOOKUP($A147,EventsOrder,6,FALSE)," ")</f>
        <v xml:space="preserve">4 x 100m  </v>
      </c>
      <c r="D147" s="1186" t="str">
        <f>IF($A147&gt;0,VLOOKUP($A147,EventsOrder,4,FALSE)," ")</f>
        <v>U12 Female</v>
      </c>
      <c r="E147" s="1187" t="str">
        <f t="shared" ref="E147:L162" si="187">IF(M147=0,"",VLOOKUP(M147,LaneDraw,5,FALSE))</f>
        <v>S - BRAT</v>
      </c>
      <c r="F147" s="1187" t="str">
        <f t="shared" si="187"/>
        <v>G - Royal</v>
      </c>
      <c r="G147" s="1187" t="str">
        <f t="shared" si="187"/>
        <v>U - K&amp;S</v>
      </c>
      <c r="H147" s="1187" t="str">
        <f t="shared" si="187"/>
        <v>M - Sol</v>
      </c>
      <c r="I147" s="1187" t="str">
        <f t="shared" si="187"/>
        <v>F - Tam</v>
      </c>
      <c r="J147" s="1187" t="str">
        <f t="shared" si="187"/>
        <v>R - Rugby</v>
      </c>
      <c r="K147" s="1187" t="str">
        <f t="shared" si="187"/>
        <v>Y - Worc</v>
      </c>
      <c r="L147" s="1187" t="str">
        <f t="shared" si="187"/>
        <v>D - Strat</v>
      </c>
      <c r="M147" s="1188">
        <f>$I$14</f>
        <v>1</v>
      </c>
      <c r="N147" s="1188">
        <f>$E$14</f>
        <v>3</v>
      </c>
      <c r="O147" s="1188">
        <f>$H$14</f>
        <v>2</v>
      </c>
      <c r="P147" s="1188">
        <f>$F$14</f>
        <v>5</v>
      </c>
      <c r="Q147" s="1188">
        <f>$K$14</f>
        <v>7</v>
      </c>
      <c r="R147" s="1188">
        <f>$G$14</f>
        <v>4</v>
      </c>
      <c r="S147" s="1188">
        <f>$L$14</f>
        <v>8</v>
      </c>
      <c r="T147" s="1188">
        <f>$J$14</f>
        <v>6</v>
      </c>
      <c r="U147" s="1188">
        <f>SUM(M147:T147)</f>
        <v>36</v>
      </c>
      <c r="W147" s="32">
        <v>131</v>
      </c>
    </row>
    <row r="148" spans="1:32" ht="15" customHeight="1" x14ac:dyDescent="0.3">
      <c r="A148" s="1189">
        <v>2</v>
      </c>
      <c r="B148" s="1199">
        <v>1</v>
      </c>
      <c r="C148" s="1200"/>
      <c r="D148" s="1200"/>
      <c r="E148" s="1201" t="str">
        <f t="shared" ref="E148:L151" si="188">IF(LEFT(E$147,1)="0"," ",HLOOKUP(E$147,Relays,$A148,FALSE))</f>
        <v xml:space="preserve">Adrian Ward </v>
      </c>
      <c r="F148" s="1201" t="str">
        <f t="shared" si="188"/>
        <v>Daniel wood</v>
      </c>
      <c r="G148" s="1201">
        <f t="shared" si="188"/>
        <v>0</v>
      </c>
      <c r="H148" s="1201" t="str">
        <f t="shared" si="188"/>
        <v>Sam Roberts</v>
      </c>
      <c r="I148" s="1201" t="str">
        <f t="shared" si="188"/>
        <v>Oliver Eaton</v>
      </c>
      <c r="J148" s="1201" t="str">
        <f t="shared" si="188"/>
        <v>Chiemerie Okwara</v>
      </c>
      <c r="K148" s="1201" t="str">
        <f t="shared" si="188"/>
        <v>Thomas Jenkinson</v>
      </c>
      <c r="L148" s="1201" t="str">
        <f t="shared" si="188"/>
        <v>Henry Cotton</v>
      </c>
      <c r="M148" s="1188"/>
      <c r="N148" s="1188"/>
      <c r="O148" s="1188"/>
      <c r="P148" s="1188"/>
      <c r="Q148" s="1188"/>
      <c r="R148" s="1188"/>
      <c r="S148" s="1188"/>
      <c r="T148" s="1188"/>
      <c r="U148" s="1188"/>
      <c r="W148" s="32"/>
    </row>
    <row r="149" spans="1:32" ht="15" customHeight="1" x14ac:dyDescent="0.3">
      <c r="A149" s="1189">
        <v>3</v>
      </c>
      <c r="B149" s="1199">
        <v>2</v>
      </c>
      <c r="C149" s="1200"/>
      <c r="D149" s="1200"/>
      <c r="E149" s="1201" t="str">
        <f t="shared" si="188"/>
        <v xml:space="preserve">Leo Parekh </v>
      </c>
      <c r="F149" s="1201" t="str">
        <f t="shared" si="188"/>
        <v>Khari Caines</v>
      </c>
      <c r="G149" s="1201">
        <f t="shared" si="188"/>
        <v>0</v>
      </c>
      <c r="H149" s="1201" t="str">
        <f t="shared" si="188"/>
        <v>Troy Hall</v>
      </c>
      <c r="I149" s="1201" t="str">
        <f t="shared" si="188"/>
        <v>Evan Darby</v>
      </c>
      <c r="J149" s="1201" t="str">
        <f t="shared" si="188"/>
        <v>Feranmi Remi-Omosowon</v>
      </c>
      <c r="K149" s="1201" t="str">
        <f t="shared" si="188"/>
        <v>Felix Whakahau</v>
      </c>
      <c r="L149" s="1201" t="str">
        <f t="shared" si="188"/>
        <v>Rafe White</v>
      </c>
      <c r="M149" s="1188"/>
      <c r="N149" s="1188"/>
      <c r="O149" s="1188"/>
      <c r="P149" s="1188"/>
      <c r="Q149" s="1188"/>
      <c r="R149" s="1188"/>
      <c r="S149" s="1188"/>
      <c r="T149" s="1188"/>
      <c r="U149" s="1188"/>
      <c r="W149" s="32"/>
    </row>
    <row r="150" spans="1:32" ht="15" customHeight="1" x14ac:dyDescent="0.3">
      <c r="A150" s="1189">
        <v>4</v>
      </c>
      <c r="B150" s="1199">
        <v>3</v>
      </c>
      <c r="C150" s="1200"/>
      <c r="D150" s="1200"/>
      <c r="E150" s="1201" t="str">
        <f t="shared" si="188"/>
        <v>Zachary Asanga</v>
      </c>
      <c r="F150" s="1201" t="str">
        <f t="shared" si="188"/>
        <v xml:space="preserve">Woody Forrester </v>
      </c>
      <c r="G150" s="1201">
        <f t="shared" si="188"/>
        <v>0</v>
      </c>
      <c r="H150" s="1201" t="str">
        <f t="shared" si="188"/>
        <v>Edison Hughes</v>
      </c>
      <c r="I150" s="1201" t="str">
        <f t="shared" si="188"/>
        <v>Theodore Gill</v>
      </c>
      <c r="J150" s="1201" t="str">
        <f t="shared" si="188"/>
        <v>Joshua Jardine</v>
      </c>
      <c r="K150" s="1201" t="str">
        <f t="shared" si="188"/>
        <v>Elliot Oldham</v>
      </c>
      <c r="L150" s="1201" t="str">
        <f t="shared" si="188"/>
        <v>Jasper Allen</v>
      </c>
      <c r="M150" s="1188"/>
      <c r="N150" s="1188"/>
      <c r="O150" s="1188"/>
      <c r="P150" s="1188"/>
      <c r="Q150" s="1188"/>
      <c r="R150" s="1188"/>
      <c r="S150" s="1188"/>
      <c r="T150" s="1188"/>
      <c r="U150" s="1188"/>
      <c r="W150" s="32"/>
    </row>
    <row r="151" spans="1:32" ht="15" customHeight="1" x14ac:dyDescent="0.3">
      <c r="A151" s="1189">
        <v>5</v>
      </c>
      <c r="B151" s="1199">
        <v>4</v>
      </c>
      <c r="C151" s="1191"/>
      <c r="D151" s="1192"/>
      <c r="E151" s="1201" t="str">
        <f t="shared" si="188"/>
        <v xml:space="preserve">Oliver brooks </v>
      </c>
      <c r="F151" s="1201" t="str">
        <f t="shared" si="188"/>
        <v>Cyrus Thomas</v>
      </c>
      <c r="G151" s="1201">
        <f t="shared" si="188"/>
        <v>0</v>
      </c>
      <c r="H151" s="1201" t="str">
        <f t="shared" si="188"/>
        <v>Kai Gudmunsen</v>
      </c>
      <c r="I151" s="1201" t="str">
        <f t="shared" si="188"/>
        <v>Lucas Beggs</v>
      </c>
      <c r="J151" s="1201" t="str">
        <f t="shared" si="188"/>
        <v>Dallas Burrrows Pitt</v>
      </c>
      <c r="K151" s="1201" t="str">
        <f t="shared" si="188"/>
        <v>Lloyd Kerry</v>
      </c>
      <c r="L151" s="1201" t="str">
        <f t="shared" si="188"/>
        <v>Simon Zawada</v>
      </c>
      <c r="M151" s="1188"/>
      <c r="N151" s="1188"/>
      <c r="O151" s="1188"/>
      <c r="P151" s="1188"/>
      <c r="Q151" s="1188"/>
      <c r="R151" s="1188"/>
      <c r="S151" s="1188"/>
      <c r="T151" s="1188"/>
      <c r="U151" s="1188"/>
      <c r="W151" s="32">
        <v>132</v>
      </c>
      <c r="X151" s="1194" t="str">
        <f>MID(D147,5,1)</f>
        <v>F</v>
      </c>
      <c r="Y151" s="419" t="str">
        <f t="shared" ref="Y151:AF151" si="189">VLOOKUP($A147,IF($X151="F",TeamSheetFemale,TeamSheetMale),Y$19,FALSE)</f>
        <v>BRAT</v>
      </c>
      <c r="Z151" s="419" t="str">
        <f t="shared" si="189"/>
        <v>Kidder &amp; Stourport</v>
      </c>
      <c r="AA151" s="419" t="str">
        <f t="shared" si="189"/>
        <v>Royal Sutton</v>
      </c>
      <c r="AB151" s="419" t="str">
        <f t="shared" si="189"/>
        <v>Rugby &amp; N'hampton</v>
      </c>
      <c r="AC151" s="419" t="str">
        <f t="shared" si="189"/>
        <v>Solihull &amp; S.Heath</v>
      </c>
      <c r="AD151" s="419" t="str">
        <f t="shared" si="189"/>
        <v>Stratford</v>
      </c>
      <c r="AE151" s="419" t="str">
        <f t="shared" si="189"/>
        <v>Tamworth</v>
      </c>
      <c r="AF151" s="419" t="str">
        <f t="shared" si="189"/>
        <v>Worcester</v>
      </c>
    </row>
    <row r="152" spans="1:32" ht="15" customHeight="1" x14ac:dyDescent="0.3">
      <c r="A152" s="1255">
        <v>80</v>
      </c>
      <c r="B152" s="1185">
        <f>IF($A152&gt;0,VLOOKUP($A152,EventsOrder,2,FALSE)," ")</f>
        <v>4.45</v>
      </c>
      <c r="C152" s="1186" t="str">
        <f>IF($A152&gt;0,VLOOKUP($A152,EventsOrder,6,FALSE)," ")</f>
        <v xml:space="preserve">4 x 100m  </v>
      </c>
      <c r="D152" s="1186" t="str">
        <f>IF($A152&gt;0,VLOOKUP($A152,EventsOrder,4,FALSE)," ")</f>
        <v>U12 Male</v>
      </c>
      <c r="E152" s="1187" t="str">
        <f t="shared" si="187"/>
        <v>F - Tam</v>
      </c>
      <c r="F152" s="1187" t="str">
        <f t="shared" si="187"/>
        <v>U - K&amp;S</v>
      </c>
      <c r="G152" s="1187" t="str">
        <f t="shared" si="187"/>
        <v>R - Rugby</v>
      </c>
      <c r="H152" s="1187" t="str">
        <f t="shared" si="187"/>
        <v>D - Strat</v>
      </c>
      <c r="I152" s="1187" t="str">
        <f t="shared" si="187"/>
        <v>S - BRAT</v>
      </c>
      <c r="J152" s="1187" t="str">
        <f t="shared" si="187"/>
        <v>Y - Worc</v>
      </c>
      <c r="K152" s="1187" t="str">
        <f t="shared" si="187"/>
        <v>M - Sol</v>
      </c>
      <c r="L152" s="1187" t="str">
        <f t="shared" si="187"/>
        <v>G - Royal</v>
      </c>
      <c r="M152" s="1188">
        <f>$K$14</f>
        <v>7</v>
      </c>
      <c r="N152" s="1188">
        <f>$H$14</f>
        <v>2</v>
      </c>
      <c r="O152" s="1188">
        <f>$G$14</f>
        <v>4</v>
      </c>
      <c r="P152" s="1188">
        <f>$J$14</f>
        <v>6</v>
      </c>
      <c r="Q152" s="1188">
        <f>$I$14</f>
        <v>1</v>
      </c>
      <c r="R152" s="1188">
        <f>$L$14</f>
        <v>8</v>
      </c>
      <c r="S152" s="1188">
        <f>$F$14</f>
        <v>5</v>
      </c>
      <c r="T152" s="1188">
        <f>$E$14</f>
        <v>3</v>
      </c>
      <c r="U152" s="1188">
        <f>SUM(M152:T152)</f>
        <v>36</v>
      </c>
      <c r="W152" s="32">
        <v>133</v>
      </c>
    </row>
    <row r="153" spans="1:32" ht="15" customHeight="1" x14ac:dyDescent="0.3">
      <c r="A153" s="1189">
        <v>7</v>
      </c>
      <c r="B153" s="1199">
        <v>1</v>
      </c>
      <c r="C153" s="1200"/>
      <c r="D153" s="1200"/>
      <c r="E153" s="1201" t="str">
        <f t="shared" ref="E153:L156" si="190">IF(LEFT(E$152,1)="0"," ",HLOOKUP(E$152,Relays,$A153,FALSE))</f>
        <v>Izzy Jaques</v>
      </c>
      <c r="F153" s="1201" t="str">
        <f t="shared" si="190"/>
        <v xml:space="preserve">Isabelle Evans </v>
      </c>
      <c r="G153" s="1201" t="str">
        <f t="shared" si="190"/>
        <v>Ava Lawrence</v>
      </c>
      <c r="H153" s="1201" t="str">
        <f t="shared" si="190"/>
        <v>Megan White</v>
      </c>
      <c r="I153" s="1201" t="str">
        <f t="shared" si="190"/>
        <v>Beatrice-Rosie Follows</v>
      </c>
      <c r="J153" s="1201" t="str">
        <f t="shared" si="190"/>
        <v>Bethany Gromski</v>
      </c>
      <c r="K153" s="1201" t="str">
        <f t="shared" si="190"/>
        <v>Jessica Blundell</v>
      </c>
      <c r="L153" s="1201" t="str">
        <f t="shared" si="190"/>
        <v xml:space="preserve">Taylor Upton </v>
      </c>
      <c r="M153" s="1188"/>
      <c r="N153" s="1188"/>
      <c r="O153" s="1188"/>
      <c r="P153" s="1188"/>
      <c r="Q153" s="1188"/>
      <c r="R153" s="1188"/>
      <c r="S153" s="1188"/>
      <c r="T153" s="1188"/>
      <c r="U153" s="1188"/>
      <c r="W153" s="32"/>
    </row>
    <row r="154" spans="1:32" ht="15" customHeight="1" x14ac:dyDescent="0.3">
      <c r="A154" s="1189">
        <v>8</v>
      </c>
      <c r="B154" s="1199">
        <v>2</v>
      </c>
      <c r="C154" s="1200"/>
      <c r="D154" s="1200"/>
      <c r="E154" s="1201" t="str">
        <f t="shared" si="190"/>
        <v>Eden Farmer</v>
      </c>
      <c r="F154" s="1201" t="str">
        <f t="shared" si="190"/>
        <v xml:space="preserve">Amelija Mendelyte </v>
      </c>
      <c r="G154" s="1201" t="str">
        <f t="shared" si="190"/>
        <v>Sophie Lawrence</v>
      </c>
      <c r="H154" s="1201" t="str">
        <f t="shared" si="190"/>
        <v>Saskia Atkins</v>
      </c>
      <c r="I154" s="1201" t="str">
        <f t="shared" si="190"/>
        <v>Azucena Cereceda</v>
      </c>
      <c r="J154" s="1201" t="str">
        <f t="shared" si="190"/>
        <v>Ella Dyer</v>
      </c>
      <c r="K154" s="1201" t="str">
        <f t="shared" si="190"/>
        <v>Elizabeth Fowler</v>
      </c>
      <c r="L154" s="1201" t="str">
        <f t="shared" si="190"/>
        <v xml:space="preserve">Isabelle wakeman </v>
      </c>
      <c r="M154" s="1188"/>
      <c r="N154" s="1188"/>
      <c r="O154" s="1188"/>
      <c r="P154" s="1188"/>
      <c r="Q154" s="1188"/>
      <c r="R154" s="1188"/>
      <c r="S154" s="1188"/>
      <c r="T154" s="1188"/>
      <c r="U154" s="1188"/>
      <c r="W154" s="32"/>
    </row>
    <row r="155" spans="1:32" ht="15" customHeight="1" x14ac:dyDescent="0.3">
      <c r="A155" s="1189">
        <v>9</v>
      </c>
      <c r="B155" s="1199">
        <v>3</v>
      </c>
      <c r="C155" s="1200"/>
      <c r="D155" s="1200"/>
      <c r="E155" s="1201" t="str">
        <f t="shared" si="190"/>
        <v>Clara Knight-Dutton</v>
      </c>
      <c r="F155" s="1201" t="str">
        <f t="shared" si="190"/>
        <v xml:space="preserve">Polly Richards </v>
      </c>
      <c r="G155" s="1201" t="str">
        <f t="shared" si="190"/>
        <v>Saffron Davies</v>
      </c>
      <c r="H155" s="1201" t="str">
        <f t="shared" si="190"/>
        <v>Florence Castle</v>
      </c>
      <c r="I155" s="1201" t="str">
        <f t="shared" si="190"/>
        <v>Khushi Chanal</v>
      </c>
      <c r="J155" s="1201" t="str">
        <f t="shared" si="190"/>
        <v>Megan Mabey</v>
      </c>
      <c r="K155" s="1201" t="str">
        <f t="shared" si="190"/>
        <v>Molly Dale</v>
      </c>
      <c r="L155" s="1201" t="str">
        <f t="shared" si="190"/>
        <v xml:space="preserve">Indie Upton </v>
      </c>
      <c r="M155" s="1188"/>
      <c r="N155" s="1188"/>
      <c r="O155" s="1188"/>
      <c r="P155" s="1188"/>
      <c r="Q155" s="1188"/>
      <c r="R155" s="1188"/>
      <c r="S155" s="1188"/>
      <c r="T155" s="1188"/>
      <c r="U155" s="1188"/>
      <c r="W155" s="32"/>
    </row>
    <row r="156" spans="1:32" ht="15" customHeight="1" x14ac:dyDescent="0.3">
      <c r="A156" s="1189">
        <v>10</v>
      </c>
      <c r="B156" s="1199">
        <v>4</v>
      </c>
      <c r="C156" s="1191"/>
      <c r="D156" s="1192"/>
      <c r="E156" s="1201" t="str">
        <f t="shared" si="190"/>
        <v>Anabel Amankwah</v>
      </c>
      <c r="F156" s="1201" t="str">
        <f t="shared" si="190"/>
        <v xml:space="preserve">Alice Thompson </v>
      </c>
      <c r="G156" s="1201" t="str">
        <f t="shared" si="190"/>
        <v>Tavayah Lennox</v>
      </c>
      <c r="H156" s="1201" t="str">
        <f t="shared" si="190"/>
        <v>Elsie Gould</v>
      </c>
      <c r="I156" s="1201" t="str">
        <f t="shared" si="190"/>
        <v>Beatrix Thompson</v>
      </c>
      <c r="J156" s="1201" t="str">
        <f t="shared" si="190"/>
        <v>Annabelle Hadland</v>
      </c>
      <c r="K156" s="1201" t="str">
        <f t="shared" si="190"/>
        <v>Seren Dhami</v>
      </c>
      <c r="L156" s="1201" t="str">
        <f t="shared" si="190"/>
        <v xml:space="preserve">Lila Wilmore </v>
      </c>
      <c r="M156" s="1188"/>
      <c r="N156" s="1188"/>
      <c r="O156" s="1188"/>
      <c r="P156" s="1188"/>
      <c r="Q156" s="1188"/>
      <c r="R156" s="1188"/>
      <c r="S156" s="1188"/>
      <c r="T156" s="1188"/>
      <c r="U156" s="1188"/>
      <c r="W156" s="32">
        <v>134</v>
      </c>
      <c r="X156" s="1194" t="str">
        <f>MID(D152,5,1)</f>
        <v>M</v>
      </c>
      <c r="Y156" s="419" t="str">
        <f t="shared" ref="Y156:AF156" si="191">VLOOKUP($A152,IF($X156="F",TeamSheetFemale,TeamSheetMale),Y$19,FALSE)</f>
        <v>BRAT</v>
      </c>
      <c r="Z156" s="419" t="str">
        <f t="shared" si="191"/>
        <v>Kidder &amp; Stourport</v>
      </c>
      <c r="AA156" s="419" t="str">
        <f t="shared" si="191"/>
        <v>Royal Sutton</v>
      </c>
      <c r="AB156" s="419" t="str">
        <f t="shared" si="191"/>
        <v>Rugby &amp; N'hampton</v>
      </c>
      <c r="AC156" s="419" t="str">
        <f t="shared" si="191"/>
        <v>Solihull &amp; S.Heath</v>
      </c>
      <c r="AD156" s="419" t="str">
        <f t="shared" si="191"/>
        <v>Stratford</v>
      </c>
      <c r="AE156" s="419" t="str">
        <f t="shared" si="191"/>
        <v>Tamworth</v>
      </c>
      <c r="AF156" s="419" t="str">
        <f t="shared" si="191"/>
        <v>Worcester</v>
      </c>
    </row>
    <row r="157" spans="1:32" ht="15" customHeight="1" x14ac:dyDescent="0.3">
      <c r="A157" s="1255">
        <v>83</v>
      </c>
      <c r="B157" s="1185">
        <f>IF($A157&gt;0,VLOOKUP($A157,EventsOrder,2,FALSE)," ")</f>
        <v>4.55</v>
      </c>
      <c r="C157" s="1186" t="str">
        <f>IF($A157&gt;0,VLOOKUP($A157,EventsOrder,6,FALSE)," ")</f>
        <v xml:space="preserve">4 x 100m </v>
      </c>
      <c r="D157" s="1186" t="str">
        <f>IF($A157&gt;0,VLOOKUP($A157,EventsOrder,4,FALSE)," ")</f>
        <v>U16 Female</v>
      </c>
      <c r="E157" s="1187" t="str">
        <f t="shared" si="187"/>
        <v>Y - Worc</v>
      </c>
      <c r="F157" s="1187" t="str">
        <f t="shared" si="187"/>
        <v>M - Sol</v>
      </c>
      <c r="G157" s="1187" t="str">
        <f t="shared" si="187"/>
        <v>U - K&amp;S</v>
      </c>
      <c r="H157" s="1187" t="str">
        <f t="shared" si="187"/>
        <v>S - BRAT</v>
      </c>
      <c r="I157" s="1187" t="str">
        <f t="shared" si="187"/>
        <v>F - Tam</v>
      </c>
      <c r="J157" s="1187" t="str">
        <f t="shared" si="187"/>
        <v>R - Rugby</v>
      </c>
      <c r="K157" s="1187" t="str">
        <f t="shared" si="187"/>
        <v>G - Royal</v>
      </c>
      <c r="L157" s="1187" t="str">
        <f t="shared" si="187"/>
        <v>D - Strat</v>
      </c>
      <c r="M157" s="1188">
        <f>$L$14</f>
        <v>8</v>
      </c>
      <c r="N157" s="1188">
        <f>$F$14</f>
        <v>5</v>
      </c>
      <c r="O157" s="1188">
        <f>$H$14</f>
        <v>2</v>
      </c>
      <c r="P157" s="1188">
        <f>$I$14</f>
        <v>1</v>
      </c>
      <c r="Q157" s="1188">
        <f>$K$14</f>
        <v>7</v>
      </c>
      <c r="R157" s="1188">
        <f>$G$14</f>
        <v>4</v>
      </c>
      <c r="S157" s="1188">
        <f>$E$14</f>
        <v>3</v>
      </c>
      <c r="T157" s="1188">
        <f>$J$14</f>
        <v>6</v>
      </c>
      <c r="U157" s="1188">
        <f>SUM(M157:T157)</f>
        <v>36</v>
      </c>
      <c r="W157" s="32">
        <v>135</v>
      </c>
    </row>
    <row r="158" spans="1:32" ht="15" customHeight="1" x14ac:dyDescent="0.3">
      <c r="A158" s="1189">
        <v>12</v>
      </c>
      <c r="B158" s="1199">
        <v>1</v>
      </c>
      <c r="C158" s="1200"/>
      <c r="D158" s="1200"/>
      <c r="E158" s="1201" t="str">
        <f t="shared" ref="E158:L161" si="192">IF(LEFT(E$157,1)="0"," ",HLOOKUP(E$157,Relays,$A158,FALSE))</f>
        <v>Gracie Hodgkins</v>
      </c>
      <c r="F158" s="1201" t="str">
        <f t="shared" si="192"/>
        <v>Ava Blundell</v>
      </c>
      <c r="G158" s="1201" t="str">
        <f t="shared" si="192"/>
        <v>Matilda Kiernan</v>
      </c>
      <c r="H158" s="1201" t="str">
        <f t="shared" si="192"/>
        <v>Darcy mcdaid</v>
      </c>
      <c r="I158" s="1201" t="str">
        <f t="shared" si="192"/>
        <v>Evie Smith</v>
      </c>
      <c r="J158" s="1201" t="str">
        <f t="shared" si="192"/>
        <v>Matilda Famuyiwa</v>
      </c>
      <c r="K158" s="1201" t="str">
        <f t="shared" si="192"/>
        <v>Annabelle Ani</v>
      </c>
      <c r="L158" s="1201" t="str">
        <f t="shared" si="192"/>
        <v>Elsie Pipitone</v>
      </c>
      <c r="M158" s="1188"/>
      <c r="N158" s="1188"/>
      <c r="O158" s="1188"/>
      <c r="P158" s="1188"/>
      <c r="Q158" s="1188"/>
      <c r="R158" s="1188"/>
      <c r="S158" s="1188"/>
      <c r="T158" s="1188"/>
      <c r="U158" s="1188"/>
      <c r="W158" s="32"/>
    </row>
    <row r="159" spans="1:32" ht="15" customHeight="1" x14ac:dyDescent="0.3">
      <c r="A159" s="1189">
        <v>13</v>
      </c>
      <c r="B159" s="1199">
        <v>2</v>
      </c>
      <c r="C159" s="1200"/>
      <c r="D159" s="1200"/>
      <c r="E159" s="1201" t="str">
        <f t="shared" si="192"/>
        <v>Elsie Thornton</v>
      </c>
      <c r="F159" s="1201" t="str">
        <f t="shared" si="192"/>
        <v>Ava Collett</v>
      </c>
      <c r="G159" s="1201" t="str">
        <f t="shared" si="192"/>
        <v>Lila Warwick</v>
      </c>
      <c r="H159" s="1201" t="str">
        <f t="shared" si="192"/>
        <v>Agnes thomson</v>
      </c>
      <c r="I159" s="1201" t="str">
        <f t="shared" si="192"/>
        <v>Alice Smith</v>
      </c>
      <c r="J159" s="1201" t="str">
        <f t="shared" si="192"/>
        <v>Taya Young</v>
      </c>
      <c r="K159" s="1201" t="str">
        <f t="shared" si="192"/>
        <v>Abigail Dilworth</v>
      </c>
      <c r="L159" s="1201" t="str">
        <f t="shared" si="192"/>
        <v>Lara Ryan-Gill</v>
      </c>
      <c r="M159" s="1188"/>
      <c r="N159" s="1188"/>
      <c r="O159" s="1188"/>
      <c r="P159" s="1188"/>
      <c r="Q159" s="1188"/>
      <c r="R159" s="1188"/>
      <c r="S159" s="1188"/>
      <c r="T159" s="1188"/>
      <c r="U159" s="1188"/>
      <c r="W159" s="32"/>
    </row>
    <row r="160" spans="1:32" ht="15" customHeight="1" x14ac:dyDescent="0.3">
      <c r="A160" s="1189">
        <v>14</v>
      </c>
      <c r="B160" s="1199">
        <v>3</v>
      </c>
      <c r="C160" s="1200"/>
      <c r="D160" s="1200"/>
      <c r="E160" s="1201" t="str">
        <f t="shared" si="192"/>
        <v>Esme Dyer</v>
      </c>
      <c r="F160" s="1201" t="str">
        <f t="shared" si="192"/>
        <v>Phoebe Ricketts</v>
      </c>
      <c r="G160" s="1201" t="str">
        <f t="shared" si="192"/>
        <v>Isabelle McCann</v>
      </c>
      <c r="H160" s="1201" t="str">
        <f t="shared" si="192"/>
        <v>Rose Ricardo</v>
      </c>
      <c r="I160" s="1201" t="str">
        <f t="shared" si="192"/>
        <v>Marlei Bignot</v>
      </c>
      <c r="J160" s="1201" t="str">
        <f t="shared" si="192"/>
        <v>Amber Butler</v>
      </c>
      <c r="K160" s="1201" t="str">
        <f t="shared" si="192"/>
        <v>Annabelle Pattinson</v>
      </c>
      <c r="L160" s="1201" t="str">
        <f t="shared" si="192"/>
        <v>Martha Edwards</v>
      </c>
      <c r="M160" s="1188"/>
      <c r="N160" s="1188"/>
      <c r="O160" s="1188"/>
      <c r="P160" s="1188"/>
      <c r="Q160" s="1188"/>
      <c r="R160" s="1188"/>
      <c r="S160" s="1188"/>
      <c r="T160" s="1188"/>
      <c r="U160" s="1188"/>
      <c r="W160" s="32"/>
    </row>
    <row r="161" spans="1:32" ht="15" customHeight="1" x14ac:dyDescent="0.3">
      <c r="A161" s="1189">
        <v>15</v>
      </c>
      <c r="B161" s="1199">
        <v>4</v>
      </c>
      <c r="C161" s="1191"/>
      <c r="D161" s="1192"/>
      <c r="E161" s="1201" t="str">
        <f t="shared" si="192"/>
        <v>Rosie Groves</v>
      </c>
      <c r="F161" s="1201" t="str">
        <f t="shared" si="192"/>
        <v>Abby Ruggles</v>
      </c>
      <c r="G161" s="1201" t="str">
        <f t="shared" si="192"/>
        <v>Pippa Richards</v>
      </c>
      <c r="H161" s="1201" t="str">
        <f t="shared" si="192"/>
        <v>Savannah wedderburn</v>
      </c>
      <c r="I161" s="1201" t="str">
        <f t="shared" si="192"/>
        <v>Freya Draycott</v>
      </c>
      <c r="J161" s="1201" t="str">
        <f t="shared" si="192"/>
        <v>Reese Ridgway</v>
      </c>
      <c r="K161" s="1201" t="str">
        <f t="shared" si="192"/>
        <v>Mabel Edgerton</v>
      </c>
      <c r="L161" s="1201" t="str">
        <f t="shared" si="192"/>
        <v>Evangeline Harris</v>
      </c>
      <c r="M161" s="1188"/>
      <c r="N161" s="1188"/>
      <c r="O161" s="1188"/>
      <c r="P161" s="1188"/>
      <c r="Q161" s="1188"/>
      <c r="R161" s="1188"/>
      <c r="S161" s="1188"/>
      <c r="T161" s="1188"/>
      <c r="U161" s="1188"/>
      <c r="W161" s="32">
        <v>136</v>
      </c>
      <c r="X161" s="1194" t="str">
        <f>MID(D157,5,1)</f>
        <v>F</v>
      </c>
      <c r="Y161" s="419" t="str">
        <f t="shared" ref="Y161:AF161" si="193">VLOOKUP($A157,IF($X161="F",TeamSheetFemale,TeamSheetMale),Y$19,FALSE)</f>
        <v>BRAT</v>
      </c>
      <c r="Z161" s="419" t="str">
        <f t="shared" si="193"/>
        <v>Kidder &amp; Stourport</v>
      </c>
      <c r="AA161" s="419" t="str">
        <f t="shared" si="193"/>
        <v>Royal Sutton</v>
      </c>
      <c r="AB161" s="419" t="str">
        <f t="shared" si="193"/>
        <v>Rugby &amp; N'hampton</v>
      </c>
      <c r="AC161" s="419" t="str">
        <f t="shared" si="193"/>
        <v>Solihull &amp; S.Heath</v>
      </c>
      <c r="AD161" s="419" t="str">
        <f t="shared" si="193"/>
        <v>Stratford</v>
      </c>
      <c r="AE161" s="419" t="str">
        <f t="shared" si="193"/>
        <v>Tamworth</v>
      </c>
      <c r="AF161" s="419" t="str">
        <f t="shared" si="193"/>
        <v>Worcester</v>
      </c>
    </row>
    <row r="162" spans="1:32" ht="15" customHeight="1" x14ac:dyDescent="0.3">
      <c r="A162" s="1255">
        <v>84</v>
      </c>
      <c r="B162" s="1185">
        <f>IF($A162&gt;0,VLOOKUP($A162,EventsOrder,2,FALSE)," ")</f>
        <v>5</v>
      </c>
      <c r="C162" s="1186" t="str">
        <f>IF($A162&gt;0,VLOOKUP($A162,EventsOrder,6,FALSE)," ")</f>
        <v xml:space="preserve">4 x 100m (U18/U20) </v>
      </c>
      <c r="D162" s="1186" t="str">
        <f>IF($A162&gt;0,VLOOKUP($A162,EventsOrder,4,FALSE)," ")</f>
        <v>U18 Female</v>
      </c>
      <c r="E162" s="1187" t="str">
        <f t="shared" si="187"/>
        <v>R - Rugby</v>
      </c>
      <c r="F162" s="1187" t="str">
        <f t="shared" si="187"/>
        <v>S - BRAT</v>
      </c>
      <c r="G162" s="1187" t="str">
        <f t="shared" si="187"/>
        <v>U - K&amp;S</v>
      </c>
      <c r="H162" s="1187" t="str">
        <f t="shared" si="187"/>
        <v>D - Strat</v>
      </c>
      <c r="I162" s="1187" t="str">
        <f t="shared" si="187"/>
        <v>M - Sol</v>
      </c>
      <c r="J162" s="1187" t="str">
        <f t="shared" si="187"/>
        <v>F - Tam</v>
      </c>
      <c r="K162" s="1187" t="str">
        <f t="shared" si="187"/>
        <v>Y - Worc</v>
      </c>
      <c r="L162" s="1187" t="str">
        <f t="shared" si="187"/>
        <v>G - Royal</v>
      </c>
      <c r="M162" s="1188">
        <f>$G$14</f>
        <v>4</v>
      </c>
      <c r="N162" s="1188">
        <f>$I$14</f>
        <v>1</v>
      </c>
      <c r="O162" s="1188">
        <f>$H$14</f>
        <v>2</v>
      </c>
      <c r="P162" s="1188">
        <f>$J$14</f>
        <v>6</v>
      </c>
      <c r="Q162" s="1188">
        <f>$F$14</f>
        <v>5</v>
      </c>
      <c r="R162" s="1188">
        <f>$K$14</f>
        <v>7</v>
      </c>
      <c r="S162" s="1188">
        <f>$L$14</f>
        <v>8</v>
      </c>
      <c r="T162" s="1188">
        <f>$E$14</f>
        <v>3</v>
      </c>
      <c r="U162" s="1188">
        <f>SUM(M162:T162)</f>
        <v>36</v>
      </c>
      <c r="W162" s="32">
        <v>137</v>
      </c>
    </row>
    <row r="163" spans="1:32" ht="15" customHeight="1" x14ac:dyDescent="0.3">
      <c r="A163" s="1189">
        <v>17</v>
      </c>
      <c r="B163" s="1199">
        <v>1</v>
      </c>
      <c r="C163" s="1200"/>
      <c r="D163" s="1200"/>
      <c r="E163" s="1201" t="str">
        <f t="shared" ref="E163:L166" si="194">IF(LEFT(E$162,1)="0"," ",HLOOKUP(E$162,Relays,$A163,FALSE))</f>
        <v>Millie-anna Snell</v>
      </c>
      <c r="F163" s="1201" t="str">
        <f t="shared" si="194"/>
        <v>Alisia Scarlett-Thomas</v>
      </c>
      <c r="G163" s="1201" t="str">
        <f t="shared" si="194"/>
        <v>Nicole Bevan</v>
      </c>
      <c r="H163" s="1201" t="str">
        <f t="shared" si="194"/>
        <v xml:space="preserve">Niamh Williams </v>
      </c>
      <c r="I163" s="1201" t="str">
        <f t="shared" si="194"/>
        <v>Ada Masson</v>
      </c>
      <c r="J163" s="1201" t="str">
        <f t="shared" si="194"/>
        <v>Tiarna Walls</v>
      </c>
      <c r="K163" s="1201" t="str">
        <f t="shared" si="194"/>
        <v>Harriett Carey</v>
      </c>
      <c r="L163" s="1201" t="str">
        <f t="shared" si="194"/>
        <v>Anisia Barton</v>
      </c>
      <c r="M163" s="1188"/>
      <c r="N163" s="1188"/>
      <c r="O163" s="1188"/>
      <c r="P163" s="1188"/>
      <c r="Q163" s="1188"/>
      <c r="R163" s="1188"/>
      <c r="S163" s="1188"/>
      <c r="T163" s="1188"/>
      <c r="U163" s="1188"/>
      <c r="W163" s="32"/>
    </row>
    <row r="164" spans="1:32" ht="15" customHeight="1" x14ac:dyDescent="0.3">
      <c r="A164" s="1189">
        <v>18</v>
      </c>
      <c r="B164" s="1199">
        <v>2</v>
      </c>
      <c r="C164" s="1200"/>
      <c r="D164" s="1200"/>
      <c r="E164" s="1201" t="str">
        <f t="shared" si="194"/>
        <v>Phoebe Clark</v>
      </c>
      <c r="F164" s="1201" t="str">
        <f t="shared" si="194"/>
        <v>Tamera Campbell</v>
      </c>
      <c r="G164" s="1201" t="str">
        <f t="shared" si="194"/>
        <v>Sophia Llewellyn</v>
      </c>
      <c r="H164" s="1201" t="str">
        <f t="shared" si="194"/>
        <v>Lottie Willis</v>
      </c>
      <c r="I164" s="1201" t="str">
        <f t="shared" si="194"/>
        <v>Gabrielle Blake</v>
      </c>
      <c r="J164" s="1201" t="str">
        <f t="shared" si="194"/>
        <v>Brodie Horler</v>
      </c>
      <c r="K164" s="1201" t="str">
        <f t="shared" si="194"/>
        <v>Lara Taylor</v>
      </c>
      <c r="L164" s="1201" t="str">
        <f t="shared" si="194"/>
        <v>Zareen Ulhaq</v>
      </c>
      <c r="M164" s="1188"/>
      <c r="N164" s="1188"/>
      <c r="O164" s="1188"/>
      <c r="P164" s="1188"/>
      <c r="Q164" s="1188"/>
      <c r="R164" s="1188"/>
      <c r="S164" s="1188"/>
      <c r="T164" s="1188"/>
      <c r="U164" s="1188"/>
      <c r="W164" s="32"/>
    </row>
    <row r="165" spans="1:32" ht="15" customHeight="1" x14ac:dyDescent="0.3">
      <c r="A165" s="1189">
        <v>19</v>
      </c>
      <c r="B165" s="1199">
        <v>3</v>
      </c>
      <c r="C165" s="1200"/>
      <c r="D165" s="1200"/>
      <c r="E165" s="1201" t="str">
        <f t="shared" si="194"/>
        <v>Isabella Atwell</v>
      </c>
      <c r="F165" s="1201" t="str">
        <f t="shared" si="194"/>
        <v xml:space="preserve">Erin Colclough </v>
      </c>
      <c r="G165" s="1201" t="str">
        <f t="shared" si="194"/>
        <v>Florence Aspinall</v>
      </c>
      <c r="H165" s="1201" t="str">
        <f t="shared" si="194"/>
        <v>Lila Gallinagh</v>
      </c>
      <c r="I165" s="1201" t="str">
        <f t="shared" si="194"/>
        <v>Alisa Preston</v>
      </c>
      <c r="J165" s="1201" t="str">
        <f t="shared" si="194"/>
        <v>Holly Hancock</v>
      </c>
      <c r="K165" s="1201" t="str">
        <f t="shared" si="194"/>
        <v>Isla Oldham</v>
      </c>
      <c r="L165" s="1201" t="str">
        <f t="shared" si="194"/>
        <v>Gracie Young</v>
      </c>
      <c r="M165" s="1188"/>
      <c r="N165" s="1188"/>
      <c r="O165" s="1188"/>
      <c r="P165" s="1188"/>
      <c r="Q165" s="1188"/>
      <c r="R165" s="1188"/>
      <c r="S165" s="1188"/>
      <c r="T165" s="1188"/>
      <c r="U165" s="1188"/>
      <c r="W165" s="32"/>
    </row>
    <row r="166" spans="1:32" ht="15" customHeight="1" x14ac:dyDescent="0.3">
      <c r="A166" s="1189">
        <v>20</v>
      </c>
      <c r="B166" s="1199">
        <v>4</v>
      </c>
      <c r="C166" s="1191"/>
      <c r="D166" s="1192"/>
      <c r="E166" s="1201" t="str">
        <f t="shared" si="194"/>
        <v>Martha Kerr</v>
      </c>
      <c r="F166" s="1201" t="str">
        <f t="shared" si="194"/>
        <v xml:space="preserve">Araya Williams </v>
      </c>
      <c r="G166" s="1201" t="str">
        <f t="shared" si="194"/>
        <v>Georgia Kiernan</v>
      </c>
      <c r="H166" s="1201" t="str">
        <f t="shared" si="194"/>
        <v>Annabel Stacey</v>
      </c>
      <c r="I166" s="1201" t="str">
        <f t="shared" si="194"/>
        <v>Isla Gerry</v>
      </c>
      <c r="J166" s="1201" t="str">
        <f t="shared" si="194"/>
        <v>Rosa Farmer</v>
      </c>
      <c r="K166" s="1201" t="str">
        <f t="shared" si="194"/>
        <v>Felicity Moore</v>
      </c>
      <c r="L166" s="1201" t="str">
        <f t="shared" si="194"/>
        <v>Aiza Ulhaq</v>
      </c>
      <c r="M166" s="1188"/>
      <c r="N166" s="1188"/>
      <c r="O166" s="1188"/>
      <c r="P166" s="1188"/>
      <c r="Q166" s="1188"/>
      <c r="R166" s="1188"/>
      <c r="S166" s="1188"/>
      <c r="T166" s="1188"/>
      <c r="U166" s="1188"/>
      <c r="W166" s="32">
        <v>138</v>
      </c>
      <c r="X166" s="1194" t="str">
        <f>MID(D162,5,1)</f>
        <v>F</v>
      </c>
      <c r="Y166" s="419" t="str">
        <f t="shared" ref="Y166:AF166" si="195">VLOOKUP($A162,IF($X166="F",TeamSheetFemale,TeamSheetMale),Y$19,FALSE)</f>
        <v>BRAT</v>
      </c>
      <c r="Z166" s="419" t="str">
        <f t="shared" si="195"/>
        <v>Kidder &amp; Stourport</v>
      </c>
      <c r="AA166" s="419" t="str">
        <f t="shared" si="195"/>
        <v>Royal Sutton</v>
      </c>
      <c r="AB166" s="419" t="str">
        <f t="shared" si="195"/>
        <v>Rugby &amp; N'hampton</v>
      </c>
      <c r="AC166" s="419" t="str">
        <f t="shared" si="195"/>
        <v>Solihull &amp; S.Heath</v>
      </c>
      <c r="AD166" s="419" t="str">
        <f t="shared" si="195"/>
        <v>Stratford</v>
      </c>
      <c r="AE166" s="419" t="str">
        <f t="shared" si="195"/>
        <v>Tamworth</v>
      </c>
      <c r="AF166" s="419" t="str">
        <f t="shared" si="195"/>
        <v>Worcester</v>
      </c>
    </row>
    <row r="167" spans="1:32" ht="15" customHeight="1" x14ac:dyDescent="0.3">
      <c r="A167" s="1255">
        <v>85</v>
      </c>
      <c r="B167" s="1185">
        <f>IF($A167&gt;0,VLOOKUP($A167,EventsOrder,2,FALSE)," ")</f>
        <v>5.05</v>
      </c>
      <c r="C167" s="1186" t="str">
        <f>IF($A167&gt;0,VLOOKUP($A167,EventsOrder,6,FALSE)," ")</f>
        <v xml:space="preserve">4 x 100m </v>
      </c>
      <c r="D167" s="1186" t="str">
        <f>IF($A167&gt;0,VLOOKUP($A167,EventsOrder,4,FALSE)," ")</f>
        <v>U14 Male</v>
      </c>
      <c r="E167" s="1187" t="str">
        <f t="shared" si="11"/>
        <v>S - BRAT</v>
      </c>
      <c r="F167" s="1187" t="str">
        <f t="shared" si="12"/>
        <v>G - Royal</v>
      </c>
      <c r="G167" s="1187" t="str">
        <f t="shared" si="13"/>
        <v>Y - Worc</v>
      </c>
      <c r="H167" s="1187" t="str">
        <f t="shared" si="14"/>
        <v>M - Sol</v>
      </c>
      <c r="I167" s="1187" t="str">
        <f t="shared" si="15"/>
        <v>F - Tam</v>
      </c>
      <c r="J167" s="1187" t="str">
        <f t="shared" si="16"/>
        <v>R - Rugby</v>
      </c>
      <c r="K167" s="1187" t="str">
        <f t="shared" si="17"/>
        <v>U - K&amp;S</v>
      </c>
      <c r="L167" s="1187" t="str">
        <f t="shared" si="18"/>
        <v>D - Strat</v>
      </c>
      <c r="M167" s="1188">
        <f>$I$14</f>
        <v>1</v>
      </c>
      <c r="N167" s="1188">
        <f>$E$14</f>
        <v>3</v>
      </c>
      <c r="O167" s="1188">
        <f>$L$14</f>
        <v>8</v>
      </c>
      <c r="P167" s="1188">
        <f>$F$14</f>
        <v>5</v>
      </c>
      <c r="Q167" s="1188">
        <f>$K$14</f>
        <v>7</v>
      </c>
      <c r="R167" s="1188">
        <f>$G$14</f>
        <v>4</v>
      </c>
      <c r="S167" s="1188">
        <f>$H$14</f>
        <v>2</v>
      </c>
      <c r="T167" s="1188">
        <f>$J$14</f>
        <v>6</v>
      </c>
      <c r="U167" s="1188">
        <f t="shared" si="6"/>
        <v>36</v>
      </c>
      <c r="W167" s="32">
        <v>139</v>
      </c>
    </row>
    <row r="168" spans="1:32" ht="15" customHeight="1" x14ac:dyDescent="0.3">
      <c r="A168" s="1189">
        <v>22</v>
      </c>
      <c r="B168" s="1199">
        <v>1</v>
      </c>
      <c r="C168" s="1200"/>
      <c r="D168" s="1200"/>
      <c r="E168" s="1201" t="str">
        <f t="shared" ref="E168:L171" si="196">IF(LEFT(E$167,1)="0"," ",HLOOKUP(E$167,Relays,$A168,FALSE))</f>
        <v xml:space="preserve">T’yana Josephs </v>
      </c>
      <c r="F168" s="1201">
        <f t="shared" si="196"/>
        <v>0</v>
      </c>
      <c r="G168" s="1201">
        <f t="shared" si="196"/>
        <v>0</v>
      </c>
      <c r="H168" s="1201">
        <f t="shared" si="196"/>
        <v>0</v>
      </c>
      <c r="I168" s="1201">
        <f t="shared" si="196"/>
        <v>0</v>
      </c>
      <c r="J168" s="1201">
        <f t="shared" si="196"/>
        <v>0</v>
      </c>
      <c r="K168" s="1201">
        <f t="shared" si="196"/>
        <v>0</v>
      </c>
      <c r="L168" s="1201" t="str">
        <f t="shared" si="196"/>
        <v>Darcie Nicholls</v>
      </c>
      <c r="M168" s="1188"/>
      <c r="N168" s="1188"/>
      <c r="O168" s="1188"/>
      <c r="P168" s="1188"/>
      <c r="Q168" s="1188"/>
      <c r="R168" s="1188"/>
      <c r="S168" s="1188"/>
      <c r="T168" s="1188"/>
      <c r="U168" s="1188"/>
      <c r="W168" s="32"/>
    </row>
    <row r="169" spans="1:32" ht="15" customHeight="1" x14ac:dyDescent="0.3">
      <c r="A169" s="1189">
        <v>23</v>
      </c>
      <c r="B169" s="1199">
        <v>2</v>
      </c>
      <c r="C169" s="1200"/>
      <c r="D169" s="1200"/>
      <c r="E169" s="1201" t="str">
        <f t="shared" si="196"/>
        <v xml:space="preserve">Hephzibah Emmanuel Kokoh </v>
      </c>
      <c r="F169" s="1201">
        <f t="shared" si="196"/>
        <v>0</v>
      </c>
      <c r="G169" s="1201">
        <f t="shared" si="196"/>
        <v>0</v>
      </c>
      <c r="H169" s="1201">
        <f t="shared" si="196"/>
        <v>0</v>
      </c>
      <c r="I169" s="1201">
        <f t="shared" si="196"/>
        <v>0</v>
      </c>
      <c r="J169" s="1201">
        <f t="shared" si="196"/>
        <v>0</v>
      </c>
      <c r="K169" s="1201">
        <f t="shared" si="196"/>
        <v>0</v>
      </c>
      <c r="L169" s="1201" t="str">
        <f t="shared" si="196"/>
        <v>Ella Smith</v>
      </c>
      <c r="M169" s="1188"/>
      <c r="N169" s="1188"/>
      <c r="O169" s="1188"/>
      <c r="P169" s="1188"/>
      <c r="Q169" s="1188"/>
      <c r="R169" s="1188"/>
      <c r="S169" s="1188"/>
      <c r="T169" s="1188"/>
      <c r="U169" s="1188"/>
      <c r="W169" s="32"/>
    </row>
    <row r="170" spans="1:32" ht="15" customHeight="1" x14ac:dyDescent="0.3">
      <c r="A170" s="1189">
        <v>24</v>
      </c>
      <c r="B170" s="1199">
        <v>3</v>
      </c>
      <c r="C170" s="1200"/>
      <c r="D170" s="1200"/>
      <c r="E170" s="1201" t="str">
        <f t="shared" si="196"/>
        <v>Maryam Mohammed Hadi</v>
      </c>
      <c r="F170" s="1201">
        <f t="shared" si="196"/>
        <v>0</v>
      </c>
      <c r="G170" s="1201">
        <f t="shared" si="196"/>
        <v>0</v>
      </c>
      <c r="H170" s="1201">
        <f t="shared" si="196"/>
        <v>0</v>
      </c>
      <c r="I170" s="1201">
        <f t="shared" si="196"/>
        <v>0</v>
      </c>
      <c r="J170" s="1201">
        <f t="shared" si="196"/>
        <v>0</v>
      </c>
      <c r="K170" s="1201">
        <f t="shared" si="196"/>
        <v>0</v>
      </c>
      <c r="L170" s="1201" t="str">
        <f t="shared" si="196"/>
        <v>Ava Sheppard</v>
      </c>
      <c r="M170" s="1188"/>
      <c r="N170" s="1188"/>
      <c r="O170" s="1188"/>
      <c r="P170" s="1188"/>
      <c r="Q170" s="1188"/>
      <c r="R170" s="1188"/>
      <c r="S170" s="1188"/>
      <c r="T170" s="1188"/>
      <c r="U170" s="1188"/>
      <c r="W170" s="32"/>
    </row>
    <row r="171" spans="1:32" ht="15" customHeight="1" x14ac:dyDescent="0.3">
      <c r="A171" s="1189">
        <v>25</v>
      </c>
      <c r="B171" s="1199">
        <v>4</v>
      </c>
      <c r="C171" s="1191"/>
      <c r="D171" s="1192"/>
      <c r="E171" s="1201" t="str">
        <f t="shared" si="196"/>
        <v xml:space="preserve">Daniella Anozie </v>
      </c>
      <c r="F171" s="1201">
        <f t="shared" si="196"/>
        <v>0</v>
      </c>
      <c r="G171" s="1201">
        <f t="shared" si="196"/>
        <v>0</v>
      </c>
      <c r="H171" s="1201">
        <f t="shared" si="196"/>
        <v>0</v>
      </c>
      <c r="I171" s="1201">
        <f t="shared" si="196"/>
        <v>0</v>
      </c>
      <c r="J171" s="1201">
        <f t="shared" si="196"/>
        <v>0</v>
      </c>
      <c r="K171" s="1201">
        <f t="shared" si="196"/>
        <v>0</v>
      </c>
      <c r="L171" s="1201" t="str">
        <f t="shared" si="196"/>
        <v>Scarlett Dawson</v>
      </c>
      <c r="M171" s="1188"/>
      <c r="N171" s="1188"/>
      <c r="O171" s="1188"/>
      <c r="P171" s="1188"/>
      <c r="Q171" s="1188"/>
      <c r="R171" s="1188"/>
      <c r="S171" s="1188"/>
      <c r="T171" s="1188"/>
      <c r="U171" s="1188"/>
      <c r="W171" s="32">
        <v>140</v>
      </c>
      <c r="X171" s="1194" t="str">
        <f>MID(D167,5,1)</f>
        <v>M</v>
      </c>
      <c r="Y171" s="419" t="str">
        <f t="shared" ref="Y171:AF171" si="197">VLOOKUP($A167,IF($X171="F",TeamSheetFemale,TeamSheetMale),Y$19,FALSE)</f>
        <v>BRAT</v>
      </c>
      <c r="Z171" s="419" t="str">
        <f t="shared" si="197"/>
        <v>Kidder &amp; Stourport</v>
      </c>
      <c r="AA171" s="419" t="str">
        <f t="shared" si="197"/>
        <v>Royal Sutton</v>
      </c>
      <c r="AB171" s="419" t="str">
        <f t="shared" si="197"/>
        <v>Rugby &amp; N'hampton</v>
      </c>
      <c r="AC171" s="419" t="str">
        <f t="shared" si="197"/>
        <v>Solihull &amp; S.Heath</v>
      </c>
      <c r="AD171" s="419" t="str">
        <f t="shared" si="197"/>
        <v>Stratford</v>
      </c>
      <c r="AE171" s="419" t="str">
        <f t="shared" si="197"/>
        <v>Tamworth</v>
      </c>
      <c r="AF171" s="419" t="str">
        <f t="shared" si="197"/>
        <v>Worcester</v>
      </c>
    </row>
    <row r="172" spans="1:32" ht="15" customHeight="1" x14ac:dyDescent="0.3">
      <c r="A172" s="1255">
        <v>86</v>
      </c>
      <c r="B172" s="1185">
        <f>IF($A172&gt;0,VLOOKUP($A172,EventsOrder,2,FALSE)," ")</f>
        <v>5.0999999999999996</v>
      </c>
      <c r="C172" s="1186" t="str">
        <f>IF($A172&gt;0,VLOOKUP($A172,EventsOrder,6,FALSE)," ")</f>
        <v xml:space="preserve">4 x 100m </v>
      </c>
      <c r="D172" s="1186" t="str">
        <f>IF($A172&gt;0,VLOOKUP($A172,EventsOrder,4,FALSE)," ")</f>
        <v>U16 Male</v>
      </c>
      <c r="E172" s="1187" t="str">
        <f t="shared" si="11"/>
        <v>F - Tam</v>
      </c>
      <c r="F172" s="1187" t="str">
        <f t="shared" si="12"/>
        <v>U - K&amp;S</v>
      </c>
      <c r="G172" s="1187" t="str">
        <f t="shared" si="13"/>
        <v>R - Rugby</v>
      </c>
      <c r="H172" s="1187" t="str">
        <f t="shared" si="14"/>
        <v>D - Strat</v>
      </c>
      <c r="I172" s="1187" t="str">
        <f t="shared" si="15"/>
        <v>S - BRAT</v>
      </c>
      <c r="J172" s="1187" t="str">
        <f t="shared" si="16"/>
        <v>M - Sol</v>
      </c>
      <c r="K172" s="1187" t="str">
        <f t="shared" si="17"/>
        <v>Y - Worc</v>
      </c>
      <c r="L172" s="1187" t="str">
        <f t="shared" si="18"/>
        <v>G - Royal</v>
      </c>
      <c r="M172" s="1188">
        <f>$K$14</f>
        <v>7</v>
      </c>
      <c r="N172" s="1188">
        <f>$H$14</f>
        <v>2</v>
      </c>
      <c r="O172" s="1188">
        <f>$G$14</f>
        <v>4</v>
      </c>
      <c r="P172" s="1188">
        <f>$J$14</f>
        <v>6</v>
      </c>
      <c r="Q172" s="1188">
        <f>$I$14</f>
        <v>1</v>
      </c>
      <c r="R172" s="1188">
        <f>$F$14</f>
        <v>5</v>
      </c>
      <c r="S172" s="1188">
        <f>$L$14</f>
        <v>8</v>
      </c>
      <c r="T172" s="1188">
        <f>$E$14</f>
        <v>3</v>
      </c>
      <c r="U172" s="1188">
        <f t="shared" si="6"/>
        <v>36</v>
      </c>
      <c r="W172" s="32">
        <v>141</v>
      </c>
    </row>
    <row r="173" spans="1:32" ht="15" customHeight="1" x14ac:dyDescent="0.3">
      <c r="A173" s="1189">
        <v>27</v>
      </c>
      <c r="B173" s="1199">
        <v>1</v>
      </c>
      <c r="C173" s="1200"/>
      <c r="D173" s="1200"/>
      <c r="E173" s="1201" t="str">
        <f t="shared" ref="E173:L176" si="198">IF(LEFT(E$172,1)="0"," ",HLOOKUP(E$172,Relays,$A173,FALSE))</f>
        <v>Joseph Sizer</v>
      </c>
      <c r="F173" s="1201">
        <f t="shared" si="198"/>
        <v>0</v>
      </c>
      <c r="G173" s="1201" t="str">
        <f t="shared" si="198"/>
        <v>Joe Walden</v>
      </c>
      <c r="H173" s="1201" t="str">
        <f t="shared" si="198"/>
        <v>Charlie Castle</v>
      </c>
      <c r="I173" s="1201" t="str">
        <f t="shared" si="198"/>
        <v xml:space="preserve">William Tse </v>
      </c>
      <c r="J173" s="1201" t="str">
        <f t="shared" si="198"/>
        <v>Joshua Baylis</v>
      </c>
      <c r="K173" s="1201">
        <f t="shared" si="198"/>
        <v>0</v>
      </c>
      <c r="L173" s="1201" t="str">
        <f t="shared" si="198"/>
        <v>Joshua Smith</v>
      </c>
      <c r="M173" s="1188"/>
      <c r="N173" s="1188"/>
      <c r="O173" s="1188"/>
      <c r="P173" s="1188"/>
      <c r="Q173" s="1188"/>
      <c r="R173" s="1188"/>
      <c r="S173" s="1188"/>
      <c r="T173" s="1188"/>
      <c r="U173" s="1188"/>
      <c r="W173" s="32"/>
    </row>
    <row r="174" spans="1:32" ht="15" customHeight="1" x14ac:dyDescent="0.3">
      <c r="A174" s="1189">
        <v>28</v>
      </c>
      <c r="B174" s="1199">
        <v>2</v>
      </c>
      <c r="C174" s="1200"/>
      <c r="D174" s="1200"/>
      <c r="E174" s="1201" t="str">
        <f t="shared" si="198"/>
        <v>Alfie Kemp</v>
      </c>
      <c r="F174" s="1201">
        <f t="shared" si="198"/>
        <v>0</v>
      </c>
      <c r="G174" s="1201" t="str">
        <f t="shared" si="198"/>
        <v>Ademiposi (Gideon) Aderibigbe</v>
      </c>
      <c r="H174" s="1201" t="str">
        <f t="shared" si="198"/>
        <v>Fynn Allen</v>
      </c>
      <c r="I174" s="1201" t="str">
        <f t="shared" si="198"/>
        <v>Elliot Jones</v>
      </c>
      <c r="J174" s="1201" t="str">
        <f t="shared" si="198"/>
        <v>Peter Holdsworth</v>
      </c>
      <c r="K174" s="1201">
        <f t="shared" si="198"/>
        <v>0</v>
      </c>
      <c r="L174" s="1201" t="str">
        <f t="shared" si="198"/>
        <v>Karram Sahota</v>
      </c>
      <c r="M174" s="1188"/>
      <c r="N174" s="1188"/>
      <c r="O174" s="1188"/>
      <c r="P174" s="1188"/>
      <c r="Q174" s="1188"/>
      <c r="R174" s="1188"/>
      <c r="S174" s="1188"/>
      <c r="T174" s="1188"/>
      <c r="U174" s="1188"/>
      <c r="W174" s="32"/>
    </row>
    <row r="175" spans="1:32" ht="15" customHeight="1" x14ac:dyDescent="0.3">
      <c r="A175" s="1189">
        <v>29</v>
      </c>
      <c r="B175" s="1199">
        <v>3</v>
      </c>
      <c r="C175" s="1200"/>
      <c r="D175" s="1200"/>
      <c r="E175" s="1201" t="str">
        <f t="shared" si="198"/>
        <v>Felix Hickman</v>
      </c>
      <c r="F175" s="1201">
        <f t="shared" si="198"/>
        <v>0</v>
      </c>
      <c r="G175" s="1201" t="str">
        <f t="shared" si="198"/>
        <v>Robert Copeland</v>
      </c>
      <c r="H175" s="1201" t="str">
        <f t="shared" si="198"/>
        <v>Casper Willis</v>
      </c>
      <c r="I175" s="1201" t="str">
        <f t="shared" si="198"/>
        <v>Ethan Jatta</v>
      </c>
      <c r="J175" s="1201" t="str">
        <f t="shared" si="198"/>
        <v>Jacob Austerberry</v>
      </c>
      <c r="K175" s="1201">
        <f t="shared" si="198"/>
        <v>0</v>
      </c>
      <c r="L175" s="1201" t="str">
        <f t="shared" si="198"/>
        <v>Oliver Marsh</v>
      </c>
      <c r="M175" s="1188"/>
      <c r="N175" s="1188"/>
      <c r="O175" s="1188"/>
      <c r="P175" s="1188"/>
      <c r="Q175" s="1188"/>
      <c r="R175" s="1188"/>
      <c r="S175" s="1188"/>
      <c r="T175" s="1188"/>
      <c r="U175" s="1188"/>
      <c r="W175" s="32"/>
    </row>
    <row r="176" spans="1:32" ht="15" customHeight="1" x14ac:dyDescent="0.3">
      <c r="A176" s="1189">
        <v>30</v>
      </c>
      <c r="B176" s="1199">
        <v>4</v>
      </c>
      <c r="C176" s="1191"/>
      <c r="D176" s="1192"/>
      <c r="E176" s="1201" t="str">
        <f t="shared" si="198"/>
        <v>Elijah Brockway</v>
      </c>
      <c r="F176" s="1201">
        <f t="shared" si="198"/>
        <v>0</v>
      </c>
      <c r="G176" s="1201" t="str">
        <f t="shared" si="198"/>
        <v>Hugo Fernandez</v>
      </c>
      <c r="H176" s="1201" t="str">
        <f t="shared" si="198"/>
        <v>Jasper Hadley</v>
      </c>
      <c r="I176" s="1201" t="str">
        <f t="shared" si="198"/>
        <v>Adam Makame</v>
      </c>
      <c r="J176" s="1201" t="str">
        <f t="shared" si="198"/>
        <v>Andre Albarel</v>
      </c>
      <c r="K176" s="1201">
        <f t="shared" si="198"/>
        <v>0</v>
      </c>
      <c r="L176" s="1201" t="str">
        <f t="shared" si="198"/>
        <v>Finley Aldridge-Cox</v>
      </c>
      <c r="M176" s="1188"/>
      <c r="N176" s="1188"/>
      <c r="O176" s="1188"/>
      <c r="P176" s="1188"/>
      <c r="Q176" s="1188"/>
      <c r="R176" s="1188"/>
      <c r="S176" s="1188"/>
      <c r="T176" s="1188"/>
      <c r="U176" s="1188"/>
      <c r="W176" s="32">
        <v>142</v>
      </c>
      <c r="X176" s="1194" t="str">
        <f>MID(D172,5,1)</f>
        <v>M</v>
      </c>
      <c r="Y176" s="419" t="str">
        <f t="shared" ref="Y176:AF176" si="199">VLOOKUP($A172,IF($X176="F",TeamSheetFemale,TeamSheetMale),Y$19,FALSE)</f>
        <v>BRAT</v>
      </c>
      <c r="Z176" s="419" t="str">
        <f t="shared" si="199"/>
        <v>Kidder &amp; Stourport</v>
      </c>
      <c r="AA176" s="419" t="str">
        <f t="shared" si="199"/>
        <v>Royal Sutton</v>
      </c>
      <c r="AB176" s="419" t="str">
        <f t="shared" si="199"/>
        <v>Rugby &amp; N'hampton</v>
      </c>
      <c r="AC176" s="419" t="str">
        <f t="shared" si="199"/>
        <v>Solihull &amp; S.Heath</v>
      </c>
      <c r="AD176" s="419" t="str">
        <f t="shared" si="199"/>
        <v>Stratford</v>
      </c>
      <c r="AE176" s="419" t="str">
        <f t="shared" si="199"/>
        <v>Tamworth</v>
      </c>
      <c r="AF176" s="419" t="str">
        <f t="shared" si="199"/>
        <v>Worcester</v>
      </c>
    </row>
    <row r="177" spans="1:32" ht="15" customHeight="1" x14ac:dyDescent="0.3">
      <c r="A177" s="1255">
        <v>87</v>
      </c>
      <c r="B177" s="1185">
        <f>IF($A177&gt;0,VLOOKUP($A177,EventsOrder,2,FALSE)," ")</f>
        <v>5.15</v>
      </c>
      <c r="C177" s="1186" t="str">
        <f>IF($A177&gt;0,VLOOKUP($A177,EventsOrder,6,FALSE)," ")</f>
        <v xml:space="preserve">4 x 100m (U18/U20) </v>
      </c>
      <c r="D177" s="1186" t="str">
        <f>IF($A177&gt;0,VLOOKUP($A177,EventsOrder,4,FALSE)," ")</f>
        <v>U18 Men</v>
      </c>
      <c r="E177" s="1187" t="str">
        <f t="shared" si="11"/>
        <v>Y - Worc</v>
      </c>
      <c r="F177" s="1187" t="str">
        <f t="shared" si="12"/>
        <v>M - Sol</v>
      </c>
      <c r="G177" s="1187" t="str">
        <f t="shared" si="13"/>
        <v>U - K&amp;S</v>
      </c>
      <c r="H177" s="1187" t="str">
        <f t="shared" si="14"/>
        <v>S - BRAT</v>
      </c>
      <c r="I177" s="1187" t="str">
        <f t="shared" si="15"/>
        <v>F - Tam</v>
      </c>
      <c r="J177" s="1187" t="str">
        <f t="shared" si="16"/>
        <v>R - Rugby</v>
      </c>
      <c r="K177" s="1187" t="str">
        <f t="shared" si="17"/>
        <v>G - Royal</v>
      </c>
      <c r="L177" s="1187" t="str">
        <f t="shared" si="18"/>
        <v>D - Strat</v>
      </c>
      <c r="M177" s="1188">
        <f>$L$14</f>
        <v>8</v>
      </c>
      <c r="N177" s="1188">
        <f>$F$14</f>
        <v>5</v>
      </c>
      <c r="O177" s="1188">
        <f>$H$14</f>
        <v>2</v>
      </c>
      <c r="P177" s="1188">
        <f>$I$14</f>
        <v>1</v>
      </c>
      <c r="Q177" s="1188">
        <f>$K$14</f>
        <v>7</v>
      </c>
      <c r="R177" s="1188">
        <f>$G$14</f>
        <v>4</v>
      </c>
      <c r="S177" s="1188">
        <f>$E$14</f>
        <v>3</v>
      </c>
      <c r="T177" s="1188">
        <f>$J$14</f>
        <v>6</v>
      </c>
      <c r="U177" s="1188">
        <f t="shared" si="6"/>
        <v>36</v>
      </c>
      <c r="W177" s="32">
        <v>143</v>
      </c>
    </row>
    <row r="178" spans="1:32" ht="15" customHeight="1" x14ac:dyDescent="0.3">
      <c r="A178" s="1189">
        <v>32</v>
      </c>
      <c r="B178" s="1199">
        <v>1</v>
      </c>
      <c r="C178" s="1200"/>
      <c r="D178" s="1200"/>
      <c r="E178" s="1201" t="str">
        <f t="shared" ref="E178:L181" si="200">IF(LEFT(E$177,1)="0"," ",HLOOKUP(E$177,Relays,$A178,FALSE))</f>
        <v>Huw Mabey</v>
      </c>
      <c r="F178" s="1201" t="str">
        <f t="shared" si="200"/>
        <v>Charlie Hughes</v>
      </c>
      <c r="G178" s="1201">
        <f t="shared" si="200"/>
        <v>0</v>
      </c>
      <c r="H178" s="1201" t="str">
        <f t="shared" si="200"/>
        <v>Dominic Francis-Gordon</v>
      </c>
      <c r="I178" s="1201" t="str">
        <f t="shared" si="200"/>
        <v>Arjun Singh Hira</v>
      </c>
      <c r="J178" s="1201" t="str">
        <f t="shared" si="200"/>
        <v>Matei Cosciug</v>
      </c>
      <c r="K178" s="1201" t="str">
        <f t="shared" si="200"/>
        <v>Louis Matthews</v>
      </c>
      <c r="L178" s="1201" t="str">
        <f t="shared" si="200"/>
        <v>Carter McKenzie</v>
      </c>
      <c r="M178" s="1188"/>
      <c r="N178" s="1188"/>
      <c r="O178" s="1188"/>
      <c r="P178" s="1188"/>
      <c r="Q178" s="1188"/>
      <c r="R178" s="1188"/>
      <c r="S178" s="1188"/>
      <c r="T178" s="1188"/>
      <c r="U178" s="1188"/>
      <c r="W178" s="32"/>
    </row>
    <row r="179" spans="1:32" ht="15" customHeight="1" x14ac:dyDescent="0.3">
      <c r="A179" s="1189">
        <v>33</v>
      </c>
      <c r="B179" s="1199">
        <v>2</v>
      </c>
      <c r="C179" s="1200"/>
      <c r="D179" s="1200"/>
      <c r="E179" s="1201" t="str">
        <f t="shared" si="200"/>
        <v>Oscar Farmer</v>
      </c>
      <c r="F179" s="1201" t="str">
        <f t="shared" si="200"/>
        <v>Jason Bedford</v>
      </c>
      <c r="G179" s="1201">
        <f t="shared" si="200"/>
        <v>0</v>
      </c>
      <c r="H179" s="1201" t="str">
        <f t="shared" si="200"/>
        <v>Heinrich</v>
      </c>
      <c r="I179" s="1201" t="str">
        <f t="shared" si="200"/>
        <v>Alex Hall</v>
      </c>
      <c r="J179" s="1201" t="str">
        <f t="shared" si="200"/>
        <v>Joe White</v>
      </c>
      <c r="K179" s="1201" t="str">
        <f t="shared" si="200"/>
        <v>Reuban Higgins</v>
      </c>
      <c r="L179" s="1201" t="str">
        <f t="shared" si="200"/>
        <v>Zac Birch</v>
      </c>
      <c r="M179" s="1188"/>
      <c r="N179" s="1188"/>
      <c r="O179" s="1188"/>
      <c r="P179" s="1188"/>
      <c r="Q179" s="1188"/>
      <c r="R179" s="1188"/>
      <c r="S179" s="1188"/>
      <c r="T179" s="1188"/>
      <c r="U179" s="1188"/>
      <c r="W179" s="32"/>
    </row>
    <row r="180" spans="1:32" ht="15" customHeight="1" x14ac:dyDescent="0.3">
      <c r="A180" s="1189">
        <v>34</v>
      </c>
      <c r="B180" s="1199">
        <v>3</v>
      </c>
      <c r="C180" s="1200"/>
      <c r="D180" s="1200"/>
      <c r="E180" s="1201" t="str">
        <f t="shared" si="200"/>
        <v>Harry Groves</v>
      </c>
      <c r="F180" s="1201" t="str">
        <f t="shared" si="200"/>
        <v>Luke Ager</v>
      </c>
      <c r="G180" s="1201">
        <f t="shared" si="200"/>
        <v>0</v>
      </c>
      <c r="H180" s="1201" t="str">
        <f t="shared" si="200"/>
        <v xml:space="preserve">JAYARD VALERIO </v>
      </c>
      <c r="I180" s="1201" t="str">
        <f t="shared" si="200"/>
        <v>Lucas Lee</v>
      </c>
      <c r="J180" s="1201" t="str">
        <f t="shared" si="200"/>
        <v>Tommy McGuire</v>
      </c>
      <c r="K180" s="1201" t="str">
        <f t="shared" si="200"/>
        <v>Alex Taylor</v>
      </c>
      <c r="L180" s="1201" t="str">
        <f t="shared" si="200"/>
        <v>Toby Hughes Webb</v>
      </c>
      <c r="M180" s="1188"/>
      <c r="N180" s="1188"/>
      <c r="O180" s="1188"/>
      <c r="P180" s="1188"/>
      <c r="Q180" s="1188"/>
      <c r="R180" s="1188"/>
      <c r="S180" s="1188"/>
      <c r="T180" s="1188"/>
      <c r="U180" s="1188"/>
      <c r="W180" s="32"/>
    </row>
    <row r="181" spans="1:32" ht="15" customHeight="1" x14ac:dyDescent="0.3">
      <c r="A181" s="1189">
        <v>35</v>
      </c>
      <c r="B181" s="1199">
        <v>4</v>
      </c>
      <c r="C181" s="1191"/>
      <c r="D181" s="1192"/>
      <c r="E181" s="1201" t="str">
        <f t="shared" si="200"/>
        <v>Hayden Helme</v>
      </c>
      <c r="F181" s="1201" t="str">
        <f t="shared" si="200"/>
        <v>Luca Woodley</v>
      </c>
      <c r="G181" s="1201">
        <f t="shared" si="200"/>
        <v>0</v>
      </c>
      <c r="H181" s="1201" t="str">
        <f t="shared" si="200"/>
        <v xml:space="preserve">Austin Demanya </v>
      </c>
      <c r="I181" s="1201" t="str">
        <f t="shared" si="200"/>
        <v>Oscar Brehler</v>
      </c>
      <c r="J181" s="1201" t="str">
        <f t="shared" si="200"/>
        <v>Alfie Goodman</v>
      </c>
      <c r="K181" s="1201" t="str">
        <f t="shared" si="200"/>
        <v>Joseph Smith</v>
      </c>
      <c r="L181" s="1201" t="str">
        <f t="shared" si="200"/>
        <v xml:space="preserve">Jasper Cooper </v>
      </c>
      <c r="M181" s="1188"/>
      <c r="N181" s="1188"/>
      <c r="O181" s="1188"/>
      <c r="P181" s="1188"/>
      <c r="Q181" s="1188"/>
      <c r="R181" s="1188"/>
      <c r="S181" s="1188"/>
      <c r="T181" s="1188"/>
      <c r="U181" s="1188">
        <f t="shared" si="6"/>
        <v>0</v>
      </c>
      <c r="W181" s="32">
        <v>144</v>
      </c>
      <c r="X181" s="1194" t="str">
        <f>MID(D177,5,1)</f>
        <v>M</v>
      </c>
      <c r="Y181" s="419" t="str">
        <f t="shared" ref="Y181:AF181" si="201">VLOOKUP($A177,IF($X181="F",TeamSheetFemale,TeamSheetMale),Y$19,FALSE)</f>
        <v>BRAT</v>
      </c>
      <c r="Z181" s="419" t="str">
        <f t="shared" si="201"/>
        <v>Kidder &amp; Stourport</v>
      </c>
      <c r="AA181" s="419" t="str">
        <f t="shared" si="201"/>
        <v>Royal Sutton</v>
      </c>
      <c r="AB181" s="419" t="str">
        <f t="shared" si="201"/>
        <v>Rugby &amp; N'hampton</v>
      </c>
      <c r="AC181" s="419" t="str">
        <f t="shared" si="201"/>
        <v>Solihull &amp; S.Heath</v>
      </c>
      <c r="AD181" s="419" t="str">
        <f t="shared" si="201"/>
        <v>Stratford</v>
      </c>
      <c r="AE181" s="419" t="str">
        <f t="shared" si="201"/>
        <v>Tamworth</v>
      </c>
      <c r="AF181" s="419" t="str">
        <f t="shared" si="201"/>
        <v>Worcester</v>
      </c>
    </row>
    <row r="182" spans="1:32" ht="15" customHeight="1" x14ac:dyDescent="0.3">
      <c r="A182" s="1189">
        <v>0</v>
      </c>
      <c r="B182" s="1043">
        <v>0</v>
      </c>
      <c r="C182" s="1200">
        <v>0</v>
      </c>
      <c r="D182" s="1200">
        <v>0</v>
      </c>
      <c r="E182" s="1202" t="str">
        <f t="shared" si="11"/>
        <v/>
      </c>
      <c r="F182" s="1202" t="str">
        <f t="shared" si="12"/>
        <v/>
      </c>
      <c r="G182" s="1202" t="str">
        <f t="shared" si="13"/>
        <v/>
      </c>
      <c r="H182" s="1202" t="str">
        <f t="shared" si="14"/>
        <v/>
      </c>
      <c r="I182" s="1202" t="str">
        <f t="shared" si="15"/>
        <v/>
      </c>
      <c r="J182" s="1202" t="str">
        <f t="shared" si="16"/>
        <v/>
      </c>
      <c r="K182" s="1202" t="str">
        <f t="shared" si="17"/>
        <v/>
      </c>
      <c r="L182" s="1202" t="str">
        <f t="shared" si="18"/>
        <v/>
      </c>
      <c r="M182" s="1188"/>
      <c r="N182" s="1188"/>
      <c r="O182" s="1188"/>
      <c r="P182" s="1188"/>
      <c r="Q182" s="1188"/>
      <c r="R182" s="1188"/>
      <c r="S182" s="1188"/>
      <c r="T182" s="1188"/>
      <c r="U182" s="1188">
        <f t="shared" si="6"/>
        <v>0</v>
      </c>
      <c r="W182" s="32">
        <v>145</v>
      </c>
    </row>
    <row r="183" spans="1:32" x14ac:dyDescent="0.3">
      <c r="A183" s="32"/>
      <c r="B183" s="32"/>
      <c r="U183" s="1188">
        <f t="shared" si="6"/>
        <v>0</v>
      </c>
      <c r="W183" s="32">
        <v>146</v>
      </c>
    </row>
    <row r="184" spans="1:32" x14ac:dyDescent="0.3">
      <c r="A184" s="32"/>
      <c r="B184" s="32"/>
      <c r="I184" t="str">
        <f>MID(I167,1,1)</f>
        <v>F</v>
      </c>
      <c r="M184" s="1188">
        <f t="shared" ref="M184:T184" si="202">SUM(M21:M183)</f>
        <v>219</v>
      </c>
      <c r="N184" s="1188">
        <f t="shared" si="202"/>
        <v>221</v>
      </c>
      <c r="O184" s="1188">
        <f t="shared" si="202"/>
        <v>213</v>
      </c>
      <c r="P184" s="1188">
        <f t="shared" si="202"/>
        <v>209</v>
      </c>
      <c r="Q184" s="1188">
        <f t="shared" si="202"/>
        <v>231</v>
      </c>
      <c r="R184" s="1188">
        <f t="shared" si="202"/>
        <v>225</v>
      </c>
      <c r="S184" s="1188">
        <f t="shared" si="202"/>
        <v>225</v>
      </c>
      <c r="T184" s="1188">
        <f t="shared" si="202"/>
        <v>221</v>
      </c>
      <c r="U184" s="1188">
        <f t="shared" si="6"/>
        <v>1764</v>
      </c>
      <c r="W184" s="32"/>
    </row>
    <row r="185" spans="1:32" x14ac:dyDescent="0.3">
      <c r="A185" s="32"/>
      <c r="B185" s="32"/>
      <c r="N185" s="1188">
        <f>$M184-N184</f>
        <v>-2</v>
      </c>
      <c r="O185" s="1188">
        <f t="shared" ref="O185:T185" si="203">$M184-O184</f>
        <v>6</v>
      </c>
      <c r="P185" s="1188">
        <f t="shared" si="203"/>
        <v>10</v>
      </c>
      <c r="Q185" s="1188">
        <f t="shared" si="203"/>
        <v>-12</v>
      </c>
      <c r="R185" s="1188">
        <f t="shared" si="203"/>
        <v>-6</v>
      </c>
      <c r="S185" s="1188">
        <f t="shared" si="203"/>
        <v>-6</v>
      </c>
      <c r="T185" s="1188">
        <f t="shared" si="203"/>
        <v>-2</v>
      </c>
      <c r="W185" s="32"/>
    </row>
  </sheetData>
  <sheetProtection sheet="1" objects="1" scenarios="1"/>
  <mergeCells count="1">
    <mergeCell ref="E18:L18"/>
  </mergeCells>
  <conditionalFormatting sqref="M21:T27 M30:T182">
    <cfRule type="cellIs" dxfId="5" priority="4" stopIfTrue="1" operator="between">
      <formula>1</formula>
      <formula>2</formula>
    </cfRule>
    <cfRule type="cellIs" dxfId="4" priority="5" stopIfTrue="1" operator="between">
      <formula>3</formula>
      <formula>4</formula>
    </cfRule>
    <cfRule type="cellIs" dxfId="3" priority="6" stopIfTrue="1" operator="between">
      <formula>5</formula>
      <formula>6</formula>
    </cfRule>
  </conditionalFormatting>
  <conditionalFormatting sqref="M28:T29">
    <cfRule type="cellIs" dxfId="2" priority="1" stopIfTrue="1" operator="between">
      <formula>1</formula>
      <formula>2</formula>
    </cfRule>
    <cfRule type="cellIs" dxfId="1" priority="2" stopIfTrue="1" operator="between">
      <formula>3</formula>
      <formula>4</formula>
    </cfRule>
    <cfRule type="cellIs" dxfId="0" priority="3" stopIfTrue="1" operator="between">
      <formula>5</formula>
      <formula>6</formula>
    </cfRule>
  </conditionalFormatting>
  <pageMargins left="0.70866141732283472" right="0.70866141732283472" top="0.55118110236220474" bottom="0.55118110236220474" header="0.11811023622047245" footer="0.31496062992125984"/>
  <pageSetup paperSize="9" scale="92" fitToHeight="0" orientation="landscape" horizontalDpi="360" verticalDpi="360" r:id="rId1"/>
  <headerFooter>
    <oddHeader>&amp;C&amp;"-,Bold"&amp;16Track Lane Draw</oddHeader>
    <oddFooter>Page &amp;P of &amp;N</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3DBF-2EBC-4442-8FA8-AC8D66B95CCA}">
  <sheetPr>
    <pageSetUpPr fitToPage="1"/>
  </sheetPr>
  <dimension ref="A3:AE56"/>
  <sheetViews>
    <sheetView showZeros="0" zoomScale="90" zoomScaleNormal="90" workbookViewId="0">
      <selection activeCell="K32" sqref="K32"/>
    </sheetView>
  </sheetViews>
  <sheetFormatPr defaultRowHeight="14.4" x14ac:dyDescent="0.3"/>
  <cols>
    <col min="1" max="1" width="6" customWidth="1"/>
    <col min="2" max="2" width="7.6640625" customWidth="1"/>
    <col min="3" max="3" width="20.6640625" customWidth="1"/>
    <col min="4" max="4" width="9.33203125" customWidth="1"/>
    <col min="5" max="5" width="13.109375" bestFit="1" customWidth="1"/>
    <col min="6" max="6" width="6.88671875" customWidth="1"/>
    <col min="7" max="7" width="6.44140625" customWidth="1"/>
    <col min="8" max="8" width="11.88671875" bestFit="1" customWidth="1"/>
    <col min="9" max="24" width="10.6640625" customWidth="1"/>
  </cols>
  <sheetData>
    <row r="3" spans="1:31" ht="17.399999999999999" x14ac:dyDescent="0.3">
      <c r="I3" s="52" t="s">
        <v>62</v>
      </c>
      <c r="J3" s="52"/>
      <c r="K3" s="52"/>
      <c r="L3" s="52"/>
      <c r="M3" s="52" t="s">
        <v>66</v>
      </c>
      <c r="N3" s="52"/>
      <c r="O3" s="1016" t="s">
        <v>65</v>
      </c>
      <c r="P3" s="52"/>
      <c r="Q3" s="1016" t="s">
        <v>67</v>
      </c>
      <c r="R3" s="1016"/>
      <c r="S3" s="1016" t="s">
        <v>68</v>
      </c>
    </row>
    <row r="4" spans="1:31" ht="17.399999999999999" x14ac:dyDescent="0.3">
      <c r="C4" s="52" t="s">
        <v>437</v>
      </c>
      <c r="I4" s="52"/>
      <c r="J4" s="52"/>
      <c r="K4" s="52"/>
      <c r="L4" s="52"/>
      <c r="M4" s="52" t="str">
        <f>'Event Details'!C17</f>
        <v>17th May 2026</v>
      </c>
      <c r="N4" s="52"/>
      <c r="O4" s="1016">
        <f>'Event Details'!B17</f>
        <v>1</v>
      </c>
      <c r="P4" s="52"/>
      <c r="Q4" s="1016" t="str">
        <f>'Event Details'!E17</f>
        <v>Bruce williams Way</v>
      </c>
      <c r="R4" s="1016"/>
      <c r="S4" s="1258" t="str">
        <f>'Event Details'!G17</f>
        <v>Rugby &amp; N'hampton</v>
      </c>
    </row>
    <row r="5" spans="1:31" ht="17.399999999999999" x14ac:dyDescent="0.3">
      <c r="I5" s="52" t="s">
        <v>42</v>
      </c>
      <c r="J5" s="1017"/>
      <c r="K5" s="1017"/>
      <c r="L5" s="1017"/>
      <c r="M5" s="1017"/>
      <c r="N5" s="1017"/>
      <c r="O5" s="1017"/>
      <c r="P5" s="1017"/>
      <c r="Q5" s="1017"/>
      <c r="R5" s="1017"/>
      <c r="S5" s="1017"/>
    </row>
    <row r="6" spans="1:31" ht="15" thickBot="1" x14ac:dyDescent="0.35"/>
    <row r="7" spans="1:31" x14ac:dyDescent="0.3">
      <c r="A7" s="1018" t="s">
        <v>165</v>
      </c>
      <c r="B7" s="1019" t="s">
        <v>168</v>
      </c>
      <c r="C7" s="1020" t="s">
        <v>241</v>
      </c>
      <c r="D7" s="1021" t="s">
        <v>384</v>
      </c>
      <c r="E7" s="1022" t="s">
        <v>169</v>
      </c>
      <c r="F7" s="1023" t="s">
        <v>438</v>
      </c>
      <c r="G7" s="85"/>
      <c r="H7" s="669"/>
      <c r="I7" s="4"/>
      <c r="J7" s="50"/>
      <c r="K7" s="4"/>
      <c r="L7" s="50"/>
      <c r="M7" s="4"/>
      <c r="N7" s="50"/>
      <c r="O7" s="4"/>
      <c r="P7" s="50"/>
      <c r="Q7" s="4"/>
      <c r="R7" s="50"/>
      <c r="S7" s="4"/>
      <c r="T7" s="50"/>
      <c r="U7" s="4"/>
      <c r="V7" s="50"/>
      <c r="W7" s="4"/>
      <c r="X7" s="50"/>
    </row>
    <row r="8" spans="1:31" ht="15.6" x14ac:dyDescent="0.3">
      <c r="A8" s="1024">
        <v>0</v>
      </c>
      <c r="B8" s="1025"/>
      <c r="C8" s="1026"/>
      <c r="D8" s="1027"/>
      <c r="E8" s="53"/>
      <c r="F8" s="670"/>
      <c r="H8" s="670"/>
      <c r="I8" s="1453" t="str">
        <f>'Event Details'!E22</f>
        <v>BRAT</v>
      </c>
      <c r="J8" s="1454"/>
      <c r="K8" s="1453" t="str">
        <f>'Event Details'!E23</f>
        <v>Kidder &amp; Stourport</v>
      </c>
      <c r="L8" s="1454"/>
      <c r="M8" s="1453" t="str">
        <f>'Event Details'!E24</f>
        <v>Royal Sutton</v>
      </c>
      <c r="N8" s="1454"/>
      <c r="O8" s="1453" t="str">
        <f>'Event Details'!E25</f>
        <v>Rugby &amp; N'hampton</v>
      </c>
      <c r="P8" s="1454"/>
      <c r="Q8" s="1453" t="str">
        <f>'Event Details'!E26</f>
        <v>Solihull &amp; S.Heath</v>
      </c>
      <c r="R8" s="1454"/>
      <c r="S8" s="1453" t="str">
        <f>'Event Details'!E27</f>
        <v>Stratford</v>
      </c>
      <c r="T8" s="1454"/>
      <c r="U8" s="1453" t="str">
        <f>'Event Details'!E28</f>
        <v>Tamworth</v>
      </c>
      <c r="V8" s="1454"/>
      <c r="W8" s="1453" t="str">
        <f>'Event Details'!E29</f>
        <v>Worcester</v>
      </c>
      <c r="X8" s="1454"/>
    </row>
    <row r="9" spans="1:31" ht="20.25" customHeight="1" thickBot="1" x14ac:dyDescent="0.35">
      <c r="A9" s="1028">
        <v>1</v>
      </c>
      <c r="B9" s="1029">
        <f t="shared" ref="B9:B42" si="0">IF($A9&gt;0,VLOOKUP($A9,EventsOrder,2,FALSE)," ")</f>
        <v>11.3</v>
      </c>
      <c r="C9" s="1030" t="str">
        <f t="shared" ref="C9:C42" si="1">IF($A9&gt;0,VLOOKUP($A9,EventsOrder,6,FALSE)," ")</f>
        <v xml:space="preserve">High Jump </v>
      </c>
      <c r="D9" s="1031" t="str">
        <f t="shared" ref="D9:D42" si="2">IF($A9&gt;0,VLOOKUP($A9,EventsOrder,8,FALSE)," ")</f>
        <v>1.10m</v>
      </c>
      <c r="E9" s="1032" t="str">
        <f t="shared" ref="E9:E42" si="3">IF($A9&gt;0,VLOOKUP($A9,EventsOrder,4,FALSE)," ")</f>
        <v>U14 Male</v>
      </c>
      <c r="F9" s="417" t="str">
        <f t="shared" ref="F9:F42" si="4">IF(ISNA(MATCH(A9,Z$9:Z$60,0)),"","Ok")</f>
        <v>Ok</v>
      </c>
      <c r="G9" s="1033"/>
      <c r="H9" s="112"/>
      <c r="I9" s="114"/>
      <c r="J9" s="117"/>
      <c r="K9" s="114"/>
      <c r="L9" s="117"/>
      <c r="M9" s="114"/>
      <c r="N9" s="117"/>
      <c r="O9" s="114"/>
      <c r="P9" s="117"/>
      <c r="Q9" s="114"/>
      <c r="R9" s="117"/>
      <c r="S9" s="114"/>
      <c r="T9" s="117"/>
      <c r="U9" s="114"/>
      <c r="V9" s="117"/>
      <c r="W9" s="114"/>
      <c r="X9" s="117"/>
      <c r="Z9">
        <f>I11</f>
        <v>0</v>
      </c>
    </row>
    <row r="10" spans="1:31" ht="20.25" customHeight="1" x14ac:dyDescent="0.3">
      <c r="A10" s="1028">
        <v>5</v>
      </c>
      <c r="B10" s="1029">
        <f t="shared" si="0"/>
        <v>11.45</v>
      </c>
      <c r="C10" s="1030" t="str">
        <f t="shared" si="1"/>
        <v xml:space="preserve">Howler </v>
      </c>
      <c r="D10" s="1031">
        <f t="shared" si="2"/>
        <v>0</v>
      </c>
      <c r="E10" s="1032" t="str">
        <f t="shared" si="3"/>
        <v>U12 Male</v>
      </c>
      <c r="F10" s="417" t="str">
        <f t="shared" si="4"/>
        <v>Ok</v>
      </c>
      <c r="G10" s="1033"/>
      <c r="H10" s="669"/>
      <c r="I10" s="34" t="s">
        <v>258</v>
      </c>
      <c r="J10" s="36" t="s">
        <v>168</v>
      </c>
      <c r="K10" s="34" t="s">
        <v>258</v>
      </c>
      <c r="L10" s="36" t="s">
        <v>168</v>
      </c>
      <c r="M10" s="34" t="s">
        <v>258</v>
      </c>
      <c r="N10" s="36" t="s">
        <v>168</v>
      </c>
      <c r="O10" s="34" t="s">
        <v>258</v>
      </c>
      <c r="P10" s="36" t="s">
        <v>168</v>
      </c>
      <c r="Q10" s="34" t="s">
        <v>258</v>
      </c>
      <c r="R10" s="36" t="s">
        <v>168</v>
      </c>
      <c r="S10" s="34" t="s">
        <v>258</v>
      </c>
      <c r="T10" s="36" t="s">
        <v>168</v>
      </c>
      <c r="U10" s="34" t="s">
        <v>258</v>
      </c>
      <c r="V10" s="36" t="s">
        <v>168</v>
      </c>
      <c r="W10" s="34" t="s">
        <v>258</v>
      </c>
      <c r="X10" s="36" t="s">
        <v>168</v>
      </c>
      <c r="Z10">
        <f>K11</f>
        <v>0</v>
      </c>
    </row>
    <row r="11" spans="1:31" ht="20.25" customHeight="1" x14ac:dyDescent="0.3">
      <c r="A11" s="1028">
        <v>6</v>
      </c>
      <c r="B11" s="1029">
        <f t="shared" si="0"/>
        <v>11.45</v>
      </c>
      <c r="C11" s="1030" t="str">
        <f t="shared" si="1"/>
        <v xml:space="preserve">Howler </v>
      </c>
      <c r="D11" s="1031">
        <f t="shared" si="2"/>
        <v>0</v>
      </c>
      <c r="E11" s="1032" t="str">
        <f t="shared" si="3"/>
        <v>U12 Female</v>
      </c>
      <c r="F11" s="417" t="str">
        <f t="shared" si="4"/>
        <v>Ok</v>
      </c>
      <c r="G11" s="1033"/>
      <c r="H11" s="670"/>
      <c r="I11" s="1280">
        <v>0</v>
      </c>
      <c r="J11" s="1034">
        <f>VLOOKUP(I$11,FieldDuties,2,FALSE)</f>
        <v>0</v>
      </c>
      <c r="K11" s="1280">
        <v>0</v>
      </c>
      <c r="L11" s="1034">
        <f>VLOOKUP(K$11,FieldDuties,2,FALSE)</f>
        <v>0</v>
      </c>
      <c r="M11" s="1166">
        <v>1</v>
      </c>
      <c r="N11" s="1034">
        <f>VLOOKUP(M$11,FieldDuties,2,FALSE)</f>
        <v>11.3</v>
      </c>
      <c r="O11" s="1166">
        <v>5</v>
      </c>
      <c r="P11" s="1034">
        <f>VLOOKUP(O$11,FieldDuties,2,FALSE)</f>
        <v>11.45</v>
      </c>
      <c r="Q11" s="1166">
        <v>6</v>
      </c>
      <c r="R11" s="1034">
        <f>VLOOKUP(Q$11,FieldDuties,2,FALSE)</f>
        <v>11.45</v>
      </c>
      <c r="S11" s="1166">
        <v>7</v>
      </c>
      <c r="T11" s="1034">
        <f>VLOOKUP(S$11,FieldDuties,2,FALSE)</f>
        <v>12</v>
      </c>
      <c r="U11" s="1166">
        <v>11</v>
      </c>
      <c r="V11" s="1034">
        <f>VLOOKUP(U$11,FieldDuties,2,FALSE)</f>
        <v>12.15</v>
      </c>
      <c r="W11" s="1166">
        <v>13</v>
      </c>
      <c r="X11" s="1034">
        <f>VLOOKUP(W$11,FieldDuties,2,FALSE)</f>
        <v>12.15</v>
      </c>
      <c r="Z11">
        <f>M11</f>
        <v>1</v>
      </c>
    </row>
    <row r="12" spans="1:31" ht="20.25" customHeight="1" x14ac:dyDescent="0.3">
      <c r="A12" s="1035">
        <v>7</v>
      </c>
      <c r="B12" s="1036">
        <f t="shared" si="0"/>
        <v>12</v>
      </c>
      <c r="C12" s="1037" t="str">
        <f t="shared" si="1"/>
        <v>Long Jump Pit 2</v>
      </c>
      <c r="D12" s="1031">
        <f t="shared" si="2"/>
        <v>0</v>
      </c>
      <c r="E12" s="1032" t="str">
        <f t="shared" si="3"/>
        <v>U16 Male</v>
      </c>
      <c r="F12" s="417" t="str">
        <f t="shared" si="4"/>
        <v>Ok</v>
      </c>
      <c r="G12" s="1033"/>
      <c r="H12" s="68" t="s">
        <v>439</v>
      </c>
      <c r="I12" s="1038" t="str">
        <f>LEFT(VLOOKUP(I$11,FieldDuties,3,FALSE),9)</f>
        <v/>
      </c>
      <c r="J12" s="1039" t="str">
        <f>LEFT(VLOOKUP(I$11,FieldDuties,5,FALSE),5)</f>
        <v/>
      </c>
      <c r="K12" s="1038" t="str">
        <f>LEFT(VLOOKUP(K$11,FieldDuties,3,FALSE),9)</f>
        <v/>
      </c>
      <c r="L12" s="1039" t="str">
        <f>LEFT(VLOOKUP(K$11,FieldDuties,5,FALSE),5)</f>
        <v/>
      </c>
      <c r="M12" s="1038" t="str">
        <f>LEFT(VLOOKUP(M$11,FieldDuties,3,FALSE),9)</f>
        <v>High Jump</v>
      </c>
      <c r="N12" s="1039" t="str">
        <f>LEFT(VLOOKUP(M$11,FieldDuties,5,FALSE),5)</f>
        <v>U14 M</v>
      </c>
      <c r="O12" s="1038" t="str">
        <f>LEFT(VLOOKUP(O$11,FieldDuties,3,FALSE),9)</f>
        <v xml:space="preserve">Howler </v>
      </c>
      <c r="P12" s="1039" t="str">
        <f>LEFT(VLOOKUP(O$11,FieldDuties,5,FALSE),5)</f>
        <v>U12 M</v>
      </c>
      <c r="Q12" s="1038" t="str">
        <f>LEFT(VLOOKUP(Q$11,FieldDuties,3,FALSE),9)</f>
        <v xml:space="preserve">Howler </v>
      </c>
      <c r="R12" s="1039" t="str">
        <f>LEFT(VLOOKUP(Q$11,FieldDuties,5,FALSE),5)</f>
        <v>U12 F</v>
      </c>
      <c r="S12" s="1038" t="str">
        <f>LEFT(VLOOKUP(S$11,FieldDuties,3,FALSE),9)</f>
        <v>Long Jump</v>
      </c>
      <c r="T12" s="1039" t="str">
        <f>LEFT(VLOOKUP(S$11,FieldDuties,5,FALSE),5)</f>
        <v>U16 M</v>
      </c>
      <c r="U12" s="1038" t="str">
        <f>LEFT(VLOOKUP(U$11,FieldDuties,3,FALSE),9)</f>
        <v>Shot (U18</v>
      </c>
      <c r="V12" s="1039" t="str">
        <f>LEFT(VLOOKUP(U$11,FieldDuties,5,FALSE),5)</f>
        <v>U18 M</v>
      </c>
      <c r="W12" s="1038" t="str">
        <f>LEFT(VLOOKUP(W$11,FieldDuties,3,FALSE),9)</f>
        <v>Javelin (</v>
      </c>
      <c r="X12" s="1039" t="str">
        <f>LEFT(VLOOKUP(W$11,FieldDuties,5,FALSE),5)</f>
        <v>U18 F</v>
      </c>
      <c r="Z12">
        <f>O11</f>
        <v>5</v>
      </c>
    </row>
    <row r="13" spans="1:31" ht="20.25" customHeight="1" thickBot="1" x14ac:dyDescent="0.35">
      <c r="A13" s="1028">
        <v>11</v>
      </c>
      <c r="B13" s="1029">
        <f t="shared" si="0"/>
        <v>12.15</v>
      </c>
      <c r="C13" s="1030" t="str">
        <f t="shared" si="1"/>
        <v xml:space="preserve">Shot (U18) </v>
      </c>
      <c r="D13" s="1031" t="str">
        <f t="shared" si="2"/>
        <v>5.00Kg</v>
      </c>
      <c r="E13" s="1032" t="str">
        <f t="shared" si="3"/>
        <v>U18 Men</v>
      </c>
      <c r="F13" s="417" t="str">
        <f t="shared" si="4"/>
        <v>Ok</v>
      </c>
      <c r="G13" s="1033"/>
      <c r="H13" s="503"/>
      <c r="I13" s="1040" t="str">
        <f>IF(I11=0,"","Ht/Wt")</f>
        <v/>
      </c>
      <c r="J13" s="1041">
        <f>VLOOKUP(I$11,FieldDuties,4,FALSE)</f>
        <v>0</v>
      </c>
      <c r="K13" s="1040" t="str">
        <f>IF(K11=0,"","Ht/Wt")</f>
        <v/>
      </c>
      <c r="L13" s="1041">
        <f>VLOOKUP(K$11,FieldDuties,4,FALSE)</f>
        <v>0</v>
      </c>
      <c r="M13" s="1040" t="str">
        <f>IF(M11=0,"","Ht/Wt")</f>
        <v>Ht/Wt</v>
      </c>
      <c r="N13" s="1041" t="str">
        <f>VLOOKUP(M$11,FieldDuties,4,FALSE)</f>
        <v>1.10m</v>
      </c>
      <c r="O13" s="1040" t="str">
        <f>IF(O11=0,"","Ht/Wt")</f>
        <v>Ht/Wt</v>
      </c>
      <c r="P13" s="1041">
        <f>VLOOKUP(O$11,FieldDuties,4,FALSE)</f>
        <v>0</v>
      </c>
      <c r="Q13" s="1040" t="str">
        <f>IF(Q11=0,"","Ht/Wt")</f>
        <v>Ht/Wt</v>
      </c>
      <c r="R13" s="1041">
        <f>VLOOKUP(Q$11,FieldDuties,4,FALSE)</f>
        <v>0</v>
      </c>
      <c r="S13" s="1040" t="str">
        <f>IF(S11=0,"","Ht/Wt")</f>
        <v>Ht/Wt</v>
      </c>
      <c r="T13" s="1041">
        <f>VLOOKUP(S$11,FieldDuties,4,FALSE)</f>
        <v>0</v>
      </c>
      <c r="U13" s="1040" t="str">
        <f>IF(U11=0,"","Ht/Wt")</f>
        <v>Ht/Wt</v>
      </c>
      <c r="V13" s="1041" t="str">
        <f>VLOOKUP(U$11,FieldDuties,4,FALSE)</f>
        <v>5.00Kg</v>
      </c>
      <c r="W13" s="1040" t="str">
        <f>IF(W11=0,"","Ht/Wt")</f>
        <v>Ht/Wt</v>
      </c>
      <c r="X13" s="1041" t="str">
        <f>VLOOKUP(W$11,FieldDuties,4,FALSE)</f>
        <v>500gm(U18)</v>
      </c>
      <c r="Z13">
        <f>Q11</f>
        <v>6</v>
      </c>
      <c r="AE13">
        <f>Q15</f>
        <v>21</v>
      </c>
    </row>
    <row r="14" spans="1:31" ht="20.25" customHeight="1" x14ac:dyDescent="0.3">
      <c r="A14" s="1028">
        <v>12</v>
      </c>
      <c r="B14" s="1029">
        <f t="shared" si="0"/>
        <v>12.15</v>
      </c>
      <c r="C14" s="1030" t="str">
        <f t="shared" si="1"/>
        <v>Discus Match 2</v>
      </c>
      <c r="D14" s="1031" t="str">
        <f t="shared" si="2"/>
        <v>1.00Kg</v>
      </c>
      <c r="E14" s="1032" t="str">
        <f t="shared" si="3"/>
        <v>U16 Female</v>
      </c>
      <c r="F14" s="417" t="str">
        <f t="shared" si="4"/>
        <v/>
      </c>
      <c r="G14" s="1033"/>
      <c r="H14" s="669"/>
      <c r="I14" s="34" t="s">
        <v>258</v>
      </c>
      <c r="J14" s="36" t="s">
        <v>168</v>
      </c>
      <c r="K14" s="34" t="s">
        <v>258</v>
      </c>
      <c r="L14" s="36" t="s">
        <v>168</v>
      </c>
      <c r="M14" s="34" t="s">
        <v>258</v>
      </c>
      <c r="N14" s="36" t="s">
        <v>168</v>
      </c>
      <c r="O14" s="34" t="s">
        <v>258</v>
      </c>
      <c r="P14" s="36" t="s">
        <v>168</v>
      </c>
      <c r="Q14" s="34" t="s">
        <v>258</v>
      </c>
      <c r="R14" s="36" t="s">
        <v>168</v>
      </c>
      <c r="S14" s="34" t="s">
        <v>258</v>
      </c>
      <c r="T14" s="36" t="s">
        <v>168</v>
      </c>
      <c r="U14" s="34" t="s">
        <v>258</v>
      </c>
      <c r="V14" s="36" t="s">
        <v>168</v>
      </c>
      <c r="W14" s="34" t="s">
        <v>258</v>
      </c>
      <c r="X14" s="36" t="s">
        <v>168</v>
      </c>
      <c r="Z14">
        <f>S11</f>
        <v>7</v>
      </c>
    </row>
    <row r="15" spans="1:31" ht="20.25" customHeight="1" x14ac:dyDescent="0.3">
      <c r="A15" s="1042">
        <v>13</v>
      </c>
      <c r="B15" s="1043">
        <f t="shared" si="0"/>
        <v>12.15</v>
      </c>
      <c r="C15" s="1044" t="str">
        <f t="shared" si="1"/>
        <v>Javelin (U18) Match 1 &amp; 3</v>
      </c>
      <c r="D15" s="1232" t="str">
        <f t="shared" si="2"/>
        <v>500gm(U18)</v>
      </c>
      <c r="E15" s="1045" t="str">
        <f t="shared" si="3"/>
        <v>U18 Female</v>
      </c>
      <c r="F15" s="1046" t="str">
        <f t="shared" si="4"/>
        <v>Ok</v>
      </c>
      <c r="G15" s="1033"/>
      <c r="H15" s="670"/>
      <c r="I15" s="1166">
        <v>17</v>
      </c>
      <c r="J15" s="1034">
        <f>VLOOKUP(I15,FieldDuties,2,FALSE)</f>
        <v>12.3</v>
      </c>
      <c r="K15" s="1166">
        <v>16</v>
      </c>
      <c r="L15" s="1034">
        <f>VLOOKUP(K15,FieldDuties,2,FALSE)</f>
        <v>12.3</v>
      </c>
      <c r="M15" s="1166">
        <v>0</v>
      </c>
      <c r="N15" s="1034">
        <f>VLOOKUP(M15,FieldDuties,2,FALSE)</f>
        <v>0</v>
      </c>
      <c r="O15" s="1166">
        <v>0</v>
      </c>
      <c r="P15" s="1034">
        <f>VLOOKUP(O15,FieldDuties,2,FALSE)</f>
        <v>0</v>
      </c>
      <c r="Q15" s="1166">
        <v>21</v>
      </c>
      <c r="R15" s="1034">
        <f>VLOOKUP(Q15,FieldDuties,2,FALSE)</f>
        <v>1</v>
      </c>
      <c r="S15" s="1166">
        <v>22</v>
      </c>
      <c r="T15" s="1034">
        <f>VLOOKUP(S15,FieldDuties,2,FALSE)</f>
        <v>1</v>
      </c>
      <c r="U15" s="1166">
        <v>24</v>
      </c>
      <c r="V15" s="1034">
        <f>VLOOKUP(U15,FieldDuties,2,FALSE)</f>
        <v>1</v>
      </c>
      <c r="W15" s="1166">
        <v>0</v>
      </c>
      <c r="X15" s="1034">
        <f>VLOOKUP(W15,FieldDuties,2,FALSE)</f>
        <v>0</v>
      </c>
      <c r="Z15">
        <f>U11</f>
        <v>11</v>
      </c>
    </row>
    <row r="16" spans="1:31" ht="20.25" customHeight="1" x14ac:dyDescent="0.3">
      <c r="A16" s="1028">
        <v>16</v>
      </c>
      <c r="B16" s="1029">
        <f t="shared" si="0"/>
        <v>12.3</v>
      </c>
      <c r="C16" s="1030" t="str">
        <f t="shared" si="1"/>
        <v>Long Jump Pit 1</v>
      </c>
      <c r="D16" s="1231">
        <f t="shared" si="2"/>
        <v>0</v>
      </c>
      <c r="E16" s="1032" t="str">
        <f t="shared" si="3"/>
        <v>U12 Male</v>
      </c>
      <c r="F16" s="417" t="str">
        <f t="shared" si="4"/>
        <v>Ok</v>
      </c>
      <c r="G16" s="1033"/>
      <c r="H16" s="68" t="s">
        <v>440</v>
      </c>
      <c r="I16" s="1038" t="str">
        <f>LEFT(VLOOKUP(I15,FieldDuties,3,FALSE),9)</f>
        <v>High Jump</v>
      </c>
      <c r="J16" s="1039" t="str">
        <f>LEFT(VLOOKUP(I15,FieldDuties,5,FALSE),5)</f>
        <v>U16 F</v>
      </c>
      <c r="K16" s="1038" t="str">
        <f>LEFT(VLOOKUP(K15,FieldDuties,3,FALSE),9)</f>
        <v>Long Jump</v>
      </c>
      <c r="L16" s="1039" t="str">
        <f>LEFT(VLOOKUP(K15,FieldDuties,5,FALSE),5)</f>
        <v>U12 M</v>
      </c>
      <c r="M16" s="1038" t="str">
        <f>LEFT(VLOOKUP(M15,FieldDuties,3,FALSE),9)</f>
        <v/>
      </c>
      <c r="N16" s="1039" t="str">
        <f>LEFT(VLOOKUP(M15,FieldDuties,5,FALSE),5)</f>
        <v/>
      </c>
      <c r="O16" s="1038" t="str">
        <f>LEFT(VLOOKUP(O15,FieldDuties,3,FALSE),9)</f>
        <v/>
      </c>
      <c r="P16" s="1039" t="str">
        <f>LEFT(VLOOKUP(O15,FieldDuties,5,FALSE),5)</f>
        <v/>
      </c>
      <c r="Q16" s="1038" t="str">
        <f>LEFT(VLOOKUP(Q15,FieldDuties,3,FALSE),9)</f>
        <v>Long Jump</v>
      </c>
      <c r="R16" s="1039" t="str">
        <f>LEFT(VLOOKUP(Q15,FieldDuties,5,FALSE),5)</f>
        <v>U16 F</v>
      </c>
      <c r="S16" s="1038" t="str">
        <f>LEFT(VLOOKUP(S15,FieldDuties,3,FALSE),9)</f>
        <v xml:space="preserve">Shot </v>
      </c>
      <c r="T16" s="1039" t="str">
        <f>LEFT(VLOOKUP(S15,FieldDuties,5,FALSE),5)</f>
        <v>U16 M</v>
      </c>
      <c r="U16" s="1038" t="str">
        <f>LEFT(VLOOKUP(U15,FieldDuties,3,FALSE),9)</f>
        <v>Javelin M</v>
      </c>
      <c r="V16" s="1039" t="str">
        <f>LEFT(VLOOKUP(U15,FieldDuties,5,FALSE),5)</f>
        <v>U14 M</v>
      </c>
      <c r="W16" s="1038" t="str">
        <f>LEFT(VLOOKUP(W15,FieldDuties,3,FALSE),9)</f>
        <v/>
      </c>
      <c r="X16" s="1039" t="str">
        <f>LEFT(VLOOKUP(W15,FieldDuties,5,FALSE),5)</f>
        <v/>
      </c>
      <c r="Z16">
        <f>W11</f>
        <v>13</v>
      </c>
    </row>
    <row r="17" spans="1:26" ht="20.25" customHeight="1" thickBot="1" x14ac:dyDescent="0.35">
      <c r="A17" s="1028">
        <v>17</v>
      </c>
      <c r="B17" s="1029">
        <f t="shared" si="0"/>
        <v>12.3</v>
      </c>
      <c r="C17" s="1030" t="str">
        <f t="shared" si="1"/>
        <v xml:space="preserve">High Jump </v>
      </c>
      <c r="D17" s="1031" t="str">
        <f t="shared" si="2"/>
        <v>1.10m</v>
      </c>
      <c r="E17" s="1032" t="str">
        <f t="shared" si="3"/>
        <v>U16 Female</v>
      </c>
      <c r="F17" s="417" t="str">
        <f t="shared" si="4"/>
        <v>Ok</v>
      </c>
      <c r="G17" s="1033"/>
      <c r="H17" s="503"/>
      <c r="I17" s="1040" t="str">
        <f>IF(I15=0,"","Ht/Wt")</f>
        <v>Ht/Wt</v>
      </c>
      <c r="J17" s="1041" t="str">
        <f>VLOOKUP(I15,FieldDuties,4,FALSE)</f>
        <v>1.10m</v>
      </c>
      <c r="K17" s="1040" t="str">
        <f>IF(K15=0,"","Ht/Wt")</f>
        <v>Ht/Wt</v>
      </c>
      <c r="L17" s="1041">
        <f>VLOOKUP(K15,FieldDuties,4,FALSE)</f>
        <v>0</v>
      </c>
      <c r="M17" s="1040" t="str">
        <f>IF(M15=0,"","Ht/Wt")</f>
        <v/>
      </c>
      <c r="N17" s="1041">
        <f>VLOOKUP(M15,FieldDuties,4,FALSE)</f>
        <v>0</v>
      </c>
      <c r="O17" s="1040" t="str">
        <f>IF(O15=0,"","Ht/Wt")</f>
        <v/>
      </c>
      <c r="P17" s="1041">
        <f>VLOOKUP(O15,FieldDuties,4,FALSE)</f>
        <v>0</v>
      </c>
      <c r="Q17" s="1040" t="str">
        <f>IF(Q15=0,"","Ht/Wt")</f>
        <v>Ht/Wt</v>
      </c>
      <c r="R17" s="1041">
        <f>VLOOKUP(Q15,FieldDuties,4,FALSE)</f>
        <v>0</v>
      </c>
      <c r="S17" s="1040" t="str">
        <f>IF(S15=0,"","Ht/Wt")</f>
        <v>Ht/Wt</v>
      </c>
      <c r="T17" s="1041" t="str">
        <f>VLOOKUP(S15,FieldDuties,4,FALSE)</f>
        <v>4.00Kg</v>
      </c>
      <c r="U17" s="1040" t="str">
        <f>IF(U15=0,"","Ht/Wt")</f>
        <v>Ht/Wt</v>
      </c>
      <c r="V17" s="1041" t="str">
        <f>VLOOKUP(U15,FieldDuties,4,FALSE)</f>
        <v>500gm</v>
      </c>
      <c r="W17" s="1040" t="str">
        <f>IF(W15=0,"","Ht/Wt")</f>
        <v/>
      </c>
      <c r="X17" s="1041">
        <f>VLOOKUP(W15,FieldDuties,4,FALSE)</f>
        <v>0</v>
      </c>
      <c r="Z17">
        <f>I15</f>
        <v>17</v>
      </c>
    </row>
    <row r="18" spans="1:26" ht="20.25" customHeight="1" x14ac:dyDescent="0.3">
      <c r="A18" s="1028">
        <v>21</v>
      </c>
      <c r="B18" s="1029">
        <f t="shared" si="0"/>
        <v>1</v>
      </c>
      <c r="C18" s="1030" t="str">
        <f t="shared" si="1"/>
        <v>Long Jump Pit 2</v>
      </c>
      <c r="D18" s="1031">
        <f t="shared" si="2"/>
        <v>0</v>
      </c>
      <c r="E18" s="1032" t="str">
        <f t="shared" si="3"/>
        <v>U16 Female</v>
      </c>
      <c r="F18" s="417" t="str">
        <f t="shared" si="4"/>
        <v>Ok</v>
      </c>
      <c r="G18" s="1033"/>
      <c r="H18" s="669"/>
      <c r="I18" s="34" t="s">
        <v>258</v>
      </c>
      <c r="J18" s="36" t="s">
        <v>168</v>
      </c>
      <c r="K18" s="34" t="s">
        <v>258</v>
      </c>
      <c r="L18" s="36" t="s">
        <v>168</v>
      </c>
      <c r="M18" s="34" t="s">
        <v>258</v>
      </c>
      <c r="N18" s="36" t="s">
        <v>168</v>
      </c>
      <c r="O18" s="34" t="s">
        <v>258</v>
      </c>
      <c r="P18" s="36" t="s">
        <v>168</v>
      </c>
      <c r="Q18" s="34" t="s">
        <v>258</v>
      </c>
      <c r="R18" s="36" t="s">
        <v>168</v>
      </c>
      <c r="S18" s="34" t="s">
        <v>258</v>
      </c>
      <c r="T18" s="36" t="s">
        <v>168</v>
      </c>
      <c r="U18" s="34" t="s">
        <v>258</v>
      </c>
      <c r="V18" s="36" t="s">
        <v>168</v>
      </c>
      <c r="W18" s="34" t="s">
        <v>258</v>
      </c>
      <c r="X18" s="36" t="s">
        <v>168</v>
      </c>
      <c r="Z18">
        <f>K15</f>
        <v>16</v>
      </c>
    </row>
    <row r="19" spans="1:26" ht="20.25" customHeight="1" x14ac:dyDescent="0.3">
      <c r="A19" s="1035">
        <v>22</v>
      </c>
      <c r="B19" s="1036">
        <f t="shared" si="0"/>
        <v>1</v>
      </c>
      <c r="C19" s="1037" t="str">
        <f t="shared" si="1"/>
        <v xml:space="preserve">Shot </v>
      </c>
      <c r="D19" s="1031" t="str">
        <f t="shared" si="2"/>
        <v>4.00Kg</v>
      </c>
      <c r="E19" s="1032" t="str">
        <f t="shared" si="3"/>
        <v>U16 Male</v>
      </c>
      <c r="F19" s="417" t="str">
        <f t="shared" si="4"/>
        <v>Ok</v>
      </c>
      <c r="G19" s="1033"/>
      <c r="H19" s="670"/>
      <c r="I19" s="1166">
        <v>30</v>
      </c>
      <c r="J19" s="1034">
        <f>VLOOKUP(I19,FieldDuties,2,FALSE)</f>
        <v>1.3</v>
      </c>
      <c r="K19" s="1166">
        <v>0</v>
      </c>
      <c r="L19" s="1034">
        <f>VLOOKUP(K19,FieldDuties,2,FALSE)</f>
        <v>0</v>
      </c>
      <c r="M19" s="1166">
        <v>29</v>
      </c>
      <c r="N19" s="1034">
        <f>VLOOKUP(M19,FieldDuties,2,FALSE)</f>
        <v>1.3</v>
      </c>
      <c r="O19" s="1166">
        <v>0</v>
      </c>
      <c r="P19" s="1034">
        <f>VLOOKUP(O19,FieldDuties,2,FALSE)</f>
        <v>0</v>
      </c>
      <c r="Q19" s="1166">
        <v>35</v>
      </c>
      <c r="R19" s="1034">
        <f>VLOOKUP(Q19,FieldDuties,2,FALSE)</f>
        <v>1.5</v>
      </c>
      <c r="S19" s="1166">
        <v>0</v>
      </c>
      <c r="T19" s="1034">
        <f>VLOOKUP(S19,FieldDuties,2,FALSE)</f>
        <v>0</v>
      </c>
      <c r="U19" s="1166">
        <v>37</v>
      </c>
      <c r="V19" s="1034">
        <f>VLOOKUP(U19,FieldDuties,2,FALSE)</f>
        <v>1.5</v>
      </c>
      <c r="W19" s="1166">
        <v>0</v>
      </c>
      <c r="X19" s="1034">
        <f>VLOOKUP(W19,FieldDuties,2,FALSE)</f>
        <v>0</v>
      </c>
      <c r="Z19">
        <f>M15</f>
        <v>0</v>
      </c>
    </row>
    <row r="20" spans="1:26" ht="20.25" customHeight="1" x14ac:dyDescent="0.3">
      <c r="A20" s="1028">
        <v>23</v>
      </c>
      <c r="B20" s="1029">
        <f t="shared" si="0"/>
        <v>1</v>
      </c>
      <c r="C20" s="1030" t="str">
        <f t="shared" si="1"/>
        <v>Discus (U18) Match 2</v>
      </c>
      <c r="D20" s="1031" t="str">
        <f t="shared" si="2"/>
        <v>1.5kg</v>
      </c>
      <c r="E20" s="1032" t="str">
        <f t="shared" si="3"/>
        <v>U18 Men</v>
      </c>
      <c r="F20" s="417" t="str">
        <f t="shared" si="4"/>
        <v/>
      </c>
      <c r="G20" s="1033"/>
      <c r="H20" s="68" t="s">
        <v>441</v>
      </c>
      <c r="I20" s="1038" t="str">
        <f>LEFT(VLOOKUP(I19,FieldDuties,3,FALSE),9)</f>
        <v>Long Jump</v>
      </c>
      <c r="J20" s="1039" t="str">
        <f>LEFT(VLOOKUP(I19,FieldDuties,5,FALSE),5)</f>
        <v>U18 M</v>
      </c>
      <c r="K20" s="1038" t="str">
        <f>LEFT(VLOOKUP(K19,FieldDuties,3,FALSE),9)</f>
        <v/>
      </c>
      <c r="L20" s="1039" t="str">
        <f>LEFT(VLOOKUP(K19,FieldDuties,5,FALSE),5)</f>
        <v/>
      </c>
      <c r="M20" s="1038" t="str">
        <f>LEFT(VLOOKUP(M19,FieldDuties,3,FALSE),9)</f>
        <v>High Jump</v>
      </c>
      <c r="N20" s="1039" t="str">
        <f>LEFT(VLOOKUP(M19,FieldDuties,5,FALSE),5)</f>
        <v>U14 F</v>
      </c>
      <c r="O20" s="1038" t="str">
        <f>LEFT(VLOOKUP(O19,FieldDuties,3,FALSE),9)</f>
        <v/>
      </c>
      <c r="P20" s="1039" t="str">
        <f>LEFT(VLOOKUP(O19,FieldDuties,5,FALSE),5)</f>
        <v/>
      </c>
      <c r="Q20" s="1038" t="str">
        <f>LEFT(VLOOKUP(Q19,FieldDuties,3,FALSE),9)</f>
        <v>Shot (U18</v>
      </c>
      <c r="R20" s="1039" t="str">
        <f>LEFT(VLOOKUP(Q19,FieldDuties,5,FALSE),5)</f>
        <v>U18 F</v>
      </c>
      <c r="S20" s="1038" t="str">
        <f>LEFT(VLOOKUP(S19,FieldDuties,3,FALSE),9)</f>
        <v/>
      </c>
      <c r="T20" s="1039" t="str">
        <f>LEFT(VLOOKUP(S19,FieldDuties,5,FALSE),5)</f>
        <v/>
      </c>
      <c r="U20" s="1038" t="str">
        <f>LEFT(VLOOKUP(U19,FieldDuties,3,FALSE),9)</f>
        <v>Javelin M</v>
      </c>
      <c r="V20" s="1039" t="str">
        <f>LEFT(VLOOKUP(U19,FieldDuties,5,FALSE),5)</f>
        <v>U16 M</v>
      </c>
      <c r="W20" s="1038" t="str">
        <f>LEFT(VLOOKUP(W19,FieldDuties,3,FALSE),9)</f>
        <v/>
      </c>
      <c r="X20" s="1039" t="str">
        <f>LEFT(VLOOKUP(W19,FieldDuties,5,FALSE),5)</f>
        <v/>
      </c>
      <c r="Z20">
        <f>O15</f>
        <v>0</v>
      </c>
    </row>
    <row r="21" spans="1:26" ht="20.25" customHeight="1" thickBot="1" x14ac:dyDescent="0.35">
      <c r="A21" s="1042">
        <v>24</v>
      </c>
      <c r="B21" s="1043">
        <f t="shared" si="0"/>
        <v>1</v>
      </c>
      <c r="C21" s="1044" t="str">
        <f t="shared" si="1"/>
        <v>Javelin Match 1 &amp; 3</v>
      </c>
      <c r="D21" s="1047" t="str">
        <f t="shared" si="2"/>
        <v>500gm</v>
      </c>
      <c r="E21" s="1048" t="str">
        <f t="shared" si="3"/>
        <v>U14 Male</v>
      </c>
      <c r="F21" s="1046" t="str">
        <f t="shared" si="4"/>
        <v>Ok</v>
      </c>
      <c r="G21" s="1033"/>
      <c r="H21" s="503"/>
      <c r="I21" s="1040" t="str">
        <f>IF(I19=0,"","Ht/Wt")</f>
        <v>Ht/Wt</v>
      </c>
      <c r="J21" s="1041">
        <f>VLOOKUP(I19,FieldDuties,4,FALSE)</f>
        <v>0</v>
      </c>
      <c r="K21" s="1040" t="str">
        <f>IF(K19=0,"","Ht/Wt")</f>
        <v/>
      </c>
      <c r="L21" s="1041">
        <f>VLOOKUP(K19,FieldDuties,4,FALSE)</f>
        <v>0</v>
      </c>
      <c r="M21" s="1040" t="str">
        <f>IF(M19=0,"","Ht/Wt")</f>
        <v>Ht/Wt</v>
      </c>
      <c r="N21" s="1041" t="str">
        <f>VLOOKUP(M19,FieldDuties,4,FALSE)</f>
        <v>1.00m</v>
      </c>
      <c r="O21" s="1040" t="str">
        <f>IF(O19=0,"","Ht/Wt")</f>
        <v/>
      </c>
      <c r="P21" s="1041">
        <f>VLOOKUP(O19,FieldDuties,4,FALSE)</f>
        <v>0</v>
      </c>
      <c r="Q21" s="1040" t="str">
        <f>IF(Q19=0,"","Ht/Wt")</f>
        <v>Ht/Wt</v>
      </c>
      <c r="R21" s="1041" t="str">
        <f>VLOOKUP(Q19,FieldDuties,4,FALSE)</f>
        <v>3Kg(u18)</v>
      </c>
      <c r="S21" s="1040" t="str">
        <f>IF(S19=0,"","Ht/Wt")</f>
        <v/>
      </c>
      <c r="T21" s="1041">
        <f>VLOOKUP(S19,FieldDuties,4,FALSE)</f>
        <v>0</v>
      </c>
      <c r="U21" s="1040" t="str">
        <f>IF(U19=0,"","Ht/Wt")</f>
        <v>Ht/Wt</v>
      </c>
      <c r="V21" s="1041" t="str">
        <f>VLOOKUP(U19,FieldDuties,4,FALSE)</f>
        <v>600gm</v>
      </c>
      <c r="W21" s="1040" t="str">
        <f>IF(W19=0,"","Ht/Wt")</f>
        <v/>
      </c>
      <c r="X21" s="1041">
        <f>VLOOKUP(W19,FieldDuties,4,FALSE)</f>
        <v>0</v>
      </c>
      <c r="Z21">
        <f>Q15</f>
        <v>21</v>
      </c>
    </row>
    <row r="22" spans="1:26" ht="20.25" customHeight="1" x14ac:dyDescent="0.3">
      <c r="A22" s="1028">
        <v>29</v>
      </c>
      <c r="B22" s="1029">
        <f t="shared" si="0"/>
        <v>1.3</v>
      </c>
      <c r="C22" s="1030" t="str">
        <f t="shared" si="1"/>
        <v xml:space="preserve">High Jump </v>
      </c>
      <c r="D22" s="1049" t="str">
        <f t="shared" si="2"/>
        <v>1.00m</v>
      </c>
      <c r="E22" s="1050" t="str">
        <f t="shared" si="3"/>
        <v>U14 Female</v>
      </c>
      <c r="F22" s="417" t="str">
        <f t="shared" si="4"/>
        <v>Ok</v>
      </c>
      <c r="G22" s="1033"/>
      <c r="H22" s="669"/>
      <c r="I22" s="34" t="s">
        <v>258</v>
      </c>
      <c r="J22" s="36" t="s">
        <v>168</v>
      </c>
      <c r="K22" s="34" t="s">
        <v>258</v>
      </c>
      <c r="L22" s="36" t="s">
        <v>168</v>
      </c>
      <c r="M22" s="34" t="s">
        <v>258</v>
      </c>
      <c r="N22" s="36" t="s">
        <v>168</v>
      </c>
      <c r="O22" s="34" t="s">
        <v>258</v>
      </c>
      <c r="P22" s="36" t="s">
        <v>168</v>
      </c>
      <c r="Q22" s="34" t="s">
        <v>258</v>
      </c>
      <c r="R22" s="36" t="s">
        <v>168</v>
      </c>
      <c r="S22" s="34" t="s">
        <v>258</v>
      </c>
      <c r="T22" s="36" t="s">
        <v>168</v>
      </c>
      <c r="U22" s="34" t="s">
        <v>258</v>
      </c>
      <c r="V22" s="36" t="s">
        <v>168</v>
      </c>
      <c r="W22" s="34" t="s">
        <v>258</v>
      </c>
      <c r="X22" s="36" t="s">
        <v>168</v>
      </c>
      <c r="Z22">
        <f>S15</f>
        <v>22</v>
      </c>
    </row>
    <row r="23" spans="1:26" ht="20.25" customHeight="1" x14ac:dyDescent="0.3">
      <c r="A23" s="1028">
        <v>30</v>
      </c>
      <c r="B23" s="1029">
        <f t="shared" si="0"/>
        <v>1.3</v>
      </c>
      <c r="C23" s="1030" t="str">
        <f t="shared" si="1"/>
        <v>Long Jump (U18/20) Pit1</v>
      </c>
      <c r="D23" s="1049">
        <f t="shared" si="2"/>
        <v>0</v>
      </c>
      <c r="E23" s="1050" t="str">
        <f t="shared" si="3"/>
        <v>U18 Men</v>
      </c>
      <c r="F23" s="417" t="str">
        <f t="shared" si="4"/>
        <v>Ok</v>
      </c>
      <c r="G23" s="1033"/>
      <c r="H23" s="670"/>
      <c r="I23" s="1166">
        <v>0</v>
      </c>
      <c r="J23" s="1034">
        <f>VLOOKUP(I23,FieldDuties,2,FALSE)</f>
        <v>0</v>
      </c>
      <c r="K23" s="1166">
        <v>45</v>
      </c>
      <c r="L23" s="1034">
        <f>VLOOKUP(K23,FieldDuties,2,FALSE)</f>
        <v>2.2999999999999998</v>
      </c>
      <c r="M23" s="1166">
        <v>47</v>
      </c>
      <c r="N23" s="1034">
        <f>VLOOKUP(M23,FieldDuties,2,FALSE)</f>
        <v>2.4</v>
      </c>
      <c r="O23" s="1166">
        <v>40</v>
      </c>
      <c r="P23" s="1034">
        <f>VLOOKUP(O23,FieldDuties,2,FALSE)</f>
        <v>2.1</v>
      </c>
      <c r="Q23" s="1166">
        <v>0</v>
      </c>
      <c r="R23" s="1034">
        <f>VLOOKUP(Q23,FieldDuties,2,FALSE)</f>
        <v>0</v>
      </c>
      <c r="S23" s="1166">
        <v>49</v>
      </c>
      <c r="T23" s="1034">
        <f>VLOOKUP(S23,FieldDuties,2,FALSE)</f>
        <v>2.4</v>
      </c>
      <c r="U23" s="1166">
        <v>0</v>
      </c>
      <c r="V23" s="1034">
        <f>VLOOKUP(U23,FieldDuties,2,FALSE)</f>
        <v>0</v>
      </c>
      <c r="W23" s="1166">
        <v>52</v>
      </c>
      <c r="X23" s="1034">
        <f>VLOOKUP(W23,FieldDuties,2,FALSE)</f>
        <v>2.5</v>
      </c>
      <c r="Z23">
        <f>U15</f>
        <v>24</v>
      </c>
    </row>
    <row r="24" spans="1:26" ht="20.25" customHeight="1" x14ac:dyDescent="0.3">
      <c r="A24" s="1028">
        <v>35</v>
      </c>
      <c r="B24" s="1029">
        <f t="shared" si="0"/>
        <v>1.5</v>
      </c>
      <c r="C24" s="1030" t="str">
        <f t="shared" si="1"/>
        <v xml:space="preserve">Shot (U18) </v>
      </c>
      <c r="D24" s="1049" t="str">
        <f t="shared" si="2"/>
        <v>3Kg(u18)</v>
      </c>
      <c r="E24" s="1050" t="str">
        <f t="shared" si="3"/>
        <v>U18 Female</v>
      </c>
      <c r="F24" s="417" t="str">
        <f t="shared" si="4"/>
        <v>Ok</v>
      </c>
      <c r="G24" s="1033"/>
      <c r="H24" s="68" t="s">
        <v>442</v>
      </c>
      <c r="I24" s="1038" t="str">
        <f>LEFT(VLOOKUP(I23,FieldDuties,3,FALSE),9)</f>
        <v/>
      </c>
      <c r="J24" s="1039" t="str">
        <f>LEFT(VLOOKUP(I23,FieldDuties,5,FALSE),5)</f>
        <v/>
      </c>
      <c r="K24" s="1038" t="str">
        <f>LEFT(VLOOKUP(K23,FieldDuties,3,FALSE),9)</f>
        <v>High Jump</v>
      </c>
      <c r="L24" s="1039" t="str">
        <f>LEFT(VLOOKUP(K23,FieldDuties,5,FALSE),5)</f>
        <v>U16 M</v>
      </c>
      <c r="M24" s="1038" t="str">
        <f>LEFT(VLOOKUP(M23,FieldDuties,3,FALSE),9)</f>
        <v xml:space="preserve">Shot </v>
      </c>
      <c r="N24" s="1039" t="str">
        <f>LEFT(VLOOKUP(M23,FieldDuties,5,FALSE),5)</f>
        <v>U14 M</v>
      </c>
      <c r="O24" s="1038" t="str">
        <f>LEFT(VLOOKUP(O23,FieldDuties,3,FALSE),9)</f>
        <v>Long Jump</v>
      </c>
      <c r="P24" s="1039" t="str">
        <f>LEFT(VLOOKUP(O23,FieldDuties,5,FALSE),5)</f>
        <v>U12 F</v>
      </c>
      <c r="Q24" s="1038" t="str">
        <f>LEFT(VLOOKUP(Q23,FieldDuties,3,FALSE),9)</f>
        <v/>
      </c>
      <c r="R24" s="1039" t="str">
        <f>LEFT(VLOOKUP(Q23,FieldDuties,5,FALSE),5)</f>
        <v/>
      </c>
      <c r="S24" s="1038" t="str">
        <f>LEFT(VLOOKUP(S23,FieldDuties,3,FALSE),9)</f>
        <v>Javelin M</v>
      </c>
      <c r="T24" s="1039" t="str">
        <f>LEFT(VLOOKUP(S23,FieldDuties,5,FALSE),5)</f>
        <v>U16 F</v>
      </c>
      <c r="U24" s="1038" t="str">
        <f>LEFT(VLOOKUP(U23,FieldDuties,3,FALSE),9)</f>
        <v/>
      </c>
      <c r="V24" s="1039" t="str">
        <f>LEFT(VLOOKUP(U23,FieldDuties,5,FALSE),5)</f>
        <v/>
      </c>
      <c r="W24" s="1038" t="str">
        <f>LEFT(VLOOKUP(W23,FieldDuties,3,FALSE),9)</f>
        <v>Long Jump</v>
      </c>
      <c r="X24" s="1039" t="str">
        <f>LEFT(VLOOKUP(W23,FieldDuties,5,FALSE),5)</f>
        <v>U14 F</v>
      </c>
      <c r="Z24">
        <f>W15</f>
        <v>0</v>
      </c>
    </row>
    <row r="25" spans="1:26" ht="20.25" customHeight="1" thickBot="1" x14ac:dyDescent="0.35">
      <c r="A25" s="1028">
        <v>36</v>
      </c>
      <c r="B25" s="1029">
        <f t="shared" si="0"/>
        <v>1.5</v>
      </c>
      <c r="C25" s="1030" t="str">
        <f t="shared" si="1"/>
        <v>Discus Match 2</v>
      </c>
      <c r="D25" s="1049" t="str">
        <f t="shared" si="2"/>
        <v>0.75Kg</v>
      </c>
      <c r="E25" s="1050" t="str">
        <f t="shared" si="3"/>
        <v>U14 Female</v>
      </c>
      <c r="F25" s="417" t="str">
        <f t="shared" si="4"/>
        <v/>
      </c>
      <c r="G25" s="1033"/>
      <c r="H25" s="503"/>
      <c r="I25" s="1040" t="str">
        <f>IF(I23=0,"","Ht/Wt")</f>
        <v/>
      </c>
      <c r="J25" s="1041">
        <f>VLOOKUP(I23,FieldDuties,4,FALSE)</f>
        <v>0</v>
      </c>
      <c r="K25" s="1040" t="str">
        <f>IF(K23=0,"","Ht/Wt")</f>
        <v>Ht/Wt</v>
      </c>
      <c r="L25" s="1041" t="str">
        <f>VLOOKUP(K23,FieldDuties,4,FALSE)</f>
        <v>1.20m</v>
      </c>
      <c r="M25" s="1040" t="str">
        <f>IF(M23=0,"","Ht/Wt")</f>
        <v>Ht/Wt</v>
      </c>
      <c r="N25" s="1041" t="str">
        <f>VLOOKUP(M23,FieldDuties,4,FALSE)</f>
        <v>3 Kg</v>
      </c>
      <c r="O25" s="1040" t="str">
        <f>IF(O23=0,"","Ht/Wt")</f>
        <v>Ht/Wt</v>
      </c>
      <c r="P25" s="1041">
        <f>VLOOKUP(O23,FieldDuties,4,FALSE)</f>
        <v>0</v>
      </c>
      <c r="Q25" s="1040" t="str">
        <f>IF(Q23=0,"","Ht/Wt")</f>
        <v/>
      </c>
      <c r="R25" s="1041">
        <f>VLOOKUP(Q23,FieldDuties,4,FALSE)</f>
        <v>0</v>
      </c>
      <c r="S25" s="1040" t="str">
        <f>IF(S23=0,"","Ht/Wt")</f>
        <v>Ht/Wt</v>
      </c>
      <c r="T25" s="1041" t="str">
        <f>VLOOKUP(S23,FieldDuties,4,FALSE)</f>
        <v>500gm</v>
      </c>
      <c r="U25" s="1040" t="str">
        <f>IF(U23=0,"","Ht/Wt")</f>
        <v/>
      </c>
      <c r="V25" s="1041">
        <f>VLOOKUP(U23,FieldDuties,4,FALSE)</f>
        <v>0</v>
      </c>
      <c r="W25" s="1040" t="str">
        <f>IF(W23=0,"","Ht/Wt")</f>
        <v>Ht/Wt</v>
      </c>
      <c r="X25" s="1041">
        <f>VLOOKUP(W23,FieldDuties,4,FALSE)</f>
        <v>0</v>
      </c>
      <c r="Z25">
        <f>I19</f>
        <v>30</v>
      </c>
    </row>
    <row r="26" spans="1:26" ht="20.25" customHeight="1" x14ac:dyDescent="0.3">
      <c r="A26" s="1042">
        <v>37</v>
      </c>
      <c r="B26" s="1043">
        <f t="shared" si="0"/>
        <v>1.5</v>
      </c>
      <c r="C26" s="1044" t="str">
        <f t="shared" si="1"/>
        <v>Javelin Match 1 &amp; 3</v>
      </c>
      <c r="D26" s="1047" t="str">
        <f t="shared" si="2"/>
        <v>600gm</v>
      </c>
      <c r="E26" s="1048" t="str">
        <f t="shared" si="3"/>
        <v>U16 Male</v>
      </c>
      <c r="F26" s="1046" t="str">
        <f t="shared" si="4"/>
        <v>Ok</v>
      </c>
      <c r="G26" s="1033"/>
      <c r="H26" s="669"/>
      <c r="I26" s="34" t="s">
        <v>258</v>
      </c>
      <c r="J26" s="36" t="s">
        <v>168</v>
      </c>
      <c r="K26" s="34" t="s">
        <v>258</v>
      </c>
      <c r="L26" s="36" t="s">
        <v>168</v>
      </c>
      <c r="M26" s="34" t="s">
        <v>258</v>
      </c>
      <c r="N26" s="36" t="s">
        <v>168</v>
      </c>
      <c r="O26" s="34" t="s">
        <v>258</v>
      </c>
      <c r="P26" s="36" t="s">
        <v>168</v>
      </c>
      <c r="Q26" s="34" t="s">
        <v>258</v>
      </c>
      <c r="R26" s="36" t="s">
        <v>168</v>
      </c>
      <c r="S26" s="34" t="s">
        <v>258</v>
      </c>
      <c r="T26" s="36" t="s">
        <v>168</v>
      </c>
      <c r="U26" s="34" t="s">
        <v>258</v>
      </c>
      <c r="V26" s="36" t="s">
        <v>168</v>
      </c>
      <c r="W26" s="34" t="s">
        <v>258</v>
      </c>
      <c r="X26" s="36" t="s">
        <v>168</v>
      </c>
      <c r="Z26">
        <f>K19</f>
        <v>0</v>
      </c>
    </row>
    <row r="27" spans="1:26" ht="20.25" customHeight="1" x14ac:dyDescent="0.3">
      <c r="A27" s="1028">
        <v>40</v>
      </c>
      <c r="B27" s="1029">
        <f t="shared" si="0"/>
        <v>2.1</v>
      </c>
      <c r="C27" s="1030" t="str">
        <f t="shared" si="1"/>
        <v>Long Jump Pit 2</v>
      </c>
      <c r="D27" s="1051">
        <f t="shared" si="2"/>
        <v>0</v>
      </c>
      <c r="E27" s="1050" t="str">
        <f t="shared" si="3"/>
        <v>U12 Female</v>
      </c>
      <c r="F27" s="417" t="str">
        <f t="shared" si="4"/>
        <v>Ok</v>
      </c>
      <c r="G27" s="1033"/>
      <c r="H27" s="670"/>
      <c r="I27" s="1166">
        <v>58</v>
      </c>
      <c r="J27" s="1034">
        <f>VLOOKUP(I27,FieldDuties,2,FALSE)</f>
        <v>3.2</v>
      </c>
      <c r="K27" s="1166">
        <v>59</v>
      </c>
      <c r="L27" s="1034">
        <f>VLOOKUP(K27,FieldDuties,2,FALSE)</f>
        <v>3.3</v>
      </c>
      <c r="M27" s="1166">
        <v>61</v>
      </c>
      <c r="N27" s="1034">
        <f>VLOOKUP(M27,FieldDuties,2,FALSE)</f>
        <v>3.3</v>
      </c>
      <c r="O27" s="1166">
        <v>57</v>
      </c>
      <c r="P27" s="1034">
        <f>VLOOKUP(O27,FieldDuties,2,FALSE)</f>
        <v>3.2</v>
      </c>
      <c r="Q27" s="1166">
        <v>0</v>
      </c>
      <c r="R27" s="1034">
        <f>VLOOKUP(Q27,FieldDuties,2,FALSE)</f>
        <v>0</v>
      </c>
      <c r="S27" s="1166">
        <v>0</v>
      </c>
      <c r="T27" s="1034">
        <f>VLOOKUP(S27,FieldDuties,2,FALSE)</f>
        <v>0</v>
      </c>
      <c r="U27" s="1166"/>
      <c r="V27" s="1034">
        <f>VLOOKUP(U27,FieldDuties,2,FALSE)</f>
        <v>0</v>
      </c>
      <c r="W27" s="1166">
        <v>0</v>
      </c>
      <c r="X27" s="1034">
        <f>VLOOKUP(W27,FieldDuties,2,FALSE)</f>
        <v>0</v>
      </c>
      <c r="Z27">
        <f>M19</f>
        <v>29</v>
      </c>
    </row>
    <row r="28" spans="1:26" ht="20.25" customHeight="1" x14ac:dyDescent="0.3">
      <c r="A28" s="1028">
        <v>45</v>
      </c>
      <c r="B28" s="1029">
        <f t="shared" si="0"/>
        <v>2.2999999999999998</v>
      </c>
      <c r="C28" s="1030" t="str">
        <f t="shared" si="1"/>
        <v xml:space="preserve">High Jump </v>
      </c>
      <c r="D28" s="1049" t="str">
        <f t="shared" si="2"/>
        <v>1.20m</v>
      </c>
      <c r="E28" s="1050" t="str">
        <f t="shared" si="3"/>
        <v>U16 Male</v>
      </c>
      <c r="F28" s="417" t="str">
        <f t="shared" si="4"/>
        <v>Ok</v>
      </c>
      <c r="G28" s="1033"/>
      <c r="H28" s="68" t="s">
        <v>443</v>
      </c>
      <c r="I28" s="1038" t="str">
        <f>LEFT(VLOOKUP(I27,FieldDuties,3,FALSE),9)</f>
        <v>Long Jump</v>
      </c>
      <c r="J28" s="1039" t="str">
        <f>LEFT(VLOOKUP(I27,FieldDuties,5,FALSE),5)</f>
        <v>U14 M</v>
      </c>
      <c r="K28" s="1038" t="str">
        <f>LEFT(VLOOKUP(K27,FieldDuties,3,FALSE),9)</f>
        <v xml:space="preserve">Shot </v>
      </c>
      <c r="L28" s="1039" t="str">
        <f>LEFT(VLOOKUP(K27,FieldDuties,5,FALSE),5)</f>
        <v>U14 F</v>
      </c>
      <c r="M28" s="1038" t="str">
        <f>LEFT(VLOOKUP(M27,FieldDuties,3,FALSE),9)</f>
        <v>Javelin (</v>
      </c>
      <c r="N28" s="1039" t="str">
        <f>LEFT(VLOOKUP(M27,FieldDuties,5,FALSE),5)</f>
        <v>U18 M</v>
      </c>
      <c r="O28" s="1038" t="str">
        <f>LEFT(VLOOKUP(O27,FieldDuties,3,FALSE),9)</f>
        <v>High Jump</v>
      </c>
      <c r="P28" s="1039" t="str">
        <f>LEFT(VLOOKUP(O27,FieldDuties,5,FALSE),5)</f>
        <v>U18 F</v>
      </c>
      <c r="Q28" s="1038" t="str">
        <f>LEFT(VLOOKUP(Q27,FieldDuties,3,FALSE),9)</f>
        <v/>
      </c>
      <c r="R28" s="1039" t="str">
        <f>LEFT(VLOOKUP(Q27,FieldDuties,5,FALSE),5)</f>
        <v/>
      </c>
      <c r="S28" s="1038" t="str">
        <f>LEFT(VLOOKUP(S27,FieldDuties,3,FALSE),9)</f>
        <v/>
      </c>
      <c r="T28" s="1039" t="str">
        <f>LEFT(VLOOKUP(S27,FieldDuties,5,FALSE),5)</f>
        <v/>
      </c>
      <c r="U28" s="1038" t="str">
        <f>LEFT(VLOOKUP(U27,FieldDuties,3,FALSE),9)</f>
        <v/>
      </c>
      <c r="V28" s="1039" t="str">
        <f>LEFT(VLOOKUP(U27,FieldDuties,5,FALSE),5)</f>
        <v/>
      </c>
      <c r="W28" s="1038" t="str">
        <f>LEFT(VLOOKUP(W27,FieldDuties,3,FALSE),9)</f>
        <v/>
      </c>
      <c r="X28" s="1039" t="str">
        <f>LEFT(VLOOKUP(W27,FieldDuties,5,FALSE),5)</f>
        <v/>
      </c>
      <c r="Z28">
        <f>O19</f>
        <v>0</v>
      </c>
    </row>
    <row r="29" spans="1:26" ht="20.25" customHeight="1" thickBot="1" x14ac:dyDescent="0.35">
      <c r="A29" s="1028">
        <v>47</v>
      </c>
      <c r="B29" s="1029">
        <f t="shared" si="0"/>
        <v>2.4</v>
      </c>
      <c r="C29" s="1030" t="str">
        <f t="shared" si="1"/>
        <v xml:space="preserve">Shot </v>
      </c>
      <c r="D29" s="1049" t="str">
        <f t="shared" si="2"/>
        <v>3 Kg</v>
      </c>
      <c r="E29" s="1050" t="str">
        <f t="shared" si="3"/>
        <v>U14 Male</v>
      </c>
      <c r="F29" s="417" t="str">
        <f t="shared" si="4"/>
        <v>Ok</v>
      </c>
      <c r="G29" s="1033"/>
      <c r="H29" s="503"/>
      <c r="I29" s="1040" t="str">
        <f>IF(I27=0,"","Ht/Wt")</f>
        <v>Ht/Wt</v>
      </c>
      <c r="J29" s="1041">
        <f>VLOOKUP(I27,FieldDuties,4,FALSE)</f>
        <v>0</v>
      </c>
      <c r="K29" s="1040" t="str">
        <f>IF(K27=0,"","Ht/Wt")</f>
        <v>Ht/Wt</v>
      </c>
      <c r="L29" s="1041" t="str">
        <f>VLOOKUP(K27,FieldDuties,4,FALSE)</f>
        <v>2.72kg</v>
      </c>
      <c r="M29" s="1040" t="str">
        <f>IF(M27=0,"","Ht/Wt")</f>
        <v>Ht/Wt</v>
      </c>
      <c r="N29" s="1041" t="str">
        <f>VLOOKUP(M27,FieldDuties,4,FALSE)</f>
        <v>700gm</v>
      </c>
      <c r="O29" s="1040" t="str">
        <f>IF(O27=0,"","Ht/Wt")</f>
        <v>Ht/Wt</v>
      </c>
      <c r="P29" s="1041" t="str">
        <f>VLOOKUP(O27,FieldDuties,4,FALSE)</f>
        <v>1.20m</v>
      </c>
      <c r="Q29" s="1040" t="str">
        <f>IF(Q27=0,"","Ht/Wt")</f>
        <v/>
      </c>
      <c r="R29" s="1041">
        <f>VLOOKUP(Q27,FieldDuties,4,FALSE)</f>
        <v>0</v>
      </c>
      <c r="S29" s="1040" t="str">
        <f>IF(S27=0,"","Ht/Wt")</f>
        <v/>
      </c>
      <c r="T29" s="1041">
        <f>VLOOKUP(S27,FieldDuties,4,FALSE)</f>
        <v>0</v>
      </c>
      <c r="U29" s="1040" t="str">
        <f>IF(U27=0,"","Ht/Wt")</f>
        <v/>
      </c>
      <c r="V29" s="1041">
        <f>VLOOKUP(U27,FieldDuties,4,FALSE)</f>
        <v>0</v>
      </c>
      <c r="W29" s="1040" t="str">
        <f>IF(W27=0,"","Ht/Wt")</f>
        <v/>
      </c>
      <c r="X29" s="1041">
        <f>VLOOKUP(W27,FieldDuties,4,FALSE)</f>
        <v>0</v>
      </c>
      <c r="Z29">
        <f>Q19</f>
        <v>35</v>
      </c>
    </row>
    <row r="30" spans="1:26" ht="20.25" customHeight="1" x14ac:dyDescent="0.3">
      <c r="A30" s="1028">
        <v>48</v>
      </c>
      <c r="B30" s="1029">
        <f t="shared" si="0"/>
        <v>2.4</v>
      </c>
      <c r="C30" s="1030" t="str">
        <f t="shared" si="1"/>
        <v>Discus (U18) Match 2</v>
      </c>
      <c r="D30" s="1049" t="str">
        <f t="shared" si="2"/>
        <v>1.00Kg</v>
      </c>
      <c r="E30" s="1050" t="str">
        <f t="shared" si="3"/>
        <v>U18 Female</v>
      </c>
      <c r="F30" s="417" t="str">
        <f t="shared" si="4"/>
        <v/>
      </c>
      <c r="G30" s="1033"/>
      <c r="H30" s="669"/>
      <c r="I30" s="34" t="s">
        <v>258</v>
      </c>
      <c r="J30" s="36" t="s">
        <v>168</v>
      </c>
      <c r="K30" s="34" t="s">
        <v>258</v>
      </c>
      <c r="L30" s="36" t="s">
        <v>168</v>
      </c>
      <c r="M30" s="34" t="s">
        <v>258</v>
      </c>
      <c r="N30" s="36" t="s">
        <v>168</v>
      </c>
      <c r="O30" s="34" t="s">
        <v>258</v>
      </c>
      <c r="P30" s="36" t="s">
        <v>168</v>
      </c>
      <c r="Q30" s="34" t="s">
        <v>258</v>
      </c>
      <c r="R30" s="36" t="s">
        <v>168</v>
      </c>
      <c r="S30" s="34" t="s">
        <v>258</v>
      </c>
      <c r="T30" s="36" t="s">
        <v>168</v>
      </c>
      <c r="U30" s="34" t="s">
        <v>258</v>
      </c>
      <c r="V30" s="36" t="s">
        <v>168</v>
      </c>
      <c r="W30" s="34" t="s">
        <v>258</v>
      </c>
      <c r="X30" s="36" t="s">
        <v>168</v>
      </c>
      <c r="Z30">
        <f>S19</f>
        <v>0</v>
      </c>
    </row>
    <row r="31" spans="1:26" ht="20.25" customHeight="1" x14ac:dyDescent="0.3">
      <c r="A31" s="1028">
        <v>49</v>
      </c>
      <c r="B31" s="1029">
        <f t="shared" si="0"/>
        <v>2.4</v>
      </c>
      <c r="C31" s="1030" t="str">
        <f t="shared" si="1"/>
        <v>Javelin Match 1 &amp; 3</v>
      </c>
      <c r="D31" s="1049" t="str">
        <f t="shared" si="2"/>
        <v>500gm</v>
      </c>
      <c r="E31" s="1050" t="str">
        <f t="shared" si="3"/>
        <v>U16 Female</v>
      </c>
      <c r="F31" s="417" t="str">
        <f t="shared" si="4"/>
        <v>Ok</v>
      </c>
      <c r="G31" s="1033"/>
      <c r="H31" s="670"/>
      <c r="I31" s="1166">
        <v>0</v>
      </c>
      <c r="J31" s="1034">
        <f>VLOOKUP(I31,FieldDuties,2,FALSE)</f>
        <v>0</v>
      </c>
      <c r="K31" s="1166">
        <v>75</v>
      </c>
      <c r="L31" s="1034">
        <f>VLOOKUP(K31,FieldDuties,2,FALSE)</f>
        <v>4.2</v>
      </c>
      <c r="M31" s="1166">
        <v>0</v>
      </c>
      <c r="N31" s="1034">
        <f>VLOOKUP(M31,FieldDuties,2,FALSE)</f>
        <v>0</v>
      </c>
      <c r="O31" s="1166">
        <v>0</v>
      </c>
      <c r="P31" s="1034">
        <f>VLOOKUP(O31,FieldDuties,2,FALSE)</f>
        <v>0</v>
      </c>
      <c r="Q31" s="1166">
        <v>69</v>
      </c>
      <c r="R31" s="1034">
        <f>VLOOKUP(Q31,FieldDuties,2,FALSE)</f>
        <v>4.0999999999999996</v>
      </c>
      <c r="S31" s="1166">
        <v>0</v>
      </c>
      <c r="T31" s="1034">
        <f>VLOOKUP(S31,FieldDuties,2,FALSE)</f>
        <v>0</v>
      </c>
      <c r="U31" s="1166">
        <v>73</v>
      </c>
      <c r="V31" s="1034">
        <f>VLOOKUP(U31,FieldDuties,2,FALSE)</f>
        <v>4.2</v>
      </c>
      <c r="W31" s="1166">
        <v>67</v>
      </c>
      <c r="X31" s="1034">
        <f>VLOOKUP(W31,FieldDuties,2,FALSE)</f>
        <v>4</v>
      </c>
      <c r="Z31">
        <f>U19</f>
        <v>37</v>
      </c>
    </row>
    <row r="32" spans="1:26" ht="20.25" customHeight="1" x14ac:dyDescent="0.3">
      <c r="A32" s="1042">
        <v>52</v>
      </c>
      <c r="B32" s="1043">
        <f t="shared" si="0"/>
        <v>2.5</v>
      </c>
      <c r="C32" s="1044" t="str">
        <f t="shared" si="1"/>
        <v>Long Jump Pit 1</v>
      </c>
      <c r="D32" s="1047">
        <f t="shared" si="2"/>
        <v>0</v>
      </c>
      <c r="E32" s="1048" t="str">
        <f t="shared" si="3"/>
        <v>U14 Female</v>
      </c>
      <c r="F32" s="1046" t="str">
        <f t="shared" si="4"/>
        <v>Ok</v>
      </c>
      <c r="G32" s="1033"/>
      <c r="H32" s="68" t="s">
        <v>444</v>
      </c>
      <c r="I32" s="1038" t="str">
        <f>LEFT(VLOOKUP(I31,FieldDuties,3,FALSE),9)</f>
        <v/>
      </c>
      <c r="J32" s="1039" t="str">
        <f>LEFT(VLOOKUP(I31,FieldDuties,5,FALSE),5)</f>
        <v/>
      </c>
      <c r="K32" s="1038" t="str">
        <f>LEFT(VLOOKUP(K31,FieldDuties,3,FALSE),9)</f>
        <v>Javelin M</v>
      </c>
      <c r="L32" s="1039" t="str">
        <f>LEFT(VLOOKUP(K31,FieldDuties,5,FALSE),5)</f>
        <v>U14 F</v>
      </c>
      <c r="M32" s="1038" t="str">
        <f>LEFT(VLOOKUP(M31,FieldDuties,3,FALSE),9)</f>
        <v/>
      </c>
      <c r="N32" s="1039" t="str">
        <f>LEFT(VLOOKUP(M31,FieldDuties,5,FALSE),5)</f>
        <v/>
      </c>
      <c r="O32" s="1038" t="str">
        <f>LEFT(VLOOKUP(O31,FieldDuties,3,FALSE),9)</f>
        <v/>
      </c>
      <c r="P32" s="1039" t="str">
        <f>LEFT(VLOOKUP(O31,FieldDuties,5,FALSE),5)</f>
        <v/>
      </c>
      <c r="Q32" s="1038" t="str">
        <f>LEFT(VLOOKUP(Q31,FieldDuties,3,FALSE),9)</f>
        <v>High Jump</v>
      </c>
      <c r="R32" s="1039" t="str">
        <f>LEFT(VLOOKUP(Q31,FieldDuties,5,FALSE),5)</f>
        <v>U18 M</v>
      </c>
      <c r="S32" s="1038" t="str">
        <f>LEFT(VLOOKUP(S31,FieldDuties,3,FALSE),9)</f>
        <v/>
      </c>
      <c r="T32" s="1039" t="str">
        <f>LEFT(VLOOKUP(S31,FieldDuties,5,FALSE),5)</f>
        <v/>
      </c>
      <c r="U32" s="1038" t="str">
        <f>LEFT(VLOOKUP(U31,FieldDuties,3,FALSE),9)</f>
        <v xml:space="preserve">Shot </v>
      </c>
      <c r="V32" s="1039" t="str">
        <f>LEFT(VLOOKUP(U31,FieldDuties,5,FALSE),5)</f>
        <v>U16 F</v>
      </c>
      <c r="W32" s="1038" t="str">
        <f>LEFT(VLOOKUP(W31,FieldDuties,3,FALSE),9)</f>
        <v>Long Jump</v>
      </c>
      <c r="X32" s="1039" t="str">
        <f>LEFT(VLOOKUP(W31,FieldDuties,5,FALSE),5)</f>
        <v>U18 F</v>
      </c>
      <c r="Z32">
        <f>W19</f>
        <v>0</v>
      </c>
    </row>
    <row r="33" spans="1:26" ht="20.25" customHeight="1" thickBot="1" x14ac:dyDescent="0.35">
      <c r="A33" s="1028">
        <v>57</v>
      </c>
      <c r="B33" s="1029">
        <f t="shared" si="0"/>
        <v>3.2</v>
      </c>
      <c r="C33" s="1030" t="str">
        <f t="shared" si="1"/>
        <v xml:space="preserve">High Jump (U18/U20) </v>
      </c>
      <c r="D33" s="1049" t="str">
        <f t="shared" si="2"/>
        <v>1.20m</v>
      </c>
      <c r="E33" s="1050" t="str">
        <f t="shared" si="3"/>
        <v>U18 Female</v>
      </c>
      <c r="F33" s="417" t="str">
        <f t="shared" si="4"/>
        <v>Ok</v>
      </c>
      <c r="G33" s="1033"/>
      <c r="H33" s="503"/>
      <c r="I33" s="1040" t="str">
        <f>IF(I31=0,"","Ht/Wt")</f>
        <v/>
      </c>
      <c r="J33" s="1041">
        <f>VLOOKUP(I31,FieldDuties,4,FALSE)</f>
        <v>0</v>
      </c>
      <c r="K33" s="1040" t="str">
        <f>IF(K31=0,"","Ht/Wt")</f>
        <v>Ht/Wt</v>
      </c>
      <c r="L33" s="1041" t="str">
        <f>VLOOKUP(K31,FieldDuties,4,FALSE)</f>
        <v>400gm</v>
      </c>
      <c r="M33" s="1040" t="str">
        <f>IF(M31=0,"","Ht/Wt")</f>
        <v/>
      </c>
      <c r="N33" s="1041">
        <f>VLOOKUP(M31,FieldDuties,4,FALSE)</f>
        <v>0</v>
      </c>
      <c r="O33" s="1040" t="str">
        <f>IF(O31=0,"","Ht/Wt")</f>
        <v/>
      </c>
      <c r="P33" s="1041">
        <f>VLOOKUP(O31,FieldDuties,4,FALSE)</f>
        <v>0</v>
      </c>
      <c r="Q33" s="1040" t="str">
        <f>IF(Q31=0,"","Ht/Wt")</f>
        <v>Ht/Wt</v>
      </c>
      <c r="R33" s="1041" t="str">
        <f>VLOOKUP(Q31,FieldDuties,4,FALSE)</f>
        <v>1.30m</v>
      </c>
      <c r="S33" s="1040" t="str">
        <f>IF(S31=0,"","Ht/Wt")</f>
        <v/>
      </c>
      <c r="T33" s="1041">
        <f>VLOOKUP(S31,FieldDuties,4,FALSE)</f>
        <v>0</v>
      </c>
      <c r="U33" s="1040" t="str">
        <f>IF(U31=0,"","Ht/Wt")</f>
        <v>Ht/Wt</v>
      </c>
      <c r="V33" s="1041" t="str">
        <f>VLOOKUP(U31,FieldDuties,4,FALSE)</f>
        <v>3Kg</v>
      </c>
      <c r="W33" s="1040" t="str">
        <f>IF(W31=0,"","Ht/Wt")</f>
        <v>Ht/Wt</v>
      </c>
      <c r="X33" s="1041">
        <f>VLOOKUP(W31,FieldDuties,4,FALSE)</f>
        <v>0</v>
      </c>
      <c r="Z33">
        <f>I23</f>
        <v>0</v>
      </c>
    </row>
    <row r="34" spans="1:26" ht="20.25" customHeight="1" x14ac:dyDescent="0.3">
      <c r="A34" s="1028">
        <v>58</v>
      </c>
      <c r="B34" s="1029">
        <f t="shared" si="0"/>
        <v>3.2</v>
      </c>
      <c r="C34" s="1030" t="str">
        <f t="shared" si="1"/>
        <v>Long Jump Pit 2</v>
      </c>
      <c r="D34" s="1049">
        <f t="shared" si="2"/>
        <v>0</v>
      </c>
      <c r="E34" s="1050" t="str">
        <f t="shared" si="3"/>
        <v>U14 Male</v>
      </c>
      <c r="F34" s="417" t="str">
        <f t="shared" si="4"/>
        <v>Ok</v>
      </c>
      <c r="G34" s="1033"/>
      <c r="Z34">
        <f>K23</f>
        <v>45</v>
      </c>
    </row>
    <row r="35" spans="1:26" ht="20.25" customHeight="1" thickBot="1" x14ac:dyDescent="0.35">
      <c r="A35" s="1028">
        <v>59</v>
      </c>
      <c r="B35" s="1029">
        <f t="shared" si="0"/>
        <v>3.3</v>
      </c>
      <c r="C35" s="1030" t="str">
        <f t="shared" si="1"/>
        <v xml:space="preserve">Shot </v>
      </c>
      <c r="D35" s="1049" t="str">
        <f t="shared" si="2"/>
        <v>2.72kg</v>
      </c>
      <c r="E35" s="1050" t="str">
        <f t="shared" si="3"/>
        <v>U14 Female</v>
      </c>
      <c r="F35" s="417" t="str">
        <f t="shared" si="4"/>
        <v>Ok</v>
      </c>
      <c r="G35" s="1033"/>
      <c r="Z35">
        <f>M23</f>
        <v>47</v>
      </c>
    </row>
    <row r="36" spans="1:26" ht="20.25" customHeight="1" x14ac:dyDescent="0.3">
      <c r="A36" s="1028">
        <v>60</v>
      </c>
      <c r="B36" s="1029">
        <f t="shared" si="0"/>
        <v>3.3</v>
      </c>
      <c r="C36" s="1030" t="str">
        <f t="shared" si="1"/>
        <v>Discus Match 2</v>
      </c>
      <c r="D36" s="1049" t="str">
        <f t="shared" si="2"/>
        <v>1.25kg</v>
      </c>
      <c r="E36" s="1050" t="str">
        <f t="shared" si="3"/>
        <v>U16 Male</v>
      </c>
      <c r="F36" s="417" t="str">
        <f t="shared" si="4"/>
        <v/>
      </c>
      <c r="G36" s="1033"/>
      <c r="H36" s="448"/>
      <c r="I36" s="1052" t="s">
        <v>0</v>
      </c>
      <c r="J36" s="467"/>
      <c r="K36" s="467"/>
      <c r="L36" s="48"/>
      <c r="M36" s="48"/>
      <c r="N36" s="48"/>
      <c r="O36" s="50"/>
      <c r="Z36">
        <f>O23</f>
        <v>40</v>
      </c>
    </row>
    <row r="37" spans="1:26" ht="20.25" customHeight="1" x14ac:dyDescent="0.3">
      <c r="A37" s="1042">
        <v>61</v>
      </c>
      <c r="B37" s="1043">
        <f t="shared" si="0"/>
        <v>3.3</v>
      </c>
      <c r="C37" s="1044" t="str">
        <f t="shared" si="1"/>
        <v>Javelin (U18) Match 1 &amp; 3</v>
      </c>
      <c r="D37" s="1047" t="str">
        <f t="shared" si="2"/>
        <v>700gm</v>
      </c>
      <c r="E37" s="1048" t="str">
        <f t="shared" si="3"/>
        <v>U18 Men</v>
      </c>
      <c r="F37" s="1046" t="str">
        <f t="shared" si="4"/>
        <v>Ok</v>
      </c>
      <c r="G37" s="1033"/>
      <c r="H37" s="1053">
        <v>1</v>
      </c>
      <c r="I37" s="433" t="s">
        <v>43</v>
      </c>
      <c r="J37" s="433"/>
      <c r="K37" s="433"/>
      <c r="O37" s="53"/>
      <c r="Z37">
        <f>Q23</f>
        <v>0</v>
      </c>
    </row>
    <row r="38" spans="1:26" ht="20.25" customHeight="1" x14ac:dyDescent="0.3">
      <c r="A38" s="1028">
        <v>67</v>
      </c>
      <c r="B38" s="1029">
        <f t="shared" si="0"/>
        <v>4</v>
      </c>
      <c r="C38" s="1030" t="str">
        <f t="shared" si="1"/>
        <v>Long Jump (U18/20) Pit1</v>
      </c>
      <c r="D38" s="1049">
        <f t="shared" si="2"/>
        <v>0</v>
      </c>
      <c r="E38" s="1050" t="str">
        <f t="shared" si="3"/>
        <v>U18 Female</v>
      </c>
      <c r="F38" s="417" t="str">
        <f t="shared" si="4"/>
        <v>Ok</v>
      </c>
      <c r="G38" s="1033"/>
      <c r="H38" s="1053">
        <v>2</v>
      </c>
      <c r="I38" s="433" t="s">
        <v>445</v>
      </c>
      <c r="J38" s="433"/>
      <c r="K38" s="433"/>
      <c r="O38" s="53"/>
      <c r="Z38">
        <f>S23</f>
        <v>49</v>
      </c>
    </row>
    <row r="39" spans="1:26" ht="20.25" customHeight="1" x14ac:dyDescent="0.3">
      <c r="A39" s="1028">
        <v>69</v>
      </c>
      <c r="B39" s="1029">
        <f t="shared" si="0"/>
        <v>4.0999999999999996</v>
      </c>
      <c r="C39" s="1030" t="str">
        <f t="shared" si="1"/>
        <v xml:space="preserve">High Jump (U18/U20) </v>
      </c>
      <c r="D39" s="1049" t="str">
        <f t="shared" si="2"/>
        <v>1.30m</v>
      </c>
      <c r="E39" s="1050" t="str">
        <f t="shared" si="3"/>
        <v>U18 Men</v>
      </c>
      <c r="F39" s="417" t="str">
        <f t="shared" si="4"/>
        <v>Ok</v>
      </c>
      <c r="G39" s="1033"/>
      <c r="H39" s="1053">
        <v>3</v>
      </c>
      <c r="I39" s="433" t="s">
        <v>45</v>
      </c>
      <c r="J39" s="433"/>
      <c r="K39" s="433"/>
      <c r="O39" s="53"/>
      <c r="Z39">
        <f>U23</f>
        <v>0</v>
      </c>
    </row>
    <row r="40" spans="1:26" ht="20.25" customHeight="1" x14ac:dyDescent="0.3">
      <c r="A40" s="1028">
        <v>73</v>
      </c>
      <c r="B40" s="1029">
        <f t="shared" si="0"/>
        <v>4.2</v>
      </c>
      <c r="C40" s="1030" t="str">
        <f t="shared" si="1"/>
        <v xml:space="preserve">Shot </v>
      </c>
      <c r="D40" s="1049" t="str">
        <f t="shared" si="2"/>
        <v>3Kg</v>
      </c>
      <c r="E40" s="1050" t="str">
        <f t="shared" si="3"/>
        <v>U16 Female</v>
      </c>
      <c r="F40" s="417" t="str">
        <f t="shared" si="4"/>
        <v>Ok</v>
      </c>
      <c r="G40" s="1033"/>
      <c r="H40" s="1053">
        <v>4</v>
      </c>
      <c r="I40" s="433" t="s">
        <v>46</v>
      </c>
      <c r="J40" s="433"/>
      <c r="K40" s="433"/>
      <c r="O40" s="53"/>
      <c r="Z40">
        <f>W23</f>
        <v>52</v>
      </c>
    </row>
    <row r="41" spans="1:26" ht="20.25" customHeight="1" x14ac:dyDescent="0.3">
      <c r="A41" s="1028">
        <v>74</v>
      </c>
      <c r="B41" s="1029">
        <f t="shared" si="0"/>
        <v>4.2</v>
      </c>
      <c r="C41" s="1030" t="str">
        <f t="shared" si="1"/>
        <v>Discus Match 2</v>
      </c>
      <c r="D41" s="1049" t="str">
        <f t="shared" si="2"/>
        <v>1.00kg</v>
      </c>
      <c r="E41" s="1050" t="str">
        <f t="shared" si="3"/>
        <v>U14 Male</v>
      </c>
      <c r="F41" s="417" t="str">
        <f t="shared" si="4"/>
        <v/>
      </c>
      <c r="G41" s="1033"/>
      <c r="H41" s="1053">
        <v>5</v>
      </c>
      <c r="I41" s="433" t="s">
        <v>47</v>
      </c>
      <c r="J41" s="433"/>
      <c r="O41" s="53"/>
      <c r="Z41">
        <f>I27</f>
        <v>58</v>
      </c>
    </row>
    <row r="42" spans="1:26" ht="20.25" customHeight="1" x14ac:dyDescent="0.3">
      <c r="A42" s="1042">
        <v>75</v>
      </c>
      <c r="B42" s="1043">
        <f t="shared" si="0"/>
        <v>4.2</v>
      </c>
      <c r="C42" s="1044" t="str">
        <f t="shared" si="1"/>
        <v>Javelin Match 1 &amp; 3</v>
      </c>
      <c r="D42" s="1047" t="str">
        <f t="shared" si="2"/>
        <v>400gm</v>
      </c>
      <c r="E42" s="1048" t="str">
        <f t="shared" si="3"/>
        <v>U14 Female</v>
      </c>
      <c r="F42" s="1046" t="str">
        <f t="shared" si="4"/>
        <v>Ok</v>
      </c>
      <c r="G42" s="1033"/>
      <c r="H42" s="455"/>
      <c r="I42" s="433" t="s">
        <v>48</v>
      </c>
      <c r="J42" s="433"/>
      <c r="O42" s="53"/>
      <c r="Z42">
        <f>K27</f>
        <v>59</v>
      </c>
    </row>
    <row r="43" spans="1:26" ht="21" customHeight="1" x14ac:dyDescent="0.3">
      <c r="A43" s="1054"/>
      <c r="B43" s="1055"/>
      <c r="C43" s="1033"/>
      <c r="D43" s="1033"/>
      <c r="E43" s="1032"/>
      <c r="F43" s="417"/>
      <c r="G43" s="228"/>
      <c r="H43" s="455"/>
      <c r="I43" s="433" t="s">
        <v>49</v>
      </c>
      <c r="J43" s="433"/>
      <c r="O43" s="53"/>
      <c r="Z43">
        <f>M27</f>
        <v>61</v>
      </c>
    </row>
    <row r="44" spans="1:26" ht="21" customHeight="1" thickBot="1" x14ac:dyDescent="0.35">
      <c r="A44" s="1056"/>
      <c r="B44" s="1057"/>
      <c r="C44" s="1057"/>
      <c r="D44" s="1057"/>
      <c r="E44" s="1058" t="s">
        <v>270</v>
      </c>
      <c r="F44" s="418">
        <f>COUNTIF(F9:F42,"Ok")</f>
        <v>28</v>
      </c>
      <c r="H44" s="455"/>
      <c r="I44" s="433" t="s">
        <v>50</v>
      </c>
      <c r="J44" s="433"/>
      <c r="O44" s="53"/>
      <c r="Z44">
        <f>O27</f>
        <v>57</v>
      </c>
    </row>
    <row r="45" spans="1:26" ht="21" customHeight="1" x14ac:dyDescent="0.3">
      <c r="H45" s="455"/>
      <c r="I45" s="433" t="s">
        <v>51</v>
      </c>
      <c r="J45" s="433"/>
      <c r="O45" s="53"/>
      <c r="Z45">
        <f>Q27</f>
        <v>0</v>
      </c>
    </row>
    <row r="46" spans="1:26" ht="21" customHeight="1" x14ac:dyDescent="0.3">
      <c r="A46">
        <f>COUNT(A9:A42)</f>
        <v>34</v>
      </c>
      <c r="H46" s="455"/>
      <c r="I46" s="433" t="s">
        <v>52</v>
      </c>
      <c r="J46" s="433"/>
      <c r="O46" s="53"/>
      <c r="Z46">
        <f>S27</f>
        <v>0</v>
      </c>
    </row>
    <row r="47" spans="1:26" ht="15" thickBot="1" x14ac:dyDescent="0.35">
      <c r="H47" s="114"/>
      <c r="I47" s="115"/>
      <c r="J47" s="115"/>
      <c r="K47" s="115"/>
      <c r="L47" s="115"/>
      <c r="M47" s="115"/>
      <c r="N47" s="115"/>
      <c r="O47" s="117"/>
      <c r="Z47">
        <f>U27</f>
        <v>0</v>
      </c>
    </row>
    <row r="48" spans="1:26" x14ac:dyDescent="0.3">
      <c r="Z48">
        <f>W27</f>
        <v>0</v>
      </c>
    </row>
    <row r="49" spans="26:26" x14ac:dyDescent="0.3">
      <c r="Z49">
        <f>I31</f>
        <v>0</v>
      </c>
    </row>
    <row r="50" spans="26:26" x14ac:dyDescent="0.3">
      <c r="Z50">
        <f>K31</f>
        <v>75</v>
      </c>
    </row>
    <row r="51" spans="26:26" x14ac:dyDescent="0.3">
      <c r="Z51">
        <f>M31</f>
        <v>0</v>
      </c>
    </row>
    <row r="52" spans="26:26" x14ac:dyDescent="0.3">
      <c r="Z52">
        <f>O31</f>
        <v>0</v>
      </c>
    </row>
    <row r="53" spans="26:26" x14ac:dyDescent="0.3">
      <c r="Z53">
        <f>Q31</f>
        <v>69</v>
      </c>
    </row>
    <row r="54" spans="26:26" x14ac:dyDescent="0.3">
      <c r="Z54">
        <f>S31</f>
        <v>0</v>
      </c>
    </row>
    <row r="55" spans="26:26" x14ac:dyDescent="0.3">
      <c r="Z55">
        <f>U31</f>
        <v>73</v>
      </c>
    </row>
    <row r="56" spans="26:26" x14ac:dyDescent="0.3">
      <c r="Z56">
        <f>W31</f>
        <v>67</v>
      </c>
    </row>
  </sheetData>
  <sheetProtection sheet="1" objects="1" scenarios="1"/>
  <sortState xmlns:xlrd2="http://schemas.microsoft.com/office/spreadsheetml/2017/richdata2" ref="A9:F42">
    <sortCondition ref="A9:A42"/>
  </sortState>
  <mergeCells count="8">
    <mergeCell ref="U8:V8"/>
    <mergeCell ref="W8:X8"/>
    <mergeCell ref="I8:J8"/>
    <mergeCell ref="K8:L8"/>
    <mergeCell ref="M8:N8"/>
    <mergeCell ref="O8:P8"/>
    <mergeCell ref="Q8:R8"/>
    <mergeCell ref="S8:T8"/>
  </mergeCells>
  <pageMargins left="0.7" right="0.7" top="0.75" bottom="0.75" header="0.3" footer="0.3"/>
  <pageSetup paperSize="9" scale="72" fitToHeight="0" orientation="landscape" horizontalDpi="360" verticalDpi="36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4A12F-0046-4513-BDC1-DC944FE32CFA}">
  <dimension ref="A1:L66"/>
  <sheetViews>
    <sheetView workbookViewId="0">
      <selection activeCell="N21" sqref="N21"/>
    </sheetView>
  </sheetViews>
  <sheetFormatPr defaultRowHeight="14.4" x14ac:dyDescent="0.3"/>
  <cols>
    <col min="2" max="2" width="16.44140625" customWidth="1"/>
    <col min="3" max="3" width="11.88671875" customWidth="1"/>
  </cols>
  <sheetData>
    <row r="1" spans="1:12" ht="15" thickBot="1" x14ac:dyDescent="0.35">
      <c r="A1" s="32"/>
    </row>
    <row r="2" spans="1:12" ht="15.6" x14ac:dyDescent="0.3">
      <c r="A2" s="32"/>
      <c r="C2" s="4"/>
      <c r="D2" s="88" t="s">
        <v>446</v>
      </c>
      <c r="E2" s="48"/>
      <c r="F2" s="50"/>
    </row>
    <row r="3" spans="1:12" x14ac:dyDescent="0.3">
      <c r="A3" s="32"/>
      <c r="C3" s="51"/>
      <c r="F3" s="53"/>
    </row>
    <row r="4" spans="1:12" x14ac:dyDescent="0.3">
      <c r="A4" s="32"/>
      <c r="C4" s="51">
        <v>1</v>
      </c>
      <c r="D4" s="32" t="s">
        <v>88</v>
      </c>
      <c r="E4" s="419" t="s">
        <v>89</v>
      </c>
      <c r="F4" s="53" t="s">
        <v>90</v>
      </c>
    </row>
    <row r="5" spans="1:12" x14ac:dyDescent="0.3">
      <c r="A5" s="32"/>
      <c r="C5" s="51">
        <v>2</v>
      </c>
      <c r="D5" s="32" t="s">
        <v>100</v>
      </c>
      <c r="E5" s="419" t="s">
        <v>113</v>
      </c>
      <c r="F5" s="53" t="s">
        <v>114</v>
      </c>
    </row>
    <row r="6" spans="1:12" x14ac:dyDescent="0.3">
      <c r="A6" s="32"/>
      <c r="C6" s="51">
        <v>3</v>
      </c>
      <c r="D6" s="32" t="s">
        <v>97</v>
      </c>
      <c r="E6" s="419" t="s">
        <v>447</v>
      </c>
      <c r="F6" s="53" t="s">
        <v>338</v>
      </c>
    </row>
    <row r="7" spans="1:12" x14ac:dyDescent="0.3">
      <c r="A7" s="32"/>
      <c r="C7" s="51">
        <v>4</v>
      </c>
      <c r="D7" s="32" t="s">
        <v>124</v>
      </c>
      <c r="E7" s="419" t="s">
        <v>125</v>
      </c>
      <c r="F7" s="53" t="s">
        <v>126</v>
      </c>
    </row>
    <row r="8" spans="1:12" x14ac:dyDescent="0.3">
      <c r="A8" s="32"/>
      <c r="C8" s="51">
        <v>5</v>
      </c>
      <c r="D8" s="32" t="s">
        <v>118</v>
      </c>
      <c r="E8" s="419" t="s">
        <v>448</v>
      </c>
      <c r="F8" s="53" t="s">
        <v>120</v>
      </c>
    </row>
    <row r="9" spans="1:12" x14ac:dyDescent="0.3">
      <c r="A9" s="32"/>
      <c r="C9" s="51">
        <v>6</v>
      </c>
      <c r="D9" s="32" t="s">
        <v>127</v>
      </c>
      <c r="E9" s="419" t="s">
        <v>449</v>
      </c>
      <c r="F9" s="53" t="s">
        <v>129</v>
      </c>
    </row>
    <row r="10" spans="1:12" x14ac:dyDescent="0.3">
      <c r="A10" s="32"/>
      <c r="C10" s="51">
        <v>7</v>
      </c>
      <c r="D10" s="32" t="s">
        <v>136</v>
      </c>
      <c r="E10" s="419" t="s">
        <v>450</v>
      </c>
      <c r="F10" s="53" t="s">
        <v>138</v>
      </c>
    </row>
    <row r="11" spans="1:12" x14ac:dyDescent="0.3">
      <c r="A11" s="32"/>
      <c r="C11" s="51">
        <v>8</v>
      </c>
      <c r="D11" s="32" t="s">
        <v>142</v>
      </c>
      <c r="E11" s="419" t="s">
        <v>143</v>
      </c>
      <c r="F11" s="53" t="s">
        <v>144</v>
      </c>
    </row>
    <row r="12" spans="1:12" x14ac:dyDescent="0.3">
      <c r="A12" s="32"/>
      <c r="C12" s="51">
        <v>9</v>
      </c>
      <c r="D12" s="32">
        <v>0</v>
      </c>
      <c r="E12" s="419" t="s">
        <v>148</v>
      </c>
      <c r="F12" s="53" t="s">
        <v>148</v>
      </c>
    </row>
    <row r="13" spans="1:12" ht="15" thickBot="1" x14ac:dyDescent="0.35">
      <c r="A13" s="32"/>
      <c r="C13" s="114">
        <v>10</v>
      </c>
      <c r="D13" s="116">
        <v>0</v>
      </c>
      <c r="E13" s="624" t="s">
        <v>148</v>
      </c>
      <c r="F13" s="117" t="s">
        <v>148</v>
      </c>
    </row>
    <row r="14" spans="1:12" ht="15" thickBot="1" x14ac:dyDescent="0.35">
      <c r="A14" s="32"/>
    </row>
    <row r="15" spans="1:12" ht="15" thickBot="1" x14ac:dyDescent="0.35">
      <c r="A15" s="1139" t="s">
        <v>433</v>
      </c>
      <c r="B15" s="895"/>
      <c r="C15" s="895"/>
      <c r="D15" s="1341">
        <v>1</v>
      </c>
      <c r="E15" s="1341">
        <v>2</v>
      </c>
      <c r="F15" s="1341">
        <v>3</v>
      </c>
      <c r="G15" s="1341">
        <v>4</v>
      </c>
      <c r="H15" s="1341">
        <v>5</v>
      </c>
      <c r="I15" s="1341">
        <v>6</v>
      </c>
      <c r="J15" s="1341">
        <v>7</v>
      </c>
      <c r="K15" s="1341">
        <v>8</v>
      </c>
    </row>
    <row r="16" spans="1:12" ht="15" thickBot="1" x14ac:dyDescent="0.35">
      <c r="A16" s="54"/>
      <c r="D16" s="56"/>
      <c r="E16" s="56"/>
      <c r="F16" s="56"/>
      <c r="G16" s="56"/>
      <c r="H16" s="56"/>
      <c r="I16" s="56"/>
      <c r="J16" s="56"/>
      <c r="K16" s="56"/>
      <c r="L16" s="56"/>
    </row>
    <row r="17" spans="1:12" ht="15" thickBot="1" x14ac:dyDescent="0.35">
      <c r="A17" s="1139" t="s">
        <v>432</v>
      </c>
      <c r="B17" s="895"/>
      <c r="C17" s="895"/>
      <c r="D17" s="1169">
        <v>7</v>
      </c>
      <c r="E17" s="1203">
        <v>6</v>
      </c>
      <c r="F17" s="1169">
        <v>1</v>
      </c>
      <c r="G17" s="1169">
        <v>4</v>
      </c>
      <c r="H17" s="1169">
        <v>2</v>
      </c>
      <c r="I17" s="1169">
        <v>8</v>
      </c>
      <c r="J17" s="1169">
        <v>3</v>
      </c>
      <c r="K17" s="1169">
        <v>5</v>
      </c>
    </row>
    <row r="18" spans="1:12" x14ac:dyDescent="0.3">
      <c r="A18" s="32"/>
    </row>
    <row r="19" spans="1:12" ht="15.6" x14ac:dyDescent="0.3">
      <c r="A19" s="32"/>
      <c r="C19" s="750" t="s">
        <v>67</v>
      </c>
      <c r="D19" s="1204" t="str">
        <f>'Event Details'!E17</f>
        <v>Bruce williams Way</v>
      </c>
      <c r="E19" s="1205"/>
      <c r="F19" s="1205"/>
      <c r="G19" s="750" t="s">
        <v>66</v>
      </c>
      <c r="H19" s="1204" t="str">
        <f>'Event Details'!C17</f>
        <v>17th May 2026</v>
      </c>
      <c r="I19" s="1205"/>
    </row>
    <row r="20" spans="1:12" ht="15" thickBot="1" x14ac:dyDescent="0.35">
      <c r="A20" s="32"/>
      <c r="B20" s="55"/>
      <c r="D20" s="56"/>
      <c r="E20" s="56"/>
      <c r="F20" s="56"/>
      <c r="G20" s="56"/>
      <c r="H20" s="56"/>
      <c r="I20" s="56"/>
      <c r="J20" s="56"/>
      <c r="K20" s="56"/>
    </row>
    <row r="21" spans="1:12" ht="15" thickBot="1" x14ac:dyDescent="0.35">
      <c r="A21" s="33" t="s">
        <v>258</v>
      </c>
      <c r="B21" s="1165" t="s">
        <v>165</v>
      </c>
      <c r="C21" s="1206" t="s">
        <v>169</v>
      </c>
      <c r="D21" s="55"/>
      <c r="E21" s="55"/>
      <c r="F21" s="55"/>
      <c r="G21" s="55"/>
      <c r="H21" s="55"/>
      <c r="I21" s="55"/>
      <c r="J21" s="55"/>
      <c r="K21" s="55"/>
      <c r="L21" t="s">
        <v>434</v>
      </c>
    </row>
    <row r="22" spans="1:12" x14ac:dyDescent="0.3">
      <c r="A22" s="1233">
        <v>1</v>
      </c>
      <c r="B22" s="1080" t="str">
        <f>IF($A22&gt;0,VLOOKUP($A22,EventsOrder,6,FALSE)," ")</f>
        <v xml:space="preserve">High Jump </v>
      </c>
      <c r="C22" s="1080" t="str">
        <f>IF($A22&gt;0,VLOOKUP($A22,EventsOrder,4,FALSE)," ")</f>
        <v>U14 Male</v>
      </c>
      <c r="D22" s="1188">
        <f>$D$15</f>
        <v>1</v>
      </c>
      <c r="E22" s="1188">
        <f>$E$15</f>
        <v>2</v>
      </c>
      <c r="F22" s="1188">
        <f>$F$15</f>
        <v>3</v>
      </c>
      <c r="G22" s="1188">
        <f>$G$15</f>
        <v>4</v>
      </c>
      <c r="H22" s="1188">
        <f>$H$15</f>
        <v>5</v>
      </c>
      <c r="I22" s="1188">
        <f>$I$15</f>
        <v>6</v>
      </c>
      <c r="J22" s="1188">
        <f>$J$15</f>
        <v>7</v>
      </c>
      <c r="K22" s="1188">
        <f>$K$15</f>
        <v>8</v>
      </c>
      <c r="L22" s="1188">
        <f t="shared" ref="L22:L51" si="0">SUM(D22:K22)</f>
        <v>36</v>
      </c>
    </row>
    <row r="23" spans="1:12" x14ac:dyDescent="0.3">
      <c r="A23" s="1233">
        <v>5</v>
      </c>
      <c r="B23" s="1080" t="str">
        <f t="shared" ref="B23:B66" si="1">IF($A23&gt;0,VLOOKUP($A23,EventsOrder,6,FALSE)," ")</f>
        <v xml:space="preserve">Howler </v>
      </c>
      <c r="C23" s="1080" t="str">
        <f t="shared" ref="C23:C66" si="2">IF($A23&gt;0,VLOOKUP($A23,EventsOrder,4,FALSE)," ")</f>
        <v>U12 Male</v>
      </c>
      <c r="D23" s="1188">
        <f>$G$15</f>
        <v>4</v>
      </c>
      <c r="E23" s="1188">
        <f>$I$15</f>
        <v>6</v>
      </c>
      <c r="F23" s="1188">
        <f>$J$15</f>
        <v>7</v>
      </c>
      <c r="G23" s="1188">
        <f>$D$15</f>
        <v>1</v>
      </c>
      <c r="H23" s="1188">
        <f>$F$15</f>
        <v>3</v>
      </c>
      <c r="I23" s="1188">
        <f>$K$15</f>
        <v>8</v>
      </c>
      <c r="J23" s="1188">
        <f>$H$15</f>
        <v>5</v>
      </c>
      <c r="K23" s="1188">
        <f>$E$15</f>
        <v>2</v>
      </c>
      <c r="L23" s="1188">
        <f t="shared" si="0"/>
        <v>36</v>
      </c>
    </row>
    <row r="24" spans="1:12" x14ac:dyDescent="0.3">
      <c r="A24" s="1233">
        <v>6</v>
      </c>
      <c r="B24" s="1080" t="str">
        <f>IF($A24&gt;0,VLOOKUP($A24,EventsOrder,6,FALSE)," ")</f>
        <v xml:space="preserve">Howler </v>
      </c>
      <c r="C24" s="1080" t="str">
        <f>IF($A24&gt;0,VLOOKUP($A24,EventsOrder,4,FALSE)," ")</f>
        <v>U12 Female</v>
      </c>
      <c r="D24" s="1188">
        <f>$I$15</f>
        <v>6</v>
      </c>
      <c r="E24" s="1188">
        <f>$D$15</f>
        <v>1</v>
      </c>
      <c r="F24" s="1188">
        <f>$K$15</f>
        <v>8</v>
      </c>
      <c r="G24" s="1188">
        <f>$J$15</f>
        <v>7</v>
      </c>
      <c r="H24" s="1188">
        <f>$E$15</f>
        <v>2</v>
      </c>
      <c r="I24" s="1188">
        <f>$G$15</f>
        <v>4</v>
      </c>
      <c r="J24" s="1188">
        <f>$F$15</f>
        <v>3</v>
      </c>
      <c r="K24" s="1188">
        <f>$H$15</f>
        <v>5</v>
      </c>
      <c r="L24" s="1188">
        <f>SUM(D24:K24)</f>
        <v>36</v>
      </c>
    </row>
    <row r="25" spans="1:12" x14ac:dyDescent="0.3">
      <c r="A25" s="1233">
        <v>7</v>
      </c>
      <c r="B25" s="1080" t="str">
        <f>IF($A25&gt;0,VLOOKUP($A25,EventsOrder,6,FALSE)," ")</f>
        <v>Long Jump Pit 2</v>
      </c>
      <c r="C25" s="1080" t="str">
        <f>IF($A25&gt;0,VLOOKUP($A25,EventsOrder,4,FALSE)," ")</f>
        <v>U16 Male</v>
      </c>
      <c r="D25" s="1188">
        <f>$J$15</f>
        <v>7</v>
      </c>
      <c r="E25" s="1188">
        <f>$F$15</f>
        <v>3</v>
      </c>
      <c r="F25" s="1188">
        <f>$K$15</f>
        <v>8</v>
      </c>
      <c r="G25" s="1188">
        <f>$E$15</f>
        <v>2</v>
      </c>
      <c r="H25" s="1188">
        <f>$D$15</f>
        <v>1</v>
      </c>
      <c r="I25" s="1188">
        <f>$I$15</f>
        <v>6</v>
      </c>
      <c r="J25" s="1188">
        <f>$H$15</f>
        <v>5</v>
      </c>
      <c r="K25" s="1188">
        <f>$G$15</f>
        <v>4</v>
      </c>
      <c r="L25" s="1188">
        <f>SUM(D25:K25)</f>
        <v>36</v>
      </c>
    </row>
    <row r="26" spans="1:12" x14ac:dyDescent="0.3">
      <c r="A26" s="1233">
        <v>11</v>
      </c>
      <c r="B26" s="1080" t="str">
        <f t="shared" si="1"/>
        <v xml:space="preserve">Shot (U18) </v>
      </c>
      <c r="C26" s="1080" t="str">
        <f t="shared" si="2"/>
        <v>U18 Men</v>
      </c>
      <c r="D26" s="1188">
        <f>$F$15</f>
        <v>3</v>
      </c>
      <c r="E26" s="1188">
        <f>$K$15</f>
        <v>8</v>
      </c>
      <c r="F26" s="1188">
        <f>$D$15</f>
        <v>1</v>
      </c>
      <c r="G26" s="1188">
        <f>$H$15</f>
        <v>5</v>
      </c>
      <c r="H26" s="1188">
        <f>$G$15</f>
        <v>4</v>
      </c>
      <c r="I26" s="1188">
        <f>$J$15</f>
        <v>7</v>
      </c>
      <c r="J26" s="1188">
        <f>$E$15</f>
        <v>2</v>
      </c>
      <c r="K26" s="1188">
        <f>$I$15</f>
        <v>6</v>
      </c>
      <c r="L26" s="1188">
        <f t="shared" si="0"/>
        <v>36</v>
      </c>
    </row>
    <row r="27" spans="1:12" x14ac:dyDescent="0.3">
      <c r="A27" s="1233">
        <v>12</v>
      </c>
      <c r="B27" s="1080" t="str">
        <f t="shared" si="1"/>
        <v>Discus Match 2</v>
      </c>
      <c r="C27" s="1080" t="str">
        <f t="shared" si="2"/>
        <v>U16 Female</v>
      </c>
      <c r="D27" s="1188">
        <f>$H$15</f>
        <v>5</v>
      </c>
      <c r="E27" s="1188">
        <f>$G$15</f>
        <v>4</v>
      </c>
      <c r="F27" s="1188">
        <f>$I$15</f>
        <v>6</v>
      </c>
      <c r="G27" s="1188">
        <f>$E$15</f>
        <v>2</v>
      </c>
      <c r="H27" s="1188">
        <f>$D$15</f>
        <v>1</v>
      </c>
      <c r="I27" s="1188">
        <f>$K$15</f>
        <v>8</v>
      </c>
      <c r="J27" s="1188">
        <f>$F$15</f>
        <v>3</v>
      </c>
      <c r="K27" s="1188">
        <f>$J$15</f>
        <v>7</v>
      </c>
      <c r="L27" s="1188">
        <f t="shared" si="0"/>
        <v>36</v>
      </c>
    </row>
    <row r="28" spans="1:12" x14ac:dyDescent="0.3">
      <c r="A28" s="1233">
        <v>13</v>
      </c>
      <c r="B28" s="1080" t="str">
        <f>IF($A28&gt;0,VLOOKUP($A28,EventsOrder,6,FALSE)," ")</f>
        <v>Javelin (U18) Match 1 &amp; 3</v>
      </c>
      <c r="C28" s="1080" t="str">
        <f>IF($A28&gt;0,VLOOKUP($A28,EventsOrder,4,FALSE)," ")</f>
        <v>U18 Female</v>
      </c>
      <c r="D28" s="1188">
        <f>$E$15</f>
        <v>2</v>
      </c>
      <c r="E28" s="1188">
        <f>$K$15</f>
        <v>8</v>
      </c>
      <c r="F28" s="1188">
        <f>$H$15</f>
        <v>5</v>
      </c>
      <c r="G28" s="1188">
        <f>$G$15</f>
        <v>4</v>
      </c>
      <c r="H28" s="1188">
        <f>$F$15</f>
        <v>3</v>
      </c>
      <c r="I28" s="1188">
        <f>$D$15</f>
        <v>1</v>
      </c>
      <c r="J28" s="1188">
        <f>$I$15</f>
        <v>6</v>
      </c>
      <c r="K28" s="1188">
        <f>$J$15</f>
        <v>7</v>
      </c>
      <c r="L28" s="1188">
        <f>SUM(D28:K28)</f>
        <v>36</v>
      </c>
    </row>
    <row r="29" spans="1:12" x14ac:dyDescent="0.3">
      <c r="A29" s="1233">
        <v>16</v>
      </c>
      <c r="B29" s="1080" t="str">
        <f t="shared" si="1"/>
        <v>Long Jump Pit 1</v>
      </c>
      <c r="C29" s="1080" t="str">
        <f t="shared" si="2"/>
        <v>U12 Male</v>
      </c>
      <c r="D29" s="1188">
        <f>$J$15</f>
        <v>7</v>
      </c>
      <c r="E29" s="1188">
        <f>$D$15</f>
        <v>1</v>
      </c>
      <c r="F29" s="1188">
        <f>$E$15</f>
        <v>2</v>
      </c>
      <c r="G29" s="1188">
        <f>$F$15</f>
        <v>3</v>
      </c>
      <c r="H29" s="1188">
        <f>$K$15</f>
        <v>8</v>
      </c>
      <c r="I29" s="1188">
        <f>$H$15</f>
        <v>5</v>
      </c>
      <c r="J29" s="1188">
        <f>$I$15</f>
        <v>6</v>
      </c>
      <c r="K29" s="1188">
        <f>$G$15</f>
        <v>4</v>
      </c>
      <c r="L29" s="1188">
        <f t="shared" si="0"/>
        <v>36</v>
      </c>
    </row>
    <row r="30" spans="1:12" x14ac:dyDescent="0.3">
      <c r="A30" s="1233">
        <v>17</v>
      </c>
      <c r="B30" s="1080" t="str">
        <f t="shared" si="1"/>
        <v xml:space="preserve">High Jump </v>
      </c>
      <c r="C30" s="1080" t="str">
        <f t="shared" si="2"/>
        <v>U16 Female</v>
      </c>
      <c r="D30" s="1188">
        <f>$E$15</f>
        <v>2</v>
      </c>
      <c r="E30" s="1188">
        <f>$J$15</f>
        <v>7</v>
      </c>
      <c r="F30" s="1188">
        <f>$H$15</f>
        <v>5</v>
      </c>
      <c r="G30" s="1188">
        <f>$K$15</f>
        <v>8</v>
      </c>
      <c r="H30" s="1188">
        <f>$I$15</f>
        <v>6</v>
      </c>
      <c r="I30" s="1188">
        <f>$D$15</f>
        <v>1</v>
      </c>
      <c r="J30" s="1188">
        <f>$G$15</f>
        <v>4</v>
      </c>
      <c r="K30" s="1188">
        <f>$F$15</f>
        <v>3</v>
      </c>
      <c r="L30" s="1188">
        <f t="shared" si="0"/>
        <v>36</v>
      </c>
    </row>
    <row r="31" spans="1:12" x14ac:dyDescent="0.3">
      <c r="A31" s="1233">
        <v>21</v>
      </c>
      <c r="B31" s="1080" t="str">
        <f t="shared" si="1"/>
        <v>Long Jump Pit 2</v>
      </c>
      <c r="C31" s="1080" t="str">
        <f t="shared" si="2"/>
        <v>U16 Female</v>
      </c>
      <c r="D31" s="1188">
        <f>$I$15</f>
        <v>6</v>
      </c>
      <c r="E31" s="1188">
        <f>$F$15</f>
        <v>3</v>
      </c>
      <c r="F31" s="1188">
        <f>$K$15</f>
        <v>8</v>
      </c>
      <c r="G31" s="1188">
        <f>$J$15</f>
        <v>7</v>
      </c>
      <c r="H31" s="1188">
        <f>$E$15</f>
        <v>2</v>
      </c>
      <c r="I31" s="1188">
        <f>$G$15</f>
        <v>4</v>
      </c>
      <c r="J31" s="1188">
        <f>$D$15</f>
        <v>1</v>
      </c>
      <c r="K31" s="1188">
        <f>$H$15</f>
        <v>5</v>
      </c>
      <c r="L31" s="1188">
        <f t="shared" si="0"/>
        <v>36</v>
      </c>
    </row>
    <row r="32" spans="1:12" x14ac:dyDescent="0.3">
      <c r="A32" s="1233">
        <v>22</v>
      </c>
      <c r="B32" s="1080" t="str">
        <f t="shared" si="1"/>
        <v xml:space="preserve">Shot </v>
      </c>
      <c r="C32" s="1080" t="str">
        <f t="shared" si="2"/>
        <v>U16 Male</v>
      </c>
      <c r="D32" s="1188">
        <f>$K$15</f>
        <v>8</v>
      </c>
      <c r="E32" s="1188">
        <f>$H$15</f>
        <v>5</v>
      </c>
      <c r="F32" s="1188">
        <f>$G$15</f>
        <v>4</v>
      </c>
      <c r="G32" s="1188">
        <f>$I$15</f>
        <v>6</v>
      </c>
      <c r="H32" s="1188">
        <f>$J$15</f>
        <v>7</v>
      </c>
      <c r="I32" s="1188">
        <f>$F$15</f>
        <v>3</v>
      </c>
      <c r="J32" s="1188">
        <f>$E$15</f>
        <v>2</v>
      </c>
      <c r="K32" s="1188">
        <f>$D$15</f>
        <v>1</v>
      </c>
      <c r="L32" s="1188">
        <f t="shared" si="0"/>
        <v>36</v>
      </c>
    </row>
    <row r="33" spans="1:12" x14ac:dyDescent="0.3">
      <c r="A33" s="1233">
        <v>23</v>
      </c>
      <c r="B33" s="1080" t="str">
        <f>IF($A33&gt;0,VLOOKUP($A33,EventsOrder,6,FALSE)," ")</f>
        <v>Discus (U18) Match 2</v>
      </c>
      <c r="C33" s="1080" t="str">
        <f>IF($A33&gt;0,VLOOKUP($A33,EventsOrder,4,FALSE)," ")</f>
        <v>U18 Men</v>
      </c>
      <c r="D33" s="1188">
        <f>$D$15</f>
        <v>1</v>
      </c>
      <c r="E33" s="1188">
        <f>$G$15</f>
        <v>4</v>
      </c>
      <c r="F33" s="1188">
        <f>$J$15</f>
        <v>7</v>
      </c>
      <c r="G33" s="1188">
        <f>$I$15</f>
        <v>6</v>
      </c>
      <c r="H33" s="1188">
        <f>$H$15</f>
        <v>5</v>
      </c>
      <c r="I33" s="1188">
        <f>$K$15</f>
        <v>8</v>
      </c>
      <c r="J33" s="1188">
        <f>$E$15</f>
        <v>2</v>
      </c>
      <c r="K33" s="1188">
        <f>$F$15</f>
        <v>3</v>
      </c>
      <c r="L33" s="1188">
        <f>SUM(D33:K33)</f>
        <v>36</v>
      </c>
    </row>
    <row r="34" spans="1:12" x14ac:dyDescent="0.3">
      <c r="A34" s="1233">
        <v>24</v>
      </c>
      <c r="B34" s="1080" t="str">
        <f t="shared" si="1"/>
        <v>Javelin Match 1 &amp; 3</v>
      </c>
      <c r="C34" s="1080" t="str">
        <f t="shared" si="2"/>
        <v>U14 Male</v>
      </c>
      <c r="D34" s="1188">
        <f>$H$15</f>
        <v>5</v>
      </c>
      <c r="E34" s="1188">
        <f>$K$15</f>
        <v>8</v>
      </c>
      <c r="F34" s="1188">
        <f>$E$15</f>
        <v>2</v>
      </c>
      <c r="G34" s="1188">
        <f>$J$15</f>
        <v>7</v>
      </c>
      <c r="H34" s="1188">
        <f>$F$15</f>
        <v>3</v>
      </c>
      <c r="I34" s="1188">
        <f>$D$15</f>
        <v>1</v>
      </c>
      <c r="J34" s="1188">
        <f>$G$15</f>
        <v>4</v>
      </c>
      <c r="K34" s="1188">
        <f>$I$15</f>
        <v>6</v>
      </c>
      <c r="L34" s="1188">
        <f t="shared" si="0"/>
        <v>36</v>
      </c>
    </row>
    <row r="35" spans="1:12" x14ac:dyDescent="0.3">
      <c r="A35" s="1233">
        <v>29</v>
      </c>
      <c r="B35" s="1080" t="str">
        <f t="shared" si="1"/>
        <v xml:space="preserve">High Jump </v>
      </c>
      <c r="C35" s="1080" t="str">
        <f t="shared" si="2"/>
        <v>U14 Female</v>
      </c>
      <c r="D35" s="1188">
        <f>$F$15</f>
        <v>3</v>
      </c>
      <c r="E35" s="1188">
        <f>$E$15</f>
        <v>2</v>
      </c>
      <c r="F35" s="1188">
        <f>$I$15</f>
        <v>6</v>
      </c>
      <c r="G35" s="1188">
        <f>$H$15</f>
        <v>5</v>
      </c>
      <c r="H35" s="1188">
        <f>$J$15</f>
        <v>7</v>
      </c>
      <c r="I35" s="1188">
        <f>$G$15</f>
        <v>4</v>
      </c>
      <c r="J35" s="1188">
        <f>$D$15</f>
        <v>1</v>
      </c>
      <c r="K35" s="1188">
        <f>$K$15</f>
        <v>8</v>
      </c>
      <c r="L35" s="1188">
        <f t="shared" si="0"/>
        <v>36</v>
      </c>
    </row>
    <row r="36" spans="1:12" x14ac:dyDescent="0.3">
      <c r="A36" s="1233">
        <v>30</v>
      </c>
      <c r="B36" s="1080" t="str">
        <f t="shared" si="1"/>
        <v>Long Jump (U18/20) Pit1</v>
      </c>
      <c r="C36" s="1080" t="str">
        <f t="shared" si="2"/>
        <v>U18 Men</v>
      </c>
      <c r="D36" s="1188">
        <f>$G$15</f>
        <v>4</v>
      </c>
      <c r="E36" s="1188">
        <f>$I$15</f>
        <v>6</v>
      </c>
      <c r="F36" s="1188">
        <f>$K$15</f>
        <v>8</v>
      </c>
      <c r="G36" s="1188">
        <f>$E$15</f>
        <v>2</v>
      </c>
      <c r="H36" s="1188">
        <f>$D$15</f>
        <v>1</v>
      </c>
      <c r="I36" s="1188">
        <f>$F$15</f>
        <v>3</v>
      </c>
      <c r="J36" s="1188">
        <f>$H$15</f>
        <v>5</v>
      </c>
      <c r="K36" s="1188">
        <f>$J$15</f>
        <v>7</v>
      </c>
      <c r="L36" s="1188">
        <f t="shared" si="0"/>
        <v>36</v>
      </c>
    </row>
    <row r="37" spans="1:12" x14ac:dyDescent="0.3">
      <c r="A37" s="1233">
        <v>35</v>
      </c>
      <c r="B37" s="1080" t="str">
        <f t="shared" si="1"/>
        <v xml:space="preserve">Shot (U18) </v>
      </c>
      <c r="C37" s="1080" t="str">
        <f t="shared" si="2"/>
        <v>U18 Female</v>
      </c>
      <c r="D37" s="1188">
        <f>$D$15</f>
        <v>1</v>
      </c>
      <c r="E37" s="1188">
        <f>$J$15</f>
        <v>7</v>
      </c>
      <c r="F37" s="1188">
        <f>$G$15</f>
        <v>4</v>
      </c>
      <c r="G37" s="1188">
        <f>$F$15</f>
        <v>3</v>
      </c>
      <c r="H37" s="1188">
        <f>$I$15</f>
        <v>6</v>
      </c>
      <c r="I37" s="1188">
        <f>$H$15</f>
        <v>5</v>
      </c>
      <c r="J37" s="1188">
        <f>$E$15</f>
        <v>2</v>
      </c>
      <c r="K37" s="1188">
        <f>$K$15</f>
        <v>8</v>
      </c>
      <c r="L37" s="1188">
        <f t="shared" si="0"/>
        <v>36</v>
      </c>
    </row>
    <row r="38" spans="1:12" x14ac:dyDescent="0.3">
      <c r="A38" s="1233">
        <v>36</v>
      </c>
      <c r="B38" s="1080" t="str">
        <f>IF($A38&gt;0,VLOOKUP($A38,EventsOrder,6,FALSE)," ")</f>
        <v>Discus Match 2</v>
      </c>
      <c r="C38" s="1080" t="str">
        <f>IF($A38&gt;0,VLOOKUP($A38,EventsOrder,4,FALSE)," ")</f>
        <v>U14 Female</v>
      </c>
      <c r="D38" s="1188">
        <f>$H$15</f>
        <v>5</v>
      </c>
      <c r="E38" s="1188">
        <f>$I$15</f>
        <v>6</v>
      </c>
      <c r="F38" s="1188">
        <f>$D$15</f>
        <v>1</v>
      </c>
      <c r="G38" s="1188">
        <f>$F$15</f>
        <v>3</v>
      </c>
      <c r="H38" s="1188">
        <f>$K$15</f>
        <v>8</v>
      </c>
      <c r="I38" s="1188">
        <f>$J$15</f>
        <v>7</v>
      </c>
      <c r="J38" s="1188">
        <f>$G$15</f>
        <v>4</v>
      </c>
      <c r="K38" s="1188">
        <f>$E$15</f>
        <v>2</v>
      </c>
      <c r="L38" s="1188">
        <f>SUM(D38:K38)</f>
        <v>36</v>
      </c>
    </row>
    <row r="39" spans="1:12" x14ac:dyDescent="0.3">
      <c r="A39" s="1233">
        <v>37</v>
      </c>
      <c r="B39" s="1080" t="str">
        <f t="shared" si="1"/>
        <v>Javelin Match 1 &amp; 3</v>
      </c>
      <c r="C39" s="1080" t="str">
        <f t="shared" si="2"/>
        <v>U16 Male</v>
      </c>
      <c r="D39" s="1188">
        <f>$K$15</f>
        <v>8</v>
      </c>
      <c r="E39" s="1188">
        <f>$G$15</f>
        <v>4</v>
      </c>
      <c r="F39" s="1188">
        <f>$D$15</f>
        <v>1</v>
      </c>
      <c r="G39" s="1188">
        <f>$I$15</f>
        <v>6</v>
      </c>
      <c r="H39" s="1188">
        <f>$E$15</f>
        <v>2</v>
      </c>
      <c r="I39" s="1188">
        <f>$J$15</f>
        <v>7</v>
      </c>
      <c r="J39" s="1188">
        <f>$F$15</f>
        <v>3</v>
      </c>
      <c r="K39" s="1188">
        <f>$H$15</f>
        <v>5</v>
      </c>
      <c r="L39" s="1188">
        <f t="shared" si="0"/>
        <v>36</v>
      </c>
    </row>
    <row r="40" spans="1:12" x14ac:dyDescent="0.3">
      <c r="A40" s="1233">
        <v>40</v>
      </c>
      <c r="B40" s="1080" t="str">
        <f t="shared" si="1"/>
        <v>Long Jump Pit 2</v>
      </c>
      <c r="C40" s="1080" t="str">
        <f t="shared" si="2"/>
        <v>U12 Female</v>
      </c>
      <c r="D40" s="1188">
        <f>$I$15</f>
        <v>6</v>
      </c>
      <c r="E40" s="1188">
        <f>$F$15</f>
        <v>3</v>
      </c>
      <c r="F40" s="1188">
        <f>$J$15</f>
        <v>7</v>
      </c>
      <c r="G40" s="1188">
        <f>$G$15</f>
        <v>4</v>
      </c>
      <c r="H40" s="1188">
        <f>$H$15</f>
        <v>5</v>
      </c>
      <c r="I40" s="1188">
        <f>$E$15</f>
        <v>2</v>
      </c>
      <c r="J40" s="1188">
        <f>$K$15</f>
        <v>8</v>
      </c>
      <c r="K40" s="1188">
        <f>$D$15</f>
        <v>1</v>
      </c>
      <c r="L40" s="1188">
        <f t="shared" si="0"/>
        <v>36</v>
      </c>
    </row>
    <row r="41" spans="1:12" x14ac:dyDescent="0.3">
      <c r="A41" s="1233">
        <v>45</v>
      </c>
      <c r="B41" s="1080" t="str">
        <f>IF($A41&gt;0,VLOOKUP($A41,EventsOrder,6,FALSE)," ")</f>
        <v xml:space="preserve">High Jump </v>
      </c>
      <c r="C41" s="1080" t="str">
        <f>IF($A41&gt;0,VLOOKUP($A41,EventsOrder,4,FALSE)," ")</f>
        <v>U16 Male</v>
      </c>
      <c r="D41" s="1188">
        <f>$K$15</f>
        <v>8</v>
      </c>
      <c r="E41" s="1188">
        <f>$E$15</f>
        <v>2</v>
      </c>
      <c r="F41" s="1188">
        <f>$G$15</f>
        <v>4</v>
      </c>
      <c r="G41" s="1188">
        <f>$H$15</f>
        <v>5</v>
      </c>
      <c r="H41" s="1188">
        <f>$J$15</f>
        <v>7</v>
      </c>
      <c r="I41" s="1188">
        <f>$F$15</f>
        <v>3</v>
      </c>
      <c r="J41" s="1188">
        <f>$D$15</f>
        <v>1</v>
      </c>
      <c r="K41" s="1188">
        <f>$I$15</f>
        <v>6</v>
      </c>
      <c r="L41" s="1188">
        <f>SUM(D41:K41)</f>
        <v>36</v>
      </c>
    </row>
    <row r="42" spans="1:12" x14ac:dyDescent="0.3">
      <c r="A42" s="1233">
        <v>47</v>
      </c>
      <c r="B42" s="1080" t="str">
        <f t="shared" si="1"/>
        <v xml:space="preserve">Shot </v>
      </c>
      <c r="C42" s="1080" t="str">
        <f t="shared" si="2"/>
        <v>U14 Male</v>
      </c>
      <c r="D42" s="1188">
        <f>$E$15</f>
        <v>2</v>
      </c>
      <c r="E42" s="1188">
        <f>$H$15</f>
        <v>5</v>
      </c>
      <c r="F42" s="1188">
        <f>$F$15</f>
        <v>3</v>
      </c>
      <c r="G42" s="1188">
        <f>$D$15</f>
        <v>1</v>
      </c>
      <c r="H42" s="1188">
        <f>$K$15</f>
        <v>8</v>
      </c>
      <c r="I42" s="1188">
        <f>$I$15</f>
        <v>6</v>
      </c>
      <c r="J42" s="1188">
        <f>$J$15</f>
        <v>7</v>
      </c>
      <c r="K42" s="1188">
        <f>$G$15</f>
        <v>4</v>
      </c>
      <c r="L42" s="1188">
        <f t="shared" si="0"/>
        <v>36</v>
      </c>
    </row>
    <row r="43" spans="1:12" x14ac:dyDescent="0.3">
      <c r="A43" s="1233">
        <v>48</v>
      </c>
      <c r="B43" s="1080" t="str">
        <f t="shared" si="1"/>
        <v>Discus (U18) Match 2</v>
      </c>
      <c r="C43" s="1080" t="str">
        <f t="shared" si="2"/>
        <v>U18 Female</v>
      </c>
      <c r="D43" s="1188">
        <f>$J$15</f>
        <v>7</v>
      </c>
      <c r="E43" s="1188">
        <f>$D$15</f>
        <v>1</v>
      </c>
      <c r="F43" s="1188">
        <f>$H$15</f>
        <v>5</v>
      </c>
      <c r="G43" s="1188">
        <f>$E$15</f>
        <v>2</v>
      </c>
      <c r="H43" s="1188">
        <f>$G$15</f>
        <v>4</v>
      </c>
      <c r="I43" s="1188">
        <f>$K$15</f>
        <v>8</v>
      </c>
      <c r="J43" s="1188">
        <f>$I$15</f>
        <v>6</v>
      </c>
      <c r="K43" s="1188">
        <f>$F$15</f>
        <v>3</v>
      </c>
      <c r="L43" s="1188">
        <f t="shared" si="0"/>
        <v>36</v>
      </c>
    </row>
    <row r="44" spans="1:12" x14ac:dyDescent="0.3">
      <c r="A44" s="1233">
        <v>49</v>
      </c>
      <c r="B44" s="1080" t="str">
        <f t="shared" si="1"/>
        <v>Javelin Match 1 &amp; 3</v>
      </c>
      <c r="C44" s="1080" t="str">
        <f t="shared" si="2"/>
        <v>U16 Female</v>
      </c>
      <c r="D44" s="1188">
        <f>$H$15</f>
        <v>5</v>
      </c>
      <c r="E44" s="1188">
        <f>$D$15</f>
        <v>1</v>
      </c>
      <c r="F44" s="1188">
        <f>$K$15</f>
        <v>8</v>
      </c>
      <c r="G44" s="1188">
        <f>$E$15</f>
        <v>2</v>
      </c>
      <c r="H44" s="1188">
        <f>$J$15</f>
        <v>7</v>
      </c>
      <c r="I44" s="1188">
        <f>$F$15</f>
        <v>3</v>
      </c>
      <c r="J44" s="1188">
        <f>$G$15</f>
        <v>4</v>
      </c>
      <c r="K44" s="1188">
        <f>$I$15</f>
        <v>6</v>
      </c>
      <c r="L44" s="1188">
        <f t="shared" si="0"/>
        <v>36</v>
      </c>
    </row>
    <row r="45" spans="1:12" x14ac:dyDescent="0.3">
      <c r="A45" s="1233">
        <v>52</v>
      </c>
      <c r="B45" s="1080" t="str">
        <f t="shared" si="1"/>
        <v>Long Jump Pit 1</v>
      </c>
      <c r="C45" s="1080" t="str">
        <f t="shared" si="2"/>
        <v>U14 Female</v>
      </c>
      <c r="D45" s="1188">
        <f>$F$15</f>
        <v>3</v>
      </c>
      <c r="E45" s="1188">
        <f>$G$15</f>
        <v>4</v>
      </c>
      <c r="F45" s="1188">
        <f>$E$15</f>
        <v>2</v>
      </c>
      <c r="G45" s="1188">
        <f>$I$15</f>
        <v>6</v>
      </c>
      <c r="H45" s="1188">
        <f>$H$15</f>
        <v>5</v>
      </c>
      <c r="I45" s="1188">
        <f>$J$15</f>
        <v>7</v>
      </c>
      <c r="J45" s="1188">
        <f>$D$15</f>
        <v>1</v>
      </c>
      <c r="K45" s="1188">
        <f>$K$15</f>
        <v>8</v>
      </c>
      <c r="L45" s="1188">
        <f t="shared" si="0"/>
        <v>36</v>
      </c>
    </row>
    <row r="46" spans="1:12" x14ac:dyDescent="0.3">
      <c r="A46" s="1233">
        <v>57</v>
      </c>
      <c r="B46" s="1080" t="str">
        <f>IF($A46&gt;0,VLOOKUP($A46,EventsOrder,6,FALSE)," ")</f>
        <v xml:space="preserve">High Jump (U18/U20) </v>
      </c>
      <c r="C46" s="1080" t="str">
        <f>IF($A46&gt;0,VLOOKUP($A46,EventsOrder,4,FALSE)," ")</f>
        <v>U18 Female</v>
      </c>
      <c r="D46" s="1188">
        <f>$G$15</f>
        <v>4</v>
      </c>
      <c r="E46" s="1188">
        <f>$J$15</f>
        <v>7</v>
      </c>
      <c r="F46" s="1188">
        <f>$F$15</f>
        <v>3</v>
      </c>
      <c r="G46" s="1188">
        <f>$D$15</f>
        <v>1</v>
      </c>
      <c r="H46" s="1188">
        <f>$I$15</f>
        <v>6</v>
      </c>
      <c r="I46" s="1188">
        <f>$H$15</f>
        <v>5</v>
      </c>
      <c r="J46" s="1188">
        <f>$E$15</f>
        <v>2</v>
      </c>
      <c r="K46" s="1188">
        <f>$K$15</f>
        <v>8</v>
      </c>
      <c r="L46" s="1188">
        <f>SUM(D46:K46)</f>
        <v>36</v>
      </c>
    </row>
    <row r="47" spans="1:12" x14ac:dyDescent="0.3">
      <c r="A47" s="1233">
        <v>58</v>
      </c>
      <c r="B47" s="1080" t="str">
        <f>IF($A47&gt;0,VLOOKUP($A47,EventsOrder,6,FALSE)," ")</f>
        <v>Long Jump Pit 2</v>
      </c>
      <c r="C47" s="1080" t="str">
        <f>IF($A47&gt;0,VLOOKUP($A47,EventsOrder,4,FALSE)," ")</f>
        <v>U14 Male</v>
      </c>
      <c r="D47" s="1188">
        <f>$H$15</f>
        <v>5</v>
      </c>
      <c r="E47" s="1188">
        <f>$F$15</f>
        <v>3</v>
      </c>
      <c r="F47" s="1188">
        <f>$G$15</f>
        <v>4</v>
      </c>
      <c r="G47" s="1188">
        <f>$D$15</f>
        <v>1</v>
      </c>
      <c r="H47" s="1188">
        <f>$K$15</f>
        <v>8</v>
      </c>
      <c r="I47" s="1188">
        <f>$J$15</f>
        <v>7</v>
      </c>
      <c r="J47" s="1188">
        <f>$I$15</f>
        <v>6</v>
      </c>
      <c r="K47" s="1188">
        <f>$E$15</f>
        <v>2</v>
      </c>
      <c r="L47" s="1188">
        <f>SUM(D47:K47)</f>
        <v>36</v>
      </c>
    </row>
    <row r="48" spans="1:12" x14ac:dyDescent="0.3">
      <c r="A48" s="1233">
        <v>59</v>
      </c>
      <c r="B48" s="1080" t="str">
        <f t="shared" si="1"/>
        <v xml:space="preserve">Shot </v>
      </c>
      <c r="C48" s="1080" t="str">
        <f t="shared" si="2"/>
        <v>U14 Female</v>
      </c>
      <c r="D48" s="1188">
        <f>$G$15</f>
        <v>4</v>
      </c>
      <c r="E48" s="1188">
        <f>$F$15</f>
        <v>3</v>
      </c>
      <c r="F48" s="1188">
        <f>$I$15</f>
        <v>6</v>
      </c>
      <c r="G48" s="1188">
        <f>$K$15</f>
        <v>8</v>
      </c>
      <c r="H48" s="1188">
        <f>$E$15</f>
        <v>2</v>
      </c>
      <c r="I48" s="1188">
        <f>$D$15</f>
        <v>1</v>
      </c>
      <c r="J48" s="1188">
        <f>$H$15</f>
        <v>5</v>
      </c>
      <c r="K48" s="1188">
        <f>$J$15</f>
        <v>7</v>
      </c>
      <c r="L48" s="1188">
        <f t="shared" si="0"/>
        <v>36</v>
      </c>
    </row>
    <row r="49" spans="1:12" x14ac:dyDescent="0.3">
      <c r="A49" s="1233">
        <v>60</v>
      </c>
      <c r="B49" s="1080" t="str">
        <f t="shared" si="1"/>
        <v>Discus Match 2</v>
      </c>
      <c r="C49" s="1080" t="str">
        <f t="shared" si="2"/>
        <v>U16 Male</v>
      </c>
      <c r="D49" s="1188">
        <f>$D$15</f>
        <v>1</v>
      </c>
      <c r="E49" s="1188">
        <f>$H$15</f>
        <v>5</v>
      </c>
      <c r="F49" s="1188">
        <f>$J$15</f>
        <v>7</v>
      </c>
      <c r="G49" s="1188">
        <f>$G$15</f>
        <v>4</v>
      </c>
      <c r="H49" s="1188">
        <f>$F$15</f>
        <v>3</v>
      </c>
      <c r="I49" s="1188">
        <f>$I$15</f>
        <v>6</v>
      </c>
      <c r="J49" s="1188">
        <f>$E$15</f>
        <v>2</v>
      </c>
      <c r="K49" s="1188">
        <f>$K$15</f>
        <v>8</v>
      </c>
      <c r="L49" s="1188">
        <f t="shared" si="0"/>
        <v>36</v>
      </c>
    </row>
    <row r="50" spans="1:12" x14ac:dyDescent="0.3">
      <c r="A50" s="1233">
        <v>61</v>
      </c>
      <c r="B50" s="1080" t="str">
        <f>IF($A50&gt;0,VLOOKUP($A50,EventsOrder,6,FALSE)," ")</f>
        <v>Javelin (U18) Match 1 &amp; 3</v>
      </c>
      <c r="C50" s="1080" t="str">
        <f>IF($A50&gt;0,VLOOKUP($A50,EventsOrder,4,FALSE)," ")</f>
        <v>U18 Men</v>
      </c>
      <c r="D50" s="1188">
        <f>$E$15</f>
        <v>2</v>
      </c>
      <c r="E50" s="1188">
        <f>$G$15</f>
        <v>4</v>
      </c>
      <c r="F50" s="1188">
        <f>$F$15</f>
        <v>3</v>
      </c>
      <c r="G50" s="1188">
        <f>$H$15</f>
        <v>5</v>
      </c>
      <c r="H50" s="1188">
        <f>$J$15</f>
        <v>7</v>
      </c>
      <c r="I50" s="1188">
        <f>$D$15</f>
        <v>1</v>
      </c>
      <c r="J50" s="1188">
        <f>$K$15</f>
        <v>8</v>
      </c>
      <c r="K50" s="1188">
        <f>$I$15</f>
        <v>6</v>
      </c>
      <c r="L50" s="1188">
        <f>SUM(D50:K50)</f>
        <v>36</v>
      </c>
    </row>
    <row r="51" spans="1:12" x14ac:dyDescent="0.3">
      <c r="A51" s="1233">
        <v>67</v>
      </c>
      <c r="B51" s="1080" t="str">
        <f t="shared" si="1"/>
        <v>Long Jump (U18/20) Pit1</v>
      </c>
      <c r="C51" s="1080" t="str">
        <f t="shared" si="2"/>
        <v>U18 Female</v>
      </c>
      <c r="D51" s="1188">
        <f>$K$15</f>
        <v>8</v>
      </c>
      <c r="E51" s="1188">
        <f>$J$15</f>
        <v>7</v>
      </c>
      <c r="F51" s="1188">
        <f>$G$15</f>
        <v>4</v>
      </c>
      <c r="G51" s="1188">
        <f>$D$15</f>
        <v>1</v>
      </c>
      <c r="H51" s="1188">
        <f>$I$15</f>
        <v>6</v>
      </c>
      <c r="I51" s="1188">
        <f>$E$15</f>
        <v>2</v>
      </c>
      <c r="J51" s="1188">
        <f>$F$15</f>
        <v>3</v>
      </c>
      <c r="K51" s="1188">
        <f>$H$15</f>
        <v>5</v>
      </c>
      <c r="L51" s="1188">
        <f t="shared" si="0"/>
        <v>36</v>
      </c>
    </row>
    <row r="52" spans="1:12" x14ac:dyDescent="0.3">
      <c r="A52" s="1233">
        <v>69</v>
      </c>
      <c r="B52" s="1080" t="str">
        <f>IF($A52&gt;0,VLOOKUP($A52,EventsOrder,6,FALSE)," ")</f>
        <v xml:space="preserve">High Jump (U18/U20) </v>
      </c>
      <c r="C52" s="1080" t="str">
        <f>IF($A52&gt;0,VLOOKUP($A52,EventsOrder,4,FALSE)," ")</f>
        <v>U18 Men</v>
      </c>
      <c r="D52" s="1188">
        <f>$F$15</f>
        <v>3</v>
      </c>
      <c r="E52" s="1188">
        <f>$D$15</f>
        <v>1</v>
      </c>
      <c r="F52" s="1188">
        <f>$H$15</f>
        <v>5</v>
      </c>
      <c r="G52" s="1188">
        <f>$E$15</f>
        <v>2</v>
      </c>
      <c r="H52" s="1188">
        <f>$K$15</f>
        <v>8</v>
      </c>
      <c r="I52" s="1188">
        <f>$I$15</f>
        <v>6</v>
      </c>
      <c r="J52" s="1188">
        <f>$G$15</f>
        <v>4</v>
      </c>
      <c r="K52" s="1188">
        <f>$J$15</f>
        <v>7</v>
      </c>
      <c r="L52" s="1188">
        <f>SUM(D52:K52)</f>
        <v>36</v>
      </c>
    </row>
    <row r="53" spans="1:12" x14ac:dyDescent="0.3">
      <c r="A53" s="1233">
        <v>73</v>
      </c>
      <c r="B53" s="1080" t="str">
        <f>IF($A53&gt;0,VLOOKUP($A53,EventsOrder,6,FALSE)," ")</f>
        <v xml:space="preserve">Shot </v>
      </c>
      <c r="C53" s="1080" t="str">
        <f>IF($A53&gt;0,VLOOKUP($A53,EventsOrder,4,FALSE)," ")</f>
        <v>U16 Female</v>
      </c>
      <c r="D53" s="1188">
        <f>$I$15</f>
        <v>6</v>
      </c>
      <c r="E53" s="1188">
        <f>$K$15</f>
        <v>8</v>
      </c>
      <c r="F53" s="1188">
        <f>$J$15</f>
        <v>7</v>
      </c>
      <c r="G53" s="1188">
        <f>$F$15</f>
        <v>3</v>
      </c>
      <c r="H53" s="1188">
        <f>$H$15</f>
        <v>5</v>
      </c>
      <c r="I53" s="1188">
        <f>$E$15</f>
        <v>2</v>
      </c>
      <c r="J53" s="1188">
        <f>$D$15</f>
        <v>1</v>
      </c>
      <c r="K53" s="1188">
        <f>$G$15</f>
        <v>4</v>
      </c>
      <c r="L53" s="1188">
        <f>SUM(D53:K53)</f>
        <v>36</v>
      </c>
    </row>
    <row r="54" spans="1:12" x14ac:dyDescent="0.3">
      <c r="A54" s="1233">
        <v>74</v>
      </c>
      <c r="B54" s="1080" t="str">
        <f>IF($A54&gt;0,VLOOKUP($A54,EventsOrder,6,FALSE)," ")</f>
        <v>Discus Match 2</v>
      </c>
      <c r="C54" s="1080" t="str">
        <f>IF($A54&gt;0,VLOOKUP($A54,EventsOrder,4,FALSE)," ")</f>
        <v>U14 Male</v>
      </c>
      <c r="D54" s="1188">
        <f>$G$15</f>
        <v>4</v>
      </c>
      <c r="E54" s="1188">
        <f>$I$15</f>
        <v>6</v>
      </c>
      <c r="F54" s="1188">
        <f>$E$15</f>
        <v>2</v>
      </c>
      <c r="G54" s="1188">
        <f>$K$15</f>
        <v>8</v>
      </c>
      <c r="H54" s="1188">
        <f>$D$15</f>
        <v>1</v>
      </c>
      <c r="I54" s="1188">
        <f>$H$15</f>
        <v>5</v>
      </c>
      <c r="J54" s="1188">
        <f>$J$15</f>
        <v>7</v>
      </c>
      <c r="K54" s="1188">
        <f>$F$15</f>
        <v>3</v>
      </c>
      <c r="L54" s="1188">
        <f>SUM(D54:K54)</f>
        <v>36</v>
      </c>
    </row>
    <row r="55" spans="1:12" x14ac:dyDescent="0.3">
      <c r="A55" s="1233">
        <v>75</v>
      </c>
      <c r="B55" s="1080" t="str">
        <f t="shared" si="1"/>
        <v>Javelin Match 1 &amp; 3</v>
      </c>
      <c r="C55" s="1080" t="str">
        <f t="shared" si="2"/>
        <v>U14 Female</v>
      </c>
      <c r="D55" s="1188">
        <f t="shared" ref="D55:D65" si="3">$F$15</f>
        <v>3</v>
      </c>
      <c r="E55" s="1188">
        <f t="shared" ref="E55:E57" si="4">$H$15</f>
        <v>5</v>
      </c>
      <c r="F55" s="1188">
        <f t="shared" ref="F55:F66" si="5">$I$15</f>
        <v>6</v>
      </c>
      <c r="G55" s="1188">
        <f t="shared" ref="G55:G66" si="6">$K$15</f>
        <v>8</v>
      </c>
      <c r="H55" s="1188">
        <f t="shared" ref="H55:H57" si="7">$G$15</f>
        <v>4</v>
      </c>
      <c r="I55" s="1188">
        <f t="shared" ref="I55:I57" si="8">$E$15</f>
        <v>2</v>
      </c>
      <c r="J55" s="1188">
        <f t="shared" ref="J55:J66" si="9">$J$15</f>
        <v>7</v>
      </c>
      <c r="K55" s="1188">
        <f t="shared" ref="K55:K66" si="10">$D$15</f>
        <v>1</v>
      </c>
      <c r="L55" s="1188">
        <f t="shared" ref="L55:L66" si="11">SUM(D55:K55)</f>
        <v>36</v>
      </c>
    </row>
    <row r="56" spans="1:12" x14ac:dyDescent="0.3">
      <c r="A56" s="1234"/>
      <c r="B56" s="1228" t="str">
        <f>IF($A56&gt;0,VLOOKUP($A56,EventsOrder,6,FALSE)," ")</f>
        <v xml:space="preserve"> </v>
      </c>
      <c r="C56" s="1228" t="str">
        <f>IF($A56&gt;0,VLOOKUP($A56,EventsOrder,4,FALSE)," ")</f>
        <v xml:space="preserve"> </v>
      </c>
      <c r="D56" s="1229">
        <f>$J$15</f>
        <v>7</v>
      </c>
      <c r="E56" s="1229">
        <f>$K$15</f>
        <v>8</v>
      </c>
      <c r="F56" s="1229">
        <f>$D$15</f>
        <v>1</v>
      </c>
      <c r="G56" s="1229">
        <f>$H$15</f>
        <v>5</v>
      </c>
      <c r="H56" s="1229">
        <f>$E$15</f>
        <v>2</v>
      </c>
      <c r="I56" s="1229">
        <f>$G$15</f>
        <v>4</v>
      </c>
      <c r="J56" s="1229">
        <f>$I$15</f>
        <v>6</v>
      </c>
      <c r="K56" s="1229">
        <f>$F$15</f>
        <v>3</v>
      </c>
      <c r="L56" s="1229">
        <f>SUM(D56:K56)</f>
        <v>36</v>
      </c>
    </row>
    <row r="57" spans="1:12" x14ac:dyDescent="0.3">
      <c r="A57" s="307"/>
      <c r="B57" s="1080" t="str">
        <f t="shared" si="1"/>
        <v xml:space="preserve"> </v>
      </c>
      <c r="C57" s="1080" t="str">
        <f t="shared" si="2"/>
        <v xml:space="preserve"> </v>
      </c>
      <c r="D57" s="1188">
        <v>1</v>
      </c>
      <c r="E57" s="1188">
        <f t="shared" si="4"/>
        <v>5</v>
      </c>
      <c r="F57" s="1188">
        <v>6</v>
      </c>
      <c r="G57" s="1188">
        <f t="shared" si="6"/>
        <v>8</v>
      </c>
      <c r="H57" s="1188">
        <f t="shared" si="7"/>
        <v>4</v>
      </c>
      <c r="I57" s="1188">
        <f t="shared" si="8"/>
        <v>2</v>
      </c>
      <c r="J57" s="1188">
        <v>3</v>
      </c>
      <c r="K57" s="1188">
        <v>7</v>
      </c>
      <c r="L57" s="1188">
        <f t="shared" si="11"/>
        <v>36</v>
      </c>
    </row>
    <row r="58" spans="1:12" x14ac:dyDescent="0.3">
      <c r="A58" s="307"/>
      <c r="B58" s="1080" t="str">
        <f t="shared" si="1"/>
        <v xml:space="preserve"> </v>
      </c>
      <c r="C58" s="1080" t="str">
        <f t="shared" si="2"/>
        <v xml:space="preserve"> </v>
      </c>
      <c r="D58" s="1188">
        <v>4</v>
      </c>
      <c r="E58" s="1188">
        <v>8</v>
      </c>
      <c r="F58" s="1188">
        <v>3</v>
      </c>
      <c r="G58" s="1188">
        <v>1</v>
      </c>
      <c r="H58" s="1188">
        <v>2</v>
      </c>
      <c r="I58" s="1188">
        <v>6</v>
      </c>
      <c r="J58" s="1188">
        <f t="shared" si="9"/>
        <v>7</v>
      </c>
      <c r="K58" s="1188">
        <v>5</v>
      </c>
      <c r="L58" s="1188">
        <f t="shared" si="11"/>
        <v>36</v>
      </c>
    </row>
    <row r="59" spans="1:12" x14ac:dyDescent="0.3">
      <c r="A59" s="307"/>
      <c r="B59" s="1080" t="str">
        <f t="shared" si="1"/>
        <v xml:space="preserve"> </v>
      </c>
      <c r="C59" s="1080" t="str">
        <f t="shared" si="2"/>
        <v xml:space="preserve"> </v>
      </c>
      <c r="D59" s="1188">
        <v>6</v>
      </c>
      <c r="E59" s="1188">
        <v>4</v>
      </c>
      <c r="F59" s="1188">
        <v>8</v>
      </c>
      <c r="G59" s="1188">
        <v>2</v>
      </c>
      <c r="H59" s="1188">
        <v>5</v>
      </c>
      <c r="I59" s="1188">
        <v>1</v>
      </c>
      <c r="J59" s="1188">
        <f t="shared" si="9"/>
        <v>7</v>
      </c>
      <c r="K59" s="1188">
        <v>3</v>
      </c>
      <c r="L59" s="1188">
        <f t="shared" si="11"/>
        <v>36</v>
      </c>
    </row>
    <row r="60" spans="1:12" x14ac:dyDescent="0.3">
      <c r="A60" s="307"/>
      <c r="B60" s="1080" t="str">
        <f t="shared" si="1"/>
        <v xml:space="preserve"> </v>
      </c>
      <c r="C60" s="1080" t="str">
        <f t="shared" si="2"/>
        <v xml:space="preserve"> </v>
      </c>
      <c r="D60" s="1188">
        <v>5</v>
      </c>
      <c r="E60" s="1188">
        <v>1</v>
      </c>
      <c r="F60" s="1188">
        <v>4</v>
      </c>
      <c r="G60" s="1188">
        <v>3</v>
      </c>
      <c r="H60" s="1188">
        <v>8</v>
      </c>
      <c r="I60" s="1188">
        <v>6</v>
      </c>
      <c r="J60" s="1188">
        <f t="shared" si="9"/>
        <v>7</v>
      </c>
      <c r="K60" s="1188">
        <v>2</v>
      </c>
      <c r="L60" s="1188">
        <f t="shared" si="11"/>
        <v>36</v>
      </c>
    </row>
    <row r="61" spans="1:12" x14ac:dyDescent="0.3">
      <c r="A61" s="1233"/>
      <c r="B61" s="1080" t="str">
        <f>IF($A61&gt;0,VLOOKUP($A61,EventsOrder,6,FALSE)," ")</f>
        <v xml:space="preserve"> </v>
      </c>
      <c r="C61" s="1080" t="str">
        <f>IF($A61&gt;0,VLOOKUP($A61,EventsOrder,4,FALSE)," ")</f>
        <v xml:space="preserve"> </v>
      </c>
      <c r="D61" s="1188">
        <v>7</v>
      </c>
      <c r="E61" s="1188">
        <v>2</v>
      </c>
      <c r="F61" s="1188">
        <v>5</v>
      </c>
      <c r="G61" s="1188">
        <f>$K$15</f>
        <v>8</v>
      </c>
      <c r="H61" s="1188">
        <v>3</v>
      </c>
      <c r="I61" s="1188">
        <v>4</v>
      </c>
      <c r="J61" s="1188">
        <v>1</v>
      </c>
      <c r="K61" s="1188">
        <v>6</v>
      </c>
      <c r="L61" s="1188">
        <f>SUM(D61:K61)</f>
        <v>36</v>
      </c>
    </row>
    <row r="62" spans="1:12" x14ac:dyDescent="0.3">
      <c r="A62" s="307"/>
      <c r="B62" s="1080" t="str">
        <f t="shared" si="1"/>
        <v xml:space="preserve"> </v>
      </c>
      <c r="C62" s="1080" t="str">
        <f t="shared" si="2"/>
        <v xml:space="preserve"> </v>
      </c>
      <c r="D62" s="1188">
        <v>4</v>
      </c>
      <c r="E62" s="1188">
        <v>3</v>
      </c>
      <c r="F62" s="1188">
        <v>6</v>
      </c>
      <c r="G62" s="1188">
        <v>5</v>
      </c>
      <c r="H62" s="1188">
        <v>1</v>
      </c>
      <c r="I62" s="1188">
        <v>8</v>
      </c>
      <c r="J62" s="1188">
        <f t="shared" si="9"/>
        <v>7</v>
      </c>
      <c r="K62" s="1188">
        <v>2</v>
      </c>
      <c r="L62" s="1188">
        <f t="shared" si="11"/>
        <v>36</v>
      </c>
    </row>
    <row r="63" spans="1:12" x14ac:dyDescent="0.3">
      <c r="A63" s="307"/>
      <c r="B63" s="1080" t="str">
        <f t="shared" si="1"/>
        <v xml:space="preserve"> </v>
      </c>
      <c r="C63" s="1080" t="str">
        <f t="shared" si="2"/>
        <v xml:space="preserve"> </v>
      </c>
      <c r="D63" s="1188">
        <v>3</v>
      </c>
      <c r="E63" s="1188">
        <v>1</v>
      </c>
      <c r="F63" s="1188">
        <v>2</v>
      </c>
      <c r="G63" s="1188">
        <f t="shared" si="6"/>
        <v>8</v>
      </c>
      <c r="H63" s="1188">
        <v>6</v>
      </c>
      <c r="I63" s="1188">
        <v>5</v>
      </c>
      <c r="J63" s="1188">
        <f t="shared" si="9"/>
        <v>7</v>
      </c>
      <c r="K63" s="1188">
        <v>4</v>
      </c>
      <c r="L63" s="1188">
        <f t="shared" si="11"/>
        <v>36</v>
      </c>
    </row>
    <row r="64" spans="1:12" x14ac:dyDescent="0.3">
      <c r="A64" s="307"/>
      <c r="B64" s="1080" t="str">
        <f t="shared" si="1"/>
        <v xml:space="preserve"> </v>
      </c>
      <c r="C64" s="1080" t="str">
        <f t="shared" si="2"/>
        <v xml:space="preserve"> </v>
      </c>
      <c r="D64" s="1188">
        <v>2</v>
      </c>
      <c r="E64" s="1188">
        <v>5</v>
      </c>
      <c r="F64" s="1188">
        <v>1</v>
      </c>
      <c r="G64" s="1188">
        <v>3</v>
      </c>
      <c r="H64" s="1188">
        <v>6</v>
      </c>
      <c r="I64" s="1188">
        <v>7</v>
      </c>
      <c r="J64" s="1188">
        <v>4</v>
      </c>
      <c r="K64" s="1188">
        <v>8</v>
      </c>
      <c r="L64" s="1188">
        <f t="shared" si="11"/>
        <v>36</v>
      </c>
    </row>
    <row r="65" spans="1:12" x14ac:dyDescent="0.3">
      <c r="A65" s="307"/>
      <c r="B65" s="1080" t="str">
        <f t="shared" si="1"/>
        <v xml:space="preserve"> </v>
      </c>
      <c r="C65" s="1080" t="str">
        <f t="shared" si="2"/>
        <v xml:space="preserve"> </v>
      </c>
      <c r="D65" s="1188">
        <f t="shared" si="3"/>
        <v>3</v>
      </c>
      <c r="E65" s="1188">
        <v>8</v>
      </c>
      <c r="F65" s="1188">
        <v>4</v>
      </c>
      <c r="G65" s="1188">
        <v>1</v>
      </c>
      <c r="H65" s="1188">
        <v>7</v>
      </c>
      <c r="I65" s="1188">
        <v>6</v>
      </c>
      <c r="J65" s="1188">
        <v>2</v>
      </c>
      <c r="K65" s="1188">
        <v>5</v>
      </c>
      <c r="L65" s="1188">
        <f t="shared" si="11"/>
        <v>36</v>
      </c>
    </row>
    <row r="66" spans="1:12" x14ac:dyDescent="0.3">
      <c r="A66" s="276"/>
      <c r="B66" s="1080" t="str">
        <f t="shared" si="1"/>
        <v xml:space="preserve"> </v>
      </c>
      <c r="C66" s="1080" t="str">
        <f t="shared" si="2"/>
        <v xml:space="preserve"> </v>
      </c>
      <c r="D66" s="1188">
        <v>5</v>
      </c>
      <c r="E66" s="1188">
        <v>2</v>
      </c>
      <c r="F66" s="1188">
        <f t="shared" si="5"/>
        <v>6</v>
      </c>
      <c r="G66" s="1188">
        <f t="shared" si="6"/>
        <v>8</v>
      </c>
      <c r="H66" s="1188">
        <v>4</v>
      </c>
      <c r="I66" s="1188">
        <v>3</v>
      </c>
      <c r="J66" s="1188">
        <f t="shared" si="9"/>
        <v>7</v>
      </c>
      <c r="K66" s="1188">
        <f t="shared" si="10"/>
        <v>1</v>
      </c>
      <c r="L66" s="1188">
        <f t="shared" si="11"/>
        <v>36</v>
      </c>
    </row>
  </sheetData>
  <sheetProtection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53</vt:i4>
      </vt:variant>
    </vt:vector>
  </HeadingPairs>
  <TitlesOfParts>
    <vt:vector size="70" baseType="lpstr">
      <vt:lpstr>Instructions</vt:lpstr>
      <vt:lpstr>Event Details</vt:lpstr>
      <vt:lpstr>Club Details</vt:lpstr>
      <vt:lpstr>Timetable</vt:lpstr>
      <vt:lpstr>TeamSheet Male</vt:lpstr>
      <vt:lpstr>TeamSheet Female</vt:lpstr>
      <vt:lpstr>Results Entry</vt:lpstr>
      <vt:lpstr>Results by Age Group</vt:lpstr>
      <vt:lpstr>Points Summary</vt:lpstr>
      <vt:lpstr>Results by Club</vt:lpstr>
      <vt:lpstr>Officials</vt:lpstr>
      <vt:lpstr>Athlete of the Match</vt:lpstr>
      <vt:lpstr>Throws &amp; Jumps</vt:lpstr>
      <vt:lpstr>High Jump</vt:lpstr>
      <vt:lpstr>Track Lane Draw</vt:lpstr>
      <vt:lpstr>Field Duties by Club</vt:lpstr>
      <vt:lpstr>Field Draw</vt:lpstr>
      <vt:lpstr>Athlete</vt:lpstr>
      <vt:lpstr>ClubDetail</vt:lpstr>
      <vt:lpstr>Clubs</vt:lpstr>
      <vt:lpstr>EventDates</vt:lpstr>
      <vt:lpstr>EventOrder</vt:lpstr>
      <vt:lpstr>EventsOrder</vt:lpstr>
      <vt:lpstr>Field</vt:lpstr>
      <vt:lpstr>FieldDuties</vt:lpstr>
      <vt:lpstr>FieldEventDraw</vt:lpstr>
      <vt:lpstr>LaneDraw</vt:lpstr>
      <vt:lpstr>MenPoints</vt:lpstr>
      <vt:lpstr>MenTot</vt:lpstr>
      <vt:lpstr>Officials</vt:lpstr>
      <vt:lpstr>OverTot</vt:lpstr>
      <vt:lpstr>'Athlete of the Match'!Print_Area</vt:lpstr>
      <vt:lpstr>'Field Duties by Club'!Print_Area</vt:lpstr>
      <vt:lpstr>'High Jump'!Print_Area</vt:lpstr>
      <vt:lpstr>Instructions!Print_Area</vt:lpstr>
      <vt:lpstr>'Points Summary'!Print_Area</vt:lpstr>
      <vt:lpstr>'Results by Age Group'!Print_Area</vt:lpstr>
      <vt:lpstr>'Results by Club'!Print_Area</vt:lpstr>
      <vt:lpstr>'Throws &amp; Jumps'!Print_Area</vt:lpstr>
      <vt:lpstr>Timetable!Print_Area</vt:lpstr>
      <vt:lpstr>'Track Lane Draw'!Print_Area</vt:lpstr>
      <vt:lpstr>'Athlete of the Match'!Print_Titles</vt:lpstr>
      <vt:lpstr>Instructions!Print_Titles</vt:lpstr>
      <vt:lpstr>'Results by Club'!Print_Titles</vt:lpstr>
      <vt:lpstr>'Track Lane Draw'!Print_Titles</vt:lpstr>
      <vt:lpstr>Relays</vt:lpstr>
      <vt:lpstr>Results</vt:lpstr>
      <vt:lpstr>ResultsTable</vt:lpstr>
      <vt:lpstr>ShortName</vt:lpstr>
      <vt:lpstr>TeamSheetFemale</vt:lpstr>
      <vt:lpstr>TeamSheetMale</vt:lpstr>
      <vt:lpstr>Track</vt:lpstr>
      <vt:lpstr>U11b</vt:lpstr>
      <vt:lpstr>U11BSum</vt:lpstr>
      <vt:lpstr>U11G</vt:lpstr>
      <vt:lpstr>U11GSum</vt:lpstr>
      <vt:lpstr>U13B</vt:lpstr>
      <vt:lpstr>U13BSum</vt:lpstr>
      <vt:lpstr>U13G</vt:lpstr>
      <vt:lpstr>U13GSum</vt:lpstr>
      <vt:lpstr>U15B</vt:lpstr>
      <vt:lpstr>U15BSum</vt:lpstr>
      <vt:lpstr>U15G</vt:lpstr>
      <vt:lpstr>U15GSum</vt:lpstr>
      <vt:lpstr>U17GSum</vt:lpstr>
      <vt:lpstr>U17M</vt:lpstr>
      <vt:lpstr>U17MSum</vt:lpstr>
      <vt:lpstr>U17W</vt:lpstr>
      <vt:lpstr>WomPoints</vt:lpstr>
      <vt:lpstr>WomTot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Martin Smith</dc:creator>
  <cp:keywords/>
  <dc:description/>
  <cp:lastModifiedBy>Bowers, Charlotte (Student)</cp:lastModifiedBy>
  <cp:revision/>
  <cp:lastPrinted>2026-05-17T13:50:47Z</cp:lastPrinted>
  <dcterms:created xsi:type="dcterms:W3CDTF">2021-08-07T19:08:20Z</dcterms:created>
  <dcterms:modified xsi:type="dcterms:W3CDTF">2026-05-22T20:48:36Z</dcterms:modified>
  <cp:category/>
  <cp:contentStatus/>
</cp:coreProperties>
</file>